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SUS\Desktop\ENTREGABLES\"/>
    </mc:Choice>
  </mc:AlternateContent>
  <xr:revisionPtr revIDLastSave="0" documentId="13_ncr:1_{A9B2801F-8182-47DD-80B5-B782582EB05F}" xr6:coauthVersionLast="47" xr6:coauthVersionMax="47" xr10:uidLastSave="{00000000-0000-0000-0000-000000000000}"/>
  <bookViews>
    <workbookView xWindow="-110" yWindow="-110" windowWidth="19420" windowHeight="10300" tabRatio="869" activeTab="4" xr2:uid="{A84FAB1A-4BCB-475D-BA5E-F609DFA9ECED}"/>
  </bookViews>
  <sheets>
    <sheet name="Generalidades Proyecto" sheetId="2" r:id="rId1"/>
    <sheet name="Estudio de Mercados" sheetId="3" r:id="rId2"/>
    <sheet name="Estudio Técnico" sheetId="7" r:id="rId3"/>
    <sheet name="Est. Organizacional y Legal" sheetId="8" r:id="rId4"/>
    <sheet name="Est. Viabilidad Financiera" sheetId="10" r:id="rId5"/>
    <sheet name="PIB" sheetId="4" state="hidden" r:id="rId6"/>
    <sheet name="IPC" sheetId="6" state="hidden" r:id="rId7"/>
    <sheet name="Proyecciones" sheetId="5" state="hidden" r:id="rId8"/>
  </sheets>
  <definedNames>
    <definedName name="_Fill" localSheetId="6" hidden="1">#REF!</definedName>
    <definedName name="_Fill" hidden="1">#REF!</definedName>
    <definedName name="_xlnm._FilterDatabase" localSheetId="6" hidden="1">IPC!$A$8:$F$129</definedName>
    <definedName name="A_IMPRESIÓN_IM" localSheetId="6">#REF!</definedName>
    <definedName name="A_IMPRESIÓN_IM">#REF!</definedName>
    <definedName name="DatosExternos_2" localSheetId="7" hidden="1">Proyecciones!#REF!</definedName>
    <definedName name="FECHA">#REF!</definedName>
    <definedName name="PERIODO">#REF!</definedName>
    <definedName name="TITULO">#REF!</definedName>
    <definedName name="VA">#REF!</definedName>
    <definedName name="VA_Kt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5" l="1"/>
  <c r="K158" i="10"/>
  <c r="L187" i="10"/>
  <c r="I184" i="10"/>
  <c r="K184" i="10"/>
  <c r="M184" i="10"/>
  <c r="O184" i="10" s="1"/>
  <c r="G184" i="10" l="1"/>
  <c r="L259" i="3"/>
  <c r="H319" i="8" l="1"/>
  <c r="I319" i="8" s="1"/>
  <c r="J319" i="8" s="1"/>
  <c r="K319" i="8" s="1"/>
  <c r="L319" i="8" s="1"/>
  <c r="H367" i="3" l="1"/>
  <c r="L260" i="3" l="1"/>
  <c r="L300" i="3" l="1"/>
  <c r="M77" i="10" l="1"/>
  <c r="L77" i="10"/>
  <c r="K77" i="10"/>
  <c r="J77" i="10"/>
  <c r="AN314" i="8" l="1"/>
  <c r="AO314" i="8" s="1"/>
  <c r="M25" i="10"/>
  <c r="Q268" i="7" l="1"/>
  <c r="H322" i="8" l="1"/>
  <c r="P299" i="7"/>
  <c r="Y113" i="4" l="1"/>
  <c r="T268" i="7" l="1"/>
  <c r="M20" i="10"/>
  <c r="C25" i="5"/>
  <c r="C26" i="5"/>
  <c r="C27" i="5"/>
  <c r="C28" i="5"/>
  <c r="U268" i="7" l="1"/>
  <c r="V268" i="7" s="1"/>
  <c r="W268" i="7" s="1"/>
  <c r="G321" i="8"/>
  <c r="S416" i="7" l="1"/>
  <c r="U416" i="7" s="1"/>
  <c r="L307" i="3"/>
  <c r="X268" i="7" l="1"/>
  <c r="M403" i="7"/>
  <c r="S403" i="7" s="1"/>
  <c r="M404" i="7" l="1"/>
  <c r="E195" i="7" l="1"/>
  <c r="E184" i="7"/>
  <c r="E151" i="7"/>
  <c r="E173" i="7"/>
  <c r="G133" i="7"/>
  <c r="G116" i="7"/>
  <c r="G99" i="7"/>
  <c r="G63" i="7"/>
  <c r="G47" i="7"/>
  <c r="G31" i="7"/>
  <c r="G15" i="7"/>
  <c r="G82" i="7"/>
  <c r="E502" i="7"/>
  <c r="E501" i="7"/>
  <c r="E500" i="7"/>
  <c r="D469" i="7"/>
  <c r="D445" i="7"/>
  <c r="D421" i="7"/>
  <c r="H321" i="8" l="1"/>
  <c r="Q271" i="7" l="1"/>
  <c r="Q270" i="7"/>
  <c r="Q269" i="7"/>
  <c r="H317" i="8" l="1"/>
  <c r="C64" i="10" l="1"/>
  <c r="C63" i="10"/>
  <c r="C62" i="10"/>
  <c r="C61" i="10"/>
  <c r="E172" i="10" l="1"/>
  <c r="B158" i="10"/>
  <c r="E111" i="10"/>
  <c r="C93" i="10"/>
  <c r="C85" i="10"/>
  <c r="C72" i="10"/>
  <c r="C71" i="10"/>
  <c r="AT65" i="10"/>
  <c r="AZ65" i="10" s="1"/>
  <c r="AT64" i="10"/>
  <c r="C96" i="10"/>
  <c r="AT63" i="10"/>
  <c r="AX63" i="10" s="1"/>
  <c r="C95" i="10"/>
  <c r="AT62" i="10"/>
  <c r="AW62" i="10" s="1"/>
  <c r="C83" i="10"/>
  <c r="C82" i="10"/>
  <c r="AV59" i="10"/>
  <c r="AU59" i="10"/>
  <c r="AT54" i="10"/>
  <c r="AT53" i="10"/>
  <c r="AT52" i="10"/>
  <c r="AX52" i="10" s="1"/>
  <c r="AX56" i="10" s="1"/>
  <c r="I50" i="10" s="1"/>
  <c r="AT51" i="10"/>
  <c r="F51" i="10"/>
  <c r="B51" i="10"/>
  <c r="F50" i="10"/>
  <c r="F49" i="10"/>
  <c r="AV48" i="10"/>
  <c r="AU48" i="10"/>
  <c r="F48" i="10"/>
  <c r="F47" i="10"/>
  <c r="F46" i="10"/>
  <c r="B46" i="10"/>
  <c r="AT45" i="10"/>
  <c r="AZ45" i="10" s="1"/>
  <c r="AT44" i="10"/>
  <c r="AT43" i="10"/>
  <c r="AX43" i="10" s="1"/>
  <c r="AZ43" i="10" s="1"/>
  <c r="B43" i="10"/>
  <c r="AT42" i="10"/>
  <c r="AW42" i="10" s="1"/>
  <c r="B42" i="10"/>
  <c r="B50" i="10" s="1"/>
  <c r="B41" i="10"/>
  <c r="B49" i="10" s="1"/>
  <c r="B40" i="10"/>
  <c r="B48" i="10" s="1"/>
  <c r="AV39" i="10"/>
  <c r="AU39" i="10"/>
  <c r="B39" i="10"/>
  <c r="B47" i="10" s="1"/>
  <c r="B38" i="10"/>
  <c r="AT36" i="10"/>
  <c r="AZ36" i="10" s="1"/>
  <c r="AT35" i="10"/>
  <c r="AT34" i="10"/>
  <c r="AX34" i="10" s="1"/>
  <c r="AY34" i="10" s="1"/>
  <c r="AT33" i="10"/>
  <c r="AW33" i="10" s="1"/>
  <c r="AV28" i="10"/>
  <c r="AU28" i="10"/>
  <c r="O28" i="10"/>
  <c r="N28" i="10"/>
  <c r="L28" i="10"/>
  <c r="K28" i="10"/>
  <c r="AT25" i="10"/>
  <c r="AT24" i="10"/>
  <c r="AY24" i="10" s="1"/>
  <c r="AZ24" i="10" s="1"/>
  <c r="AT23" i="10"/>
  <c r="O23" i="10"/>
  <c r="N23" i="10"/>
  <c r="M23" i="10"/>
  <c r="L23" i="10"/>
  <c r="K23" i="10"/>
  <c r="AT22" i="10"/>
  <c r="O20" i="10"/>
  <c r="O32" i="10" s="1"/>
  <c r="N20" i="10"/>
  <c r="L20" i="10"/>
  <c r="K20" i="10"/>
  <c r="AV19" i="10"/>
  <c r="AU19" i="10"/>
  <c r="AT15" i="10"/>
  <c r="AT14" i="10"/>
  <c r="AT13" i="10"/>
  <c r="AT12" i="10"/>
  <c r="AV9" i="10"/>
  <c r="AU9" i="10"/>
  <c r="AX13" i="10" l="1"/>
  <c r="AZ13" i="10" s="1"/>
  <c r="AY14" i="10"/>
  <c r="AZ14" i="10" s="1"/>
  <c r="AW22" i="10"/>
  <c r="AZ22" i="10" s="1"/>
  <c r="AZ25" i="10"/>
  <c r="AZ15" i="10"/>
  <c r="K32" i="10"/>
  <c r="AY44" i="10"/>
  <c r="AZ44" i="10" s="1"/>
  <c r="AZ46" i="10" s="1"/>
  <c r="K49" i="10" s="1"/>
  <c r="AY53" i="10"/>
  <c r="AY56" i="10" s="1"/>
  <c r="J50" i="10" s="1"/>
  <c r="AW12" i="10"/>
  <c r="AY12" i="10" s="1"/>
  <c r="AX23" i="10"/>
  <c r="AZ23" i="10" s="1"/>
  <c r="N32" i="10"/>
  <c r="F52" i="10"/>
  <c r="AZ54" i="10"/>
  <c r="AZ56" i="10" s="1"/>
  <c r="K50" i="10" s="1"/>
  <c r="L32" i="10"/>
  <c r="AY64" i="10"/>
  <c r="AZ64" i="10" s="1"/>
  <c r="AY35" i="10"/>
  <c r="AZ35" i="10" s="1"/>
  <c r="AY33" i="10"/>
  <c r="AX33" i="10"/>
  <c r="AZ33" i="10"/>
  <c r="AX62" i="10"/>
  <c r="AZ62" i="10"/>
  <c r="AY62" i="10"/>
  <c r="AY22" i="10"/>
  <c r="AX22" i="10"/>
  <c r="AZ63" i="10"/>
  <c r="AY63" i="10"/>
  <c r="AY42" i="10"/>
  <c r="AX42" i="10"/>
  <c r="AZ12" i="10"/>
  <c r="AY23" i="10"/>
  <c r="AY43" i="10"/>
  <c r="C94" i="10"/>
  <c r="AZ34" i="10"/>
  <c r="AY13" i="10"/>
  <c r="C70" i="10"/>
  <c r="C84" i="10"/>
  <c r="AW51" i="10"/>
  <c r="AW56" i="10" s="1"/>
  <c r="H50" i="10" s="1"/>
  <c r="C69" i="10"/>
  <c r="AX12" i="10" l="1"/>
  <c r="AY46" i="10"/>
  <c r="J49" i="10" s="1"/>
  <c r="B343" i="8" l="1"/>
  <c r="B342" i="8"/>
  <c r="B341" i="8"/>
  <c r="H323" i="8" l="1"/>
  <c r="H324" i="8"/>
  <c r="H318" i="8" l="1"/>
  <c r="H316" i="8"/>
  <c r="H315" i="8"/>
  <c r="H314" i="8"/>
  <c r="H313" i="8"/>
  <c r="H312" i="8"/>
  <c r="H311" i="8"/>
  <c r="H310" i="8"/>
  <c r="T257" i="7"/>
  <c r="H305" i="8" l="1"/>
  <c r="G305" i="8"/>
  <c r="F305" i="8"/>
  <c r="E305" i="8"/>
  <c r="H275" i="8"/>
  <c r="G275" i="8"/>
  <c r="F275" i="8"/>
  <c r="E275" i="8"/>
  <c r="H229" i="8"/>
  <c r="G229" i="8"/>
  <c r="F229" i="8"/>
  <c r="E229" i="8"/>
  <c r="I322" i="8" l="1"/>
  <c r="J322" i="8" s="1"/>
  <c r="K322" i="8" s="1"/>
  <c r="AP314" i="8"/>
  <c r="AQ314" i="8" s="1"/>
  <c r="AR314" i="8" s="1"/>
  <c r="AS314" i="8" s="1"/>
  <c r="L322" i="8"/>
  <c r="I317" i="8"/>
  <c r="I311" i="8"/>
  <c r="I324" i="8"/>
  <c r="I310" i="8"/>
  <c r="I323" i="8"/>
  <c r="I318" i="8"/>
  <c r="I316" i="8"/>
  <c r="I312" i="8"/>
  <c r="I321" i="8"/>
  <c r="I315" i="8"/>
  <c r="I313" i="8"/>
  <c r="J313" i="8" s="1"/>
  <c r="I320" i="8"/>
  <c r="I314" i="8"/>
  <c r="J314" i="8" s="1"/>
  <c r="K314" i="8" s="1"/>
  <c r="C292" i="8"/>
  <c r="C291" i="8"/>
  <c r="C290" i="8"/>
  <c r="C289" i="8"/>
  <c r="C288" i="8"/>
  <c r="C287" i="8"/>
  <c r="C286" i="8"/>
  <c r="C285" i="8"/>
  <c r="C284" i="8"/>
  <c r="C283" i="8"/>
  <c r="C282" i="8"/>
  <c r="C281" i="8"/>
  <c r="C280" i="8"/>
  <c r="J266" i="8"/>
  <c r="D266" i="8"/>
  <c r="K260" i="8" s="1"/>
  <c r="L260" i="8" s="1"/>
  <c r="F287" i="8" s="1"/>
  <c r="G287" i="8" s="1"/>
  <c r="H287" i="8" s="1"/>
  <c r="I287" i="8" s="1"/>
  <c r="J287" i="8" s="1"/>
  <c r="K287" i="8" s="1"/>
  <c r="C246" i="8"/>
  <c r="C245" i="8"/>
  <c r="C244" i="8"/>
  <c r="C243" i="8"/>
  <c r="C242" i="8"/>
  <c r="C241" i="8"/>
  <c r="C240" i="8"/>
  <c r="C239" i="8"/>
  <c r="C238" i="8"/>
  <c r="C237" i="8"/>
  <c r="C236" i="8"/>
  <c r="C235" i="8"/>
  <c r="C234" i="8"/>
  <c r="C220" i="8"/>
  <c r="H219" i="8"/>
  <c r="H218" i="8"/>
  <c r="H217" i="8"/>
  <c r="H216" i="8"/>
  <c r="H215" i="8"/>
  <c r="H214" i="8"/>
  <c r="H213" i="8"/>
  <c r="H212" i="8"/>
  <c r="H211" i="8"/>
  <c r="H210" i="8"/>
  <c r="H209" i="8"/>
  <c r="H208" i="8"/>
  <c r="H207" i="8"/>
  <c r="AD207" i="8" s="1"/>
  <c r="C203" i="8"/>
  <c r="C196" i="8"/>
  <c r="G193" i="8"/>
  <c r="J324" i="8" l="1"/>
  <c r="K324" i="8" s="1"/>
  <c r="L324" i="8" s="1"/>
  <c r="J320" i="8"/>
  <c r="K320" i="8" s="1"/>
  <c r="L320" i="8" s="1"/>
  <c r="F220" i="8"/>
  <c r="J323" i="8"/>
  <c r="K323" i="8" s="1"/>
  <c r="L323" i="8" s="1"/>
  <c r="L314" i="8"/>
  <c r="J310" i="8"/>
  <c r="K310" i="8" s="1"/>
  <c r="L310" i="8" s="1"/>
  <c r="J316" i="8"/>
  <c r="K316" i="8" s="1"/>
  <c r="L316" i="8" s="1"/>
  <c r="J318" i="8"/>
  <c r="K318" i="8" s="1"/>
  <c r="L318" i="8" s="1"/>
  <c r="K207" i="8"/>
  <c r="J207" i="8"/>
  <c r="I207" i="8"/>
  <c r="K254" i="8"/>
  <c r="L254" i="8" s="1"/>
  <c r="F281" i="8" s="1"/>
  <c r="G281" i="8" s="1"/>
  <c r="H281" i="8" s="1"/>
  <c r="I281" i="8" s="1"/>
  <c r="J281" i="8" s="1"/>
  <c r="K281" i="8" s="1"/>
  <c r="K258" i="8"/>
  <c r="L258" i="8" s="1"/>
  <c r="F285" i="8" s="1"/>
  <c r="G285" i="8" s="1"/>
  <c r="H285" i="8" s="1"/>
  <c r="I285" i="8" s="1"/>
  <c r="J285" i="8" s="1"/>
  <c r="K285" i="8" s="1"/>
  <c r="K262" i="8"/>
  <c r="L262" i="8" s="1"/>
  <c r="F289" i="8" s="1"/>
  <c r="G289" i="8" s="1"/>
  <c r="H289" i="8" s="1"/>
  <c r="I289" i="8" s="1"/>
  <c r="J289" i="8" s="1"/>
  <c r="K289" i="8" s="1"/>
  <c r="J311" i="8"/>
  <c r="K311" i="8" s="1"/>
  <c r="L311" i="8" s="1"/>
  <c r="H220" i="8"/>
  <c r="K313" i="8"/>
  <c r="L313" i="8" s="1"/>
  <c r="K256" i="8"/>
  <c r="L256" i="8" s="1"/>
  <c r="F283" i="8" s="1"/>
  <c r="G283" i="8" s="1"/>
  <c r="H283" i="8" s="1"/>
  <c r="I283" i="8" s="1"/>
  <c r="J283" i="8" s="1"/>
  <c r="K283" i="8" s="1"/>
  <c r="K264" i="8"/>
  <c r="L264" i="8" s="1"/>
  <c r="F291" i="8" s="1"/>
  <c r="G291" i="8" s="1"/>
  <c r="H291" i="8" s="1"/>
  <c r="I291" i="8" s="1"/>
  <c r="J291" i="8" s="1"/>
  <c r="K291" i="8" s="1"/>
  <c r="K255" i="8"/>
  <c r="L255" i="8" s="1"/>
  <c r="F282" i="8" s="1"/>
  <c r="G282" i="8" s="1"/>
  <c r="H282" i="8" s="1"/>
  <c r="I282" i="8" s="1"/>
  <c r="J282" i="8" s="1"/>
  <c r="K282" i="8" s="1"/>
  <c r="AD208" i="8"/>
  <c r="J315" i="8"/>
  <c r="K315" i="8" s="1"/>
  <c r="L315" i="8" s="1"/>
  <c r="K259" i="8"/>
  <c r="L259" i="8" s="1"/>
  <c r="F286" i="8" s="1"/>
  <c r="G286" i="8" s="1"/>
  <c r="H286" i="8" s="1"/>
  <c r="I286" i="8" s="1"/>
  <c r="J286" i="8" s="1"/>
  <c r="K286" i="8" s="1"/>
  <c r="K253" i="8"/>
  <c r="K257" i="8"/>
  <c r="L257" i="8" s="1"/>
  <c r="F284" i="8" s="1"/>
  <c r="G284" i="8" s="1"/>
  <c r="H284" i="8" s="1"/>
  <c r="I284" i="8" s="1"/>
  <c r="J284" i="8" s="1"/>
  <c r="K284" i="8" s="1"/>
  <c r="K261" i="8"/>
  <c r="L261" i="8" s="1"/>
  <c r="F288" i="8" s="1"/>
  <c r="G288" i="8" s="1"/>
  <c r="H288" i="8" s="1"/>
  <c r="I288" i="8" s="1"/>
  <c r="J288" i="8" s="1"/>
  <c r="K288" i="8" s="1"/>
  <c r="K265" i="8"/>
  <c r="L265" i="8" s="1"/>
  <c r="F292" i="8" s="1"/>
  <c r="G292" i="8" s="1"/>
  <c r="H292" i="8" s="1"/>
  <c r="I292" i="8" s="1"/>
  <c r="J292" i="8" s="1"/>
  <c r="K292" i="8" s="1"/>
  <c r="J312" i="8"/>
  <c r="K312" i="8" s="1"/>
  <c r="L312" i="8" s="1"/>
  <c r="J317" i="8"/>
  <c r="K317" i="8" s="1"/>
  <c r="L317" i="8" s="1"/>
  <c r="J321" i="8"/>
  <c r="K321" i="8" s="1"/>
  <c r="L321" i="8" s="1"/>
  <c r="K263" i="8"/>
  <c r="L263" i="8" s="1"/>
  <c r="F290" i="8" s="1"/>
  <c r="G290" i="8" s="1"/>
  <c r="H290" i="8" s="1"/>
  <c r="I290" i="8" s="1"/>
  <c r="J290" i="8" s="1"/>
  <c r="K290" i="8" s="1"/>
  <c r="J208" i="8" l="1"/>
  <c r="K208" i="8"/>
  <c r="I208" i="8"/>
  <c r="AD209" i="8"/>
  <c r="L207" i="8"/>
  <c r="L253" i="8"/>
  <c r="K266" i="8"/>
  <c r="L208" i="8" l="1"/>
  <c r="F235" i="8" s="1"/>
  <c r="G235" i="8" s="1"/>
  <c r="H235" i="8" s="1"/>
  <c r="I235" i="8" s="1"/>
  <c r="J235" i="8" s="1"/>
  <c r="K235" i="8" s="1"/>
  <c r="L266" i="8"/>
  <c r="F280" i="8"/>
  <c r="AD210" i="8"/>
  <c r="K209" i="8"/>
  <c r="J209" i="8"/>
  <c r="I209" i="8"/>
  <c r="F234" i="8"/>
  <c r="G234" i="8" s="1"/>
  <c r="H234" i="8" s="1"/>
  <c r="L209" i="8" l="1"/>
  <c r="F236" i="8" s="1"/>
  <c r="G236" i="8" s="1"/>
  <c r="H236" i="8" s="1"/>
  <c r="I236" i="8" s="1"/>
  <c r="J236" i="8" s="1"/>
  <c r="K236" i="8" s="1"/>
  <c r="J210" i="8"/>
  <c r="K210" i="8"/>
  <c r="I210" i="8"/>
  <c r="AD211" i="8"/>
  <c r="G280" i="8"/>
  <c r="F293" i="8"/>
  <c r="G293" i="8" l="1"/>
  <c r="F331" i="8" s="1"/>
  <c r="H280" i="8"/>
  <c r="L210" i="8"/>
  <c r="K211" i="8"/>
  <c r="J211" i="8"/>
  <c r="I211" i="8"/>
  <c r="AD212" i="8"/>
  <c r="F237" i="8" l="1"/>
  <c r="I234" i="8"/>
  <c r="I280" i="8"/>
  <c r="H293" i="8"/>
  <c r="G331" i="8" s="1"/>
  <c r="AD213" i="8"/>
  <c r="K212" i="8"/>
  <c r="I212" i="8"/>
  <c r="J212" i="8"/>
  <c r="L211" i="8"/>
  <c r="F238" i="8" s="1"/>
  <c r="G238" i="8" s="1"/>
  <c r="H238" i="8" s="1"/>
  <c r="I238" i="8" s="1"/>
  <c r="J238" i="8" s="1"/>
  <c r="K238" i="8" s="1"/>
  <c r="K213" i="8" l="1"/>
  <c r="AD214" i="8"/>
  <c r="J213" i="8"/>
  <c r="I213" i="8"/>
  <c r="I293" i="8"/>
  <c r="H331" i="8" s="1"/>
  <c r="J280" i="8"/>
  <c r="J234" i="8"/>
  <c r="L212" i="8"/>
  <c r="F239" i="8" s="1"/>
  <c r="G239" i="8" s="1"/>
  <c r="H239" i="8" s="1"/>
  <c r="I239" i="8" s="1"/>
  <c r="J239" i="8" s="1"/>
  <c r="K239" i="8" s="1"/>
  <c r="G237" i="8"/>
  <c r="L213" i="8" l="1"/>
  <c r="F240" i="8" s="1"/>
  <c r="G240" i="8" s="1"/>
  <c r="H240" i="8" s="1"/>
  <c r="I240" i="8" s="1"/>
  <c r="J240" i="8" s="1"/>
  <c r="K240" i="8" s="1"/>
  <c r="K234" i="8"/>
  <c r="J214" i="8"/>
  <c r="K214" i="8"/>
  <c r="I214" i="8"/>
  <c r="AD215" i="8"/>
  <c r="J293" i="8"/>
  <c r="I331" i="8" s="1"/>
  <c r="K280" i="8"/>
  <c r="K293" i="8" s="1"/>
  <c r="J331" i="8" s="1"/>
  <c r="H237" i="8"/>
  <c r="L214" i="8" l="1"/>
  <c r="F241" i="8" s="1"/>
  <c r="G241" i="8" s="1"/>
  <c r="H241" i="8" s="1"/>
  <c r="I241" i="8" s="1"/>
  <c r="J241" i="8" s="1"/>
  <c r="K241" i="8" s="1"/>
  <c r="K215" i="8"/>
  <c r="I215" i="8"/>
  <c r="J215" i="8"/>
  <c r="AD216" i="8"/>
  <c r="I237" i="8"/>
  <c r="J237" i="8" l="1"/>
  <c r="AD217" i="8"/>
  <c r="I216" i="8"/>
  <c r="K216" i="8"/>
  <c r="J216" i="8"/>
  <c r="L215" i="8"/>
  <c r="F242" i="8" s="1"/>
  <c r="L216" i="8" l="1"/>
  <c r="F243" i="8" s="1"/>
  <c r="G243" i="8" s="1"/>
  <c r="H243" i="8" s="1"/>
  <c r="I243" i="8" s="1"/>
  <c r="J243" i="8" s="1"/>
  <c r="K243" i="8" s="1"/>
  <c r="G242" i="8"/>
  <c r="AD218" i="8"/>
  <c r="I217" i="8"/>
  <c r="K217" i="8"/>
  <c r="J217" i="8"/>
  <c r="K237" i="8"/>
  <c r="J218" i="8" l="1"/>
  <c r="AD219" i="8"/>
  <c r="I218" i="8"/>
  <c r="K218" i="8"/>
  <c r="H242" i="8"/>
  <c r="L217" i="8"/>
  <c r="F244" i="8" s="1"/>
  <c r="G244" i="8" s="1"/>
  <c r="H244" i="8" s="1"/>
  <c r="I244" i="8" s="1"/>
  <c r="J244" i="8" s="1"/>
  <c r="K244" i="8" s="1"/>
  <c r="K219" i="8" l="1"/>
  <c r="K220" i="8" s="1"/>
  <c r="I219" i="8"/>
  <c r="J219" i="8"/>
  <c r="J220" i="8" s="1"/>
  <c r="AD220" i="8"/>
  <c r="I242" i="8"/>
  <c r="L218" i="8"/>
  <c r="F245" i="8" s="1"/>
  <c r="G245" i="8" s="1"/>
  <c r="H245" i="8" s="1"/>
  <c r="I245" i="8" s="1"/>
  <c r="J245" i="8" s="1"/>
  <c r="K245" i="8" s="1"/>
  <c r="L219" i="8" l="1"/>
  <c r="I220" i="8"/>
  <c r="J242" i="8"/>
  <c r="F246" i="8" l="1"/>
  <c r="L220" i="8"/>
  <c r="K242" i="8"/>
  <c r="G246" i="8" l="1"/>
  <c r="F247" i="8"/>
  <c r="H246" i="8" l="1"/>
  <c r="G247" i="8"/>
  <c r="F330" i="8" s="1"/>
  <c r="G167" i="10" s="1"/>
  <c r="H26" i="10" l="1"/>
  <c r="I246" i="8"/>
  <c r="H247" i="8"/>
  <c r="G330" i="8" s="1"/>
  <c r="I167" i="10" s="1"/>
  <c r="J246" i="8" l="1"/>
  <c r="I247" i="8"/>
  <c r="H330" i="8" s="1"/>
  <c r="K167" i="10" s="1"/>
  <c r="K246" i="8" l="1"/>
  <c r="K247" i="8" s="1"/>
  <c r="J330" i="8" s="1"/>
  <c r="O167" i="10" s="1"/>
  <c r="J247" i="8"/>
  <c r="I330" i="8" s="1"/>
  <c r="M167" i="10" s="1"/>
  <c r="T222" i="7" l="1"/>
  <c r="AC268" i="7" l="1"/>
  <c r="S415" i="7"/>
  <c r="U415" i="7" s="1"/>
  <c r="S414" i="7"/>
  <c r="U414" i="7" s="1"/>
  <c r="S413" i="7"/>
  <c r="U413" i="7" s="1"/>
  <c r="S412" i="7"/>
  <c r="U412" i="7" s="1"/>
  <c r="S406" i="7"/>
  <c r="U406" i="7" s="1"/>
  <c r="C328" i="7"/>
  <c r="K321" i="7" l="1"/>
  <c r="L370" i="7" s="1"/>
  <c r="J321" i="7"/>
  <c r="K370" i="7" s="1"/>
  <c r="H321" i="7"/>
  <c r="J370" i="7" s="1"/>
  <c r="F321" i="7"/>
  <c r="I370" i="7" s="1"/>
  <c r="N284" i="7"/>
  <c r="AC271" i="7" l="1"/>
  <c r="AC270" i="7"/>
  <c r="AC269" i="7"/>
  <c r="B268" i="7"/>
  <c r="T223" i="7" l="1"/>
  <c r="T235" i="7"/>
  <c r="T221" i="7"/>
  <c r="T220" i="7"/>
  <c r="T219" i="7"/>
  <c r="T234" i="7"/>
  <c r="T233" i="7"/>
  <c r="T232" i="7"/>
  <c r="T231" i="7"/>
  <c r="T229" i="7"/>
  <c r="T170" i="7" l="1"/>
  <c r="T171" i="7"/>
  <c r="T169" i="7"/>
  <c r="T168" i="7"/>
  <c r="T167" i="7"/>
  <c r="T163" i="7"/>
  <c r="T162" i="7"/>
  <c r="T158" i="7"/>
  <c r="T156" i="7"/>
  <c r="T165" i="7"/>
  <c r="T164" i="7"/>
  <c r="T166" i="7"/>
  <c r="T161" i="7"/>
  <c r="T160" i="7"/>
  <c r="T157" i="7"/>
  <c r="T159" i="7"/>
  <c r="D393" i="7"/>
  <c r="E499" i="7" l="1"/>
  <c r="B340" i="8"/>
  <c r="S489" i="7"/>
  <c r="U489" i="7" s="1"/>
  <c r="S488" i="7"/>
  <c r="U488" i="7" s="1"/>
  <c r="S487" i="7"/>
  <c r="U487" i="7" s="1"/>
  <c r="S486" i="7"/>
  <c r="U486" i="7" s="1"/>
  <c r="S485" i="7"/>
  <c r="U485" i="7" s="1"/>
  <c r="S482" i="7"/>
  <c r="U482" i="7" s="1"/>
  <c r="S481" i="7"/>
  <c r="U481" i="7" s="1"/>
  <c r="S480" i="7"/>
  <c r="U480" i="7" s="1"/>
  <c r="S479" i="7"/>
  <c r="U479" i="7" s="1"/>
  <c r="S476" i="7"/>
  <c r="U476" i="7" s="1"/>
  <c r="S475" i="7"/>
  <c r="U475" i="7" s="1"/>
  <c r="S474" i="7"/>
  <c r="U474" i="7" s="1"/>
  <c r="S473" i="7"/>
  <c r="U473" i="7" s="1"/>
  <c r="S472" i="7"/>
  <c r="S465" i="7"/>
  <c r="U465" i="7" s="1"/>
  <c r="S464" i="7"/>
  <c r="U464" i="7" s="1"/>
  <c r="S463" i="7"/>
  <c r="U463" i="7" s="1"/>
  <c r="S462" i="7"/>
  <c r="U462" i="7" s="1"/>
  <c r="S461" i="7"/>
  <c r="S458" i="7"/>
  <c r="U458" i="7" s="1"/>
  <c r="S457" i="7"/>
  <c r="U457" i="7" s="1"/>
  <c r="S456" i="7"/>
  <c r="U456" i="7" s="1"/>
  <c r="S455" i="7"/>
  <c r="S452" i="7"/>
  <c r="U452" i="7" s="1"/>
  <c r="S451" i="7"/>
  <c r="U451" i="7" s="1"/>
  <c r="S450" i="7"/>
  <c r="U450" i="7" s="1"/>
  <c r="S449" i="7"/>
  <c r="U449" i="7" s="1"/>
  <c r="S448" i="7"/>
  <c r="S441" i="7"/>
  <c r="U441" i="7" s="1"/>
  <c r="S440" i="7"/>
  <c r="U440" i="7" s="1"/>
  <c r="S439" i="7"/>
  <c r="U439" i="7" s="1"/>
  <c r="S438" i="7"/>
  <c r="U438" i="7" s="1"/>
  <c r="S437" i="7"/>
  <c r="U437" i="7" s="1"/>
  <c r="S434" i="7"/>
  <c r="U434" i="7" s="1"/>
  <c r="S433" i="7"/>
  <c r="U433" i="7" s="1"/>
  <c r="S432" i="7"/>
  <c r="U432" i="7" s="1"/>
  <c r="S431" i="7"/>
  <c r="U431" i="7" s="1"/>
  <c r="S428" i="7"/>
  <c r="U428" i="7" s="1"/>
  <c r="S427" i="7"/>
  <c r="U427" i="7" s="1"/>
  <c r="S426" i="7"/>
  <c r="U426" i="7" s="1"/>
  <c r="S425" i="7"/>
  <c r="U425" i="7" s="1"/>
  <c r="S424" i="7"/>
  <c r="U424" i="7" s="1"/>
  <c r="S417" i="7"/>
  <c r="U417" i="7" s="1"/>
  <c r="S411" i="7"/>
  <c r="U411" i="7" s="1"/>
  <c r="S410" i="7"/>
  <c r="U410" i="7" s="1"/>
  <c r="S407" i="7"/>
  <c r="U407" i="7" s="1"/>
  <c r="S405" i="7"/>
  <c r="U405" i="7" s="1"/>
  <c r="S404" i="7"/>
  <c r="U404" i="7" s="1"/>
  <c r="U403" i="7"/>
  <c r="S400" i="7"/>
  <c r="U400" i="7" s="1"/>
  <c r="S399" i="7"/>
  <c r="U399" i="7" s="1"/>
  <c r="S398" i="7"/>
  <c r="U398" i="7" s="1"/>
  <c r="S397" i="7"/>
  <c r="U397" i="7" s="1"/>
  <c r="S396" i="7"/>
  <c r="U396" i="7" s="1"/>
  <c r="C387" i="7"/>
  <c r="C386" i="7"/>
  <c r="C385" i="7"/>
  <c r="C384" i="7"/>
  <c r="C383" i="7"/>
  <c r="C382" i="7"/>
  <c r="C381" i="7"/>
  <c r="C380" i="7"/>
  <c r="C379" i="7"/>
  <c r="C378" i="7"/>
  <c r="C377" i="7"/>
  <c r="C376" i="7"/>
  <c r="C375" i="7"/>
  <c r="R361" i="7"/>
  <c r="F361" i="7"/>
  <c r="U357" i="7" s="1"/>
  <c r="W357" i="7" s="1"/>
  <c r="F384" i="7" s="1"/>
  <c r="H384" i="7" s="1"/>
  <c r="C338" i="7"/>
  <c r="C337" i="7"/>
  <c r="C336" i="7"/>
  <c r="C335" i="7"/>
  <c r="C334" i="7"/>
  <c r="C333" i="7"/>
  <c r="C332" i="7"/>
  <c r="C331" i="7"/>
  <c r="C330" i="7"/>
  <c r="C329" i="7"/>
  <c r="C327" i="7"/>
  <c r="C326" i="7"/>
  <c r="L312" i="7"/>
  <c r="P311" i="7"/>
  <c r="P310" i="7"/>
  <c r="P309" i="7"/>
  <c r="P308" i="7"/>
  <c r="P307" i="7"/>
  <c r="P306" i="7"/>
  <c r="P305" i="7"/>
  <c r="P304" i="7"/>
  <c r="P303" i="7"/>
  <c r="P302" i="7"/>
  <c r="P301" i="7"/>
  <c r="P300" i="7"/>
  <c r="E292" i="7"/>
  <c r="T284" i="7"/>
  <c r="T271" i="7"/>
  <c r="T270" i="7"/>
  <c r="T269" i="7"/>
  <c r="T258" i="7"/>
  <c r="T256" i="7"/>
  <c r="T255" i="7"/>
  <c r="T254" i="7"/>
  <c r="T252" i="7"/>
  <c r="T251" i="7"/>
  <c r="T250" i="7"/>
  <c r="T249" i="7"/>
  <c r="T247" i="7"/>
  <c r="T246" i="7"/>
  <c r="T245" i="7"/>
  <c r="T244" i="7"/>
  <c r="T243" i="7"/>
  <c r="T241" i="7"/>
  <c r="T240" i="7"/>
  <c r="T239" i="7"/>
  <c r="T238" i="7"/>
  <c r="T236" i="7"/>
  <c r="T230" i="7"/>
  <c r="T228" i="7"/>
  <c r="T227" i="7"/>
  <c r="T226" i="7"/>
  <c r="T224" i="7"/>
  <c r="T218" i="7"/>
  <c r="T217" i="7"/>
  <c r="T216" i="7"/>
  <c r="T214" i="7"/>
  <c r="T213" i="7"/>
  <c r="T212" i="7"/>
  <c r="T211" i="7"/>
  <c r="T210" i="7"/>
  <c r="B199" i="7"/>
  <c r="B200" i="7" s="1"/>
  <c r="B201" i="7" s="1"/>
  <c r="B202" i="7" s="1"/>
  <c r="B203" i="7" s="1"/>
  <c r="B204" i="7" s="1"/>
  <c r="B188" i="7"/>
  <c r="B189" i="7" s="1"/>
  <c r="B190" i="7" s="1"/>
  <c r="B191" i="7" s="1"/>
  <c r="B192" i="7" s="1"/>
  <c r="B193" i="7" s="1"/>
  <c r="B177" i="7"/>
  <c r="B178" i="7" s="1"/>
  <c r="B179" i="7" s="1"/>
  <c r="B180" i="7" s="1"/>
  <c r="B181" i="7" s="1"/>
  <c r="B182" i="7" s="1"/>
  <c r="B155" i="7"/>
  <c r="B156" i="7" s="1"/>
  <c r="B157" i="7" s="1"/>
  <c r="B158" i="7" s="1"/>
  <c r="B159" i="7" s="1"/>
  <c r="B160" i="7" s="1"/>
  <c r="B161" i="7" s="1"/>
  <c r="B162" i="7" s="1"/>
  <c r="B163" i="7" s="1"/>
  <c r="B164" i="7" s="1"/>
  <c r="B165" i="7" s="1"/>
  <c r="B166" i="7" s="1"/>
  <c r="B167" i="7" s="1"/>
  <c r="B168" i="7" s="1"/>
  <c r="B169" i="7" s="1"/>
  <c r="B170" i="7" s="1"/>
  <c r="B171" i="7" s="1"/>
  <c r="U418" i="7" l="1"/>
  <c r="AI299" i="7"/>
  <c r="D342" i="8"/>
  <c r="D341" i="8"/>
  <c r="D343" i="8"/>
  <c r="D340" i="8"/>
  <c r="U241" i="7"/>
  <c r="H17" i="10" s="1"/>
  <c r="U356" i="7"/>
  <c r="W356" i="7" s="1"/>
  <c r="F383" i="7" s="1"/>
  <c r="H383" i="7" s="1"/>
  <c r="J383" i="7" s="1"/>
  <c r="K383" i="7" s="1"/>
  <c r="L383" i="7" s="1"/>
  <c r="M383" i="7" s="1"/>
  <c r="U269" i="7"/>
  <c r="U270" i="7"/>
  <c r="U350" i="7"/>
  <c r="W350" i="7" s="1"/>
  <c r="F377" i="7" s="1"/>
  <c r="H377" i="7" s="1"/>
  <c r="J377" i="7" s="1"/>
  <c r="K377" i="7" s="1"/>
  <c r="L377" i="7" s="1"/>
  <c r="M377" i="7" s="1"/>
  <c r="U224" i="7"/>
  <c r="H15" i="10" s="1"/>
  <c r="U247" i="7"/>
  <c r="H18" i="10" s="1"/>
  <c r="S453" i="7"/>
  <c r="T273" i="7"/>
  <c r="S477" i="7"/>
  <c r="U472" i="7"/>
  <c r="U477" i="7" s="1"/>
  <c r="U271" i="7"/>
  <c r="U214" i="7"/>
  <c r="H14" i="10" s="1"/>
  <c r="U258" i="7"/>
  <c r="H22" i="10" s="1"/>
  <c r="H23" i="10" s="1"/>
  <c r="U348" i="7"/>
  <c r="W348" i="7" s="1"/>
  <c r="F375" i="7" s="1"/>
  <c r="U353" i="7"/>
  <c r="W353" i="7" s="1"/>
  <c r="F380" i="7" s="1"/>
  <c r="H380" i="7" s="1"/>
  <c r="J380" i="7" s="1"/>
  <c r="K380" i="7" s="1"/>
  <c r="L380" i="7" s="1"/>
  <c r="M380" i="7" s="1"/>
  <c r="U358" i="7"/>
  <c r="W358" i="7" s="1"/>
  <c r="F385" i="7" s="1"/>
  <c r="H385" i="7" s="1"/>
  <c r="J385" i="7" s="1"/>
  <c r="K385" i="7" s="1"/>
  <c r="L385" i="7" s="1"/>
  <c r="M385" i="7" s="1"/>
  <c r="U349" i="7"/>
  <c r="W349" i="7" s="1"/>
  <c r="F376" i="7" s="1"/>
  <c r="H376" i="7" s="1"/>
  <c r="J376" i="7" s="1"/>
  <c r="K376" i="7" s="1"/>
  <c r="L376" i="7" s="1"/>
  <c r="M376" i="7" s="1"/>
  <c r="U354" i="7"/>
  <c r="W354" i="7" s="1"/>
  <c r="F381" i="7" s="1"/>
  <c r="H381" i="7" s="1"/>
  <c r="J381" i="7" s="1"/>
  <c r="K381" i="7" s="1"/>
  <c r="L381" i="7" s="1"/>
  <c r="M381" i="7" s="1"/>
  <c r="U360" i="7"/>
  <c r="W360" i="7" s="1"/>
  <c r="F387" i="7" s="1"/>
  <c r="H387" i="7" s="1"/>
  <c r="J387" i="7" s="1"/>
  <c r="K387" i="7" s="1"/>
  <c r="L387" i="7" s="1"/>
  <c r="M387" i="7" s="1"/>
  <c r="S401" i="7"/>
  <c r="U352" i="7"/>
  <c r="W352" i="7" s="1"/>
  <c r="F379" i="7" s="1"/>
  <c r="H379" i="7" s="1"/>
  <c r="J379" i="7" s="1"/>
  <c r="K379" i="7" s="1"/>
  <c r="L379" i="7" s="1"/>
  <c r="M379" i="7" s="1"/>
  <c r="J384" i="7"/>
  <c r="K384" i="7" s="1"/>
  <c r="L384" i="7" s="1"/>
  <c r="M384" i="7" s="1"/>
  <c r="S408" i="7"/>
  <c r="U455" i="7"/>
  <c r="S459" i="7"/>
  <c r="U461" i="7"/>
  <c r="S466" i="7"/>
  <c r="U442" i="7"/>
  <c r="U252" i="7"/>
  <c r="H19" i="10" s="1"/>
  <c r="S418" i="7"/>
  <c r="U490" i="7"/>
  <c r="U236" i="7"/>
  <c r="H16" i="10" s="1"/>
  <c r="U483" i="7"/>
  <c r="S490" i="7"/>
  <c r="P312" i="7"/>
  <c r="U359" i="7"/>
  <c r="W359" i="7" s="1"/>
  <c r="F386" i="7" s="1"/>
  <c r="H386" i="7" s="1"/>
  <c r="J386" i="7" s="1"/>
  <c r="K386" i="7" s="1"/>
  <c r="L386" i="7" s="1"/>
  <c r="M386" i="7" s="1"/>
  <c r="U355" i="7"/>
  <c r="W355" i="7" s="1"/>
  <c r="F382" i="7" s="1"/>
  <c r="H382" i="7" s="1"/>
  <c r="J382" i="7" s="1"/>
  <c r="K382" i="7" s="1"/>
  <c r="L382" i="7" s="1"/>
  <c r="M382" i="7" s="1"/>
  <c r="U351" i="7"/>
  <c r="W351" i="7" s="1"/>
  <c r="F378" i="7" s="1"/>
  <c r="H378" i="7" s="1"/>
  <c r="J378" i="7" s="1"/>
  <c r="K378" i="7" s="1"/>
  <c r="L378" i="7" s="1"/>
  <c r="M378" i="7" s="1"/>
  <c r="U435" i="7"/>
  <c r="S442" i="7"/>
  <c r="S429" i="7"/>
  <c r="S483" i="7"/>
  <c r="U429" i="7"/>
  <c r="S435" i="7"/>
  <c r="U448" i="7"/>
  <c r="S419" i="7" l="1"/>
  <c r="R299" i="7"/>
  <c r="V299" i="7"/>
  <c r="T299" i="7"/>
  <c r="E50" i="10"/>
  <c r="AT50" i="10"/>
  <c r="AV50" i="10" s="1"/>
  <c r="AV56" i="10" s="1"/>
  <c r="G50" i="10" s="1"/>
  <c r="L50" i="10" s="1"/>
  <c r="M50" i="10" s="1"/>
  <c r="E47" i="10"/>
  <c r="AT21" i="10"/>
  <c r="AV21" i="10" s="1"/>
  <c r="AT11" i="10"/>
  <c r="AV11" i="10" s="1"/>
  <c r="AW11" i="10" s="1"/>
  <c r="E46" i="10"/>
  <c r="H20" i="10"/>
  <c r="E48" i="10"/>
  <c r="AT32" i="10"/>
  <c r="AV32" i="10" s="1"/>
  <c r="E49" i="10"/>
  <c r="AT41" i="10"/>
  <c r="AV41" i="10" s="1"/>
  <c r="AT61" i="10"/>
  <c r="AV61" i="10" s="1"/>
  <c r="E51" i="10"/>
  <c r="AI300" i="7"/>
  <c r="V300" i="7" s="1"/>
  <c r="D344" i="8"/>
  <c r="E341" i="8" s="1"/>
  <c r="AE340" i="8"/>
  <c r="Q260" i="7"/>
  <c r="V269" i="7"/>
  <c r="AE341" i="8"/>
  <c r="V271" i="7"/>
  <c r="AE343" i="8"/>
  <c r="V270" i="7"/>
  <c r="AE342" i="8"/>
  <c r="U273" i="7"/>
  <c r="U443" i="7"/>
  <c r="S467" i="7"/>
  <c r="S491" i="7"/>
  <c r="U361" i="7"/>
  <c r="U466" i="7"/>
  <c r="U459" i="7"/>
  <c r="S443" i="7"/>
  <c r="H375" i="7"/>
  <c r="F388" i="7"/>
  <c r="U453" i="7"/>
  <c r="U408" i="7"/>
  <c r="U491" i="7"/>
  <c r="W361" i="7"/>
  <c r="U401" i="7"/>
  <c r="U419" i="7" l="1"/>
  <c r="G61" i="10" s="1"/>
  <c r="G69" i="10" s="1"/>
  <c r="W299" i="7"/>
  <c r="F326" i="7" s="1"/>
  <c r="H326" i="7" s="1"/>
  <c r="J326" i="7" s="1"/>
  <c r="AI301" i="7"/>
  <c r="AI302" i="7" s="1"/>
  <c r="R300" i="7"/>
  <c r="E52" i="10"/>
  <c r="AW21" i="10"/>
  <c r="AW26" i="10" s="1"/>
  <c r="H47" i="10" s="1"/>
  <c r="AZ21" i="10"/>
  <c r="AZ26" i="10" s="1"/>
  <c r="K47" i="10" s="1"/>
  <c r="AX21" i="10"/>
  <c r="AX26" i="10" s="1"/>
  <c r="I47" i="10" s="1"/>
  <c r="AY21" i="10"/>
  <c r="AY26" i="10" s="1"/>
  <c r="J47" i="10" s="1"/>
  <c r="AV26" i="10"/>
  <c r="G47" i="10" s="1"/>
  <c r="AV16" i="10"/>
  <c r="AY11" i="10"/>
  <c r="AX11" i="10"/>
  <c r="G46" i="10"/>
  <c r="AZ11" i="10"/>
  <c r="T300" i="7"/>
  <c r="AY61" i="10"/>
  <c r="AY66" i="10" s="1"/>
  <c r="J51" i="10" s="1"/>
  <c r="AX61" i="10"/>
  <c r="AX66" i="10" s="1"/>
  <c r="I51" i="10" s="1"/>
  <c r="AV66" i="10"/>
  <c r="G51" i="10" s="1"/>
  <c r="AW61" i="10"/>
  <c r="AW66" i="10" s="1"/>
  <c r="H51" i="10" s="1"/>
  <c r="AZ61" i="10"/>
  <c r="AZ66" i="10" s="1"/>
  <c r="K51" i="10" s="1"/>
  <c r="AW41" i="10"/>
  <c r="AW46" i="10" s="1"/>
  <c r="H49" i="10" s="1"/>
  <c r="AV46" i="10"/>
  <c r="G49" i="10" s="1"/>
  <c r="AX41" i="10"/>
  <c r="AX46" i="10" s="1"/>
  <c r="I49" i="10" s="1"/>
  <c r="AX32" i="10"/>
  <c r="AX37" i="10" s="1"/>
  <c r="I48" i="10" s="1"/>
  <c r="AZ32" i="10"/>
  <c r="AZ37" i="10" s="1"/>
  <c r="K48" i="10" s="1"/>
  <c r="AV37" i="10"/>
  <c r="G48" i="10" s="1"/>
  <c r="AW32" i="10"/>
  <c r="AW37" i="10" s="1"/>
  <c r="H48" i="10" s="1"/>
  <c r="AY32" i="10"/>
  <c r="AY37" i="10" s="1"/>
  <c r="J48" i="10" s="1"/>
  <c r="J502" i="7"/>
  <c r="G64" i="10"/>
  <c r="J500" i="7"/>
  <c r="G62" i="10"/>
  <c r="E340" i="8"/>
  <c r="E343" i="8"/>
  <c r="E342" i="8"/>
  <c r="AG342" i="8"/>
  <c r="AE344" i="8"/>
  <c r="AF340" i="8" s="1"/>
  <c r="W270" i="7"/>
  <c r="AG340" i="8"/>
  <c r="V273" i="7"/>
  <c r="W271" i="7"/>
  <c r="AG343" i="8"/>
  <c r="W269" i="7"/>
  <c r="AG341" i="8"/>
  <c r="U467" i="7"/>
  <c r="H388" i="7"/>
  <c r="J375" i="7"/>
  <c r="J499" i="7" l="1"/>
  <c r="J503" i="7" s="1"/>
  <c r="G165" i="10" s="1"/>
  <c r="V301" i="7"/>
  <c r="R301" i="7"/>
  <c r="T301" i="7"/>
  <c r="W300" i="7"/>
  <c r="F327" i="7" s="1"/>
  <c r="H327" i="7" s="1"/>
  <c r="J327" i="7" s="1"/>
  <c r="K327" i="7" s="1"/>
  <c r="L327" i="7" s="1"/>
  <c r="M327" i="7" s="1"/>
  <c r="L47" i="10"/>
  <c r="M47" i="10" s="1"/>
  <c r="E344" i="8"/>
  <c r="L49" i="10"/>
  <c r="M49" i="10" s="1"/>
  <c r="G52" i="10"/>
  <c r="G171" i="10" s="1"/>
  <c r="AX16" i="10"/>
  <c r="I46" i="10"/>
  <c r="I52" i="10" s="1"/>
  <c r="K171" i="10" s="1"/>
  <c r="L48" i="10"/>
  <c r="M48" i="10" s="1"/>
  <c r="J46" i="10"/>
  <c r="J52" i="10" s="1"/>
  <c r="M171" i="10" s="1"/>
  <c r="AY16" i="10"/>
  <c r="K46" i="10"/>
  <c r="K52" i="10" s="1"/>
  <c r="O171" i="10" s="1"/>
  <c r="AZ16" i="10"/>
  <c r="L51" i="10"/>
  <c r="M51" i="10" s="1"/>
  <c r="H46" i="10"/>
  <c r="H52" i="10" s="1"/>
  <c r="I171" i="10" s="1"/>
  <c r="AW16" i="10"/>
  <c r="G82" i="10"/>
  <c r="J501" i="7"/>
  <c r="G63" i="10"/>
  <c r="G83" i="10"/>
  <c r="I83" i="10" s="1"/>
  <c r="G70" i="10"/>
  <c r="G85" i="10"/>
  <c r="I85" i="10" s="1"/>
  <c r="G72" i="10"/>
  <c r="AF341" i="8"/>
  <c r="AF342" i="8"/>
  <c r="AF343" i="8"/>
  <c r="AI342" i="8"/>
  <c r="X270" i="7"/>
  <c r="W273" i="7"/>
  <c r="X271" i="7"/>
  <c r="AI343" i="8"/>
  <c r="AG344" i="8"/>
  <c r="AH343" i="8" s="1"/>
  <c r="AI341" i="8"/>
  <c r="X269" i="7"/>
  <c r="AI340" i="8"/>
  <c r="J388" i="7"/>
  <c r="K375" i="7"/>
  <c r="V302" i="7"/>
  <c r="AI303" i="7"/>
  <c r="T302" i="7"/>
  <c r="R302" i="7"/>
  <c r="W301" i="7" l="1"/>
  <c r="F328" i="7" s="1"/>
  <c r="H328" i="7" s="1"/>
  <c r="J328" i="7" s="1"/>
  <c r="K328" i="7" s="1"/>
  <c r="L328" i="7" s="1"/>
  <c r="M328" i="7" s="1"/>
  <c r="I82" i="10"/>
  <c r="L46" i="10"/>
  <c r="H25" i="10"/>
  <c r="J85" i="10"/>
  <c r="G96" i="10"/>
  <c r="J83" i="10"/>
  <c r="G94" i="10"/>
  <c r="G84" i="10"/>
  <c r="I84" i="10" s="1"/>
  <c r="G71" i="10"/>
  <c r="AF344" i="8"/>
  <c r="AK343" i="8"/>
  <c r="AK341" i="8"/>
  <c r="AK342" i="8"/>
  <c r="AK340" i="8"/>
  <c r="AH340" i="8"/>
  <c r="X273" i="7"/>
  <c r="AI344" i="8"/>
  <c r="AJ340" i="8" s="1"/>
  <c r="AH341" i="8"/>
  <c r="AH342" i="8"/>
  <c r="W302" i="7"/>
  <c r="F329" i="7" s="1"/>
  <c r="H329" i="7" s="1"/>
  <c r="J329" i="7" s="1"/>
  <c r="K329" i="7" s="1"/>
  <c r="L329" i="7" s="1"/>
  <c r="M329" i="7" s="1"/>
  <c r="L375" i="7"/>
  <c r="K388" i="7"/>
  <c r="R303" i="7"/>
  <c r="V303" i="7"/>
  <c r="T303" i="7"/>
  <c r="AI304" i="7"/>
  <c r="J82" i="10" l="1"/>
  <c r="I93" i="10" s="1"/>
  <c r="G93" i="10"/>
  <c r="L52" i="10"/>
  <c r="M46" i="10"/>
  <c r="M52" i="10" s="1"/>
  <c r="E54" i="10" s="1"/>
  <c r="O159" i="10" s="1"/>
  <c r="K85" i="10"/>
  <c r="I96" i="10"/>
  <c r="J84" i="10"/>
  <c r="G95" i="10"/>
  <c r="K83" i="10"/>
  <c r="I94" i="10"/>
  <c r="AK344" i="8"/>
  <c r="AL342" i="8" s="1"/>
  <c r="AH344" i="8"/>
  <c r="AJ341" i="8"/>
  <c r="AJ343" i="8"/>
  <c r="AJ342" i="8"/>
  <c r="W303" i="7"/>
  <c r="F330" i="7" s="1"/>
  <c r="H330" i="7" s="1"/>
  <c r="J330" i="7" s="1"/>
  <c r="K330" i="7" s="1"/>
  <c r="L330" i="7" s="1"/>
  <c r="M330" i="7" s="1"/>
  <c r="K326" i="7"/>
  <c r="M375" i="7"/>
  <c r="M388" i="7" s="1"/>
  <c r="L388" i="7"/>
  <c r="V304" i="7"/>
  <c r="T304" i="7"/>
  <c r="R304" i="7"/>
  <c r="AI305" i="7"/>
  <c r="K82" i="10" l="1"/>
  <c r="K93" i="10" s="1"/>
  <c r="M28" i="10"/>
  <c r="M32" i="10" s="1"/>
  <c r="G98" i="10"/>
  <c r="D144" i="10" s="1"/>
  <c r="F142" i="10" s="1"/>
  <c r="K84" i="10"/>
  <c r="I95" i="10"/>
  <c r="I98" i="10" s="1"/>
  <c r="F144" i="10" s="1"/>
  <c r="L85" i="10"/>
  <c r="K96" i="10"/>
  <c r="L83" i="10"/>
  <c r="K94" i="10"/>
  <c r="AL341" i="8"/>
  <c r="AL343" i="8"/>
  <c r="AL340" i="8"/>
  <c r="AJ344" i="8"/>
  <c r="V305" i="7"/>
  <c r="T305" i="7"/>
  <c r="R305" i="7"/>
  <c r="AI306" i="7"/>
  <c r="W304" i="7"/>
  <c r="L326" i="7"/>
  <c r="L82" i="10" l="1"/>
  <c r="M93" i="10" s="1"/>
  <c r="AL344" i="8"/>
  <c r="D143" i="10"/>
  <c r="D146" i="10" s="1"/>
  <c r="L84" i="10"/>
  <c r="K95" i="10"/>
  <c r="K98" i="10" s="1"/>
  <c r="F143" i="10"/>
  <c r="H142" i="10"/>
  <c r="M83" i="10"/>
  <c r="O94" i="10" s="1"/>
  <c r="M94" i="10"/>
  <c r="M85" i="10"/>
  <c r="O96" i="10" s="1"/>
  <c r="M96" i="10"/>
  <c r="M326" i="7"/>
  <c r="F331" i="7"/>
  <c r="V306" i="7"/>
  <c r="AI307" i="7"/>
  <c r="T306" i="7"/>
  <c r="R306" i="7"/>
  <c r="W305" i="7"/>
  <c r="F332" i="7" s="1"/>
  <c r="H332" i="7" s="1"/>
  <c r="J332" i="7" s="1"/>
  <c r="K332" i="7" s="1"/>
  <c r="L332" i="7" s="1"/>
  <c r="M332" i="7" s="1"/>
  <c r="M82" i="10" l="1"/>
  <c r="O93" i="10" s="1"/>
  <c r="G158" i="10"/>
  <c r="G162" i="10" s="1"/>
  <c r="H143" i="10"/>
  <c r="H144" i="10"/>
  <c r="J142" i="10" s="1"/>
  <c r="M84" i="10"/>
  <c r="O95" i="10" s="1"/>
  <c r="M95" i="10"/>
  <c r="M98" i="10" s="1"/>
  <c r="F146" i="10"/>
  <c r="I158" i="10" s="1"/>
  <c r="I162" i="10" s="1"/>
  <c r="W306" i="7"/>
  <c r="F333" i="7" s="1"/>
  <c r="H333" i="7" s="1"/>
  <c r="J333" i="7" s="1"/>
  <c r="K333" i="7" s="1"/>
  <c r="L333" i="7" s="1"/>
  <c r="M333" i="7" s="1"/>
  <c r="H331" i="7"/>
  <c r="R307" i="7"/>
  <c r="V307" i="7"/>
  <c r="T307" i="7"/>
  <c r="AI308" i="7"/>
  <c r="O98" i="10" l="1"/>
  <c r="L143" i="10" s="1"/>
  <c r="H146" i="10"/>
  <c r="K162" i="10" s="1"/>
  <c r="J144" i="10"/>
  <c r="L142" i="10" s="1"/>
  <c r="J143" i="10"/>
  <c r="V308" i="7"/>
  <c r="T308" i="7"/>
  <c r="R308" i="7"/>
  <c r="AI309" i="7"/>
  <c r="W307" i="7"/>
  <c r="F334" i="7" s="1"/>
  <c r="H334" i="7" s="1"/>
  <c r="J334" i="7" s="1"/>
  <c r="K334" i="7" s="1"/>
  <c r="L334" i="7" s="1"/>
  <c r="M334" i="7" s="1"/>
  <c r="J331" i="7"/>
  <c r="L144" i="10" l="1"/>
  <c r="L146" i="10" s="1"/>
  <c r="O158" i="10" s="1"/>
  <c r="O162" i="10" s="1"/>
  <c r="J146" i="10"/>
  <c r="M158" i="10" s="1"/>
  <c r="M162" i="10" s="1"/>
  <c r="W308" i="7"/>
  <c r="F335" i="7" s="1"/>
  <c r="H335" i="7" s="1"/>
  <c r="J335" i="7" s="1"/>
  <c r="K335" i="7" s="1"/>
  <c r="L335" i="7" s="1"/>
  <c r="M335" i="7" s="1"/>
  <c r="K331" i="7"/>
  <c r="V309" i="7"/>
  <c r="T309" i="7"/>
  <c r="R309" i="7"/>
  <c r="AI310" i="7"/>
  <c r="G197" i="10" l="1"/>
  <c r="W309" i="7"/>
  <c r="F336" i="7" s="1"/>
  <c r="H336" i="7" s="1"/>
  <c r="J336" i="7" s="1"/>
  <c r="K336" i="7" s="1"/>
  <c r="L336" i="7" s="1"/>
  <c r="M336" i="7" s="1"/>
  <c r="L331" i="7"/>
  <c r="V310" i="7"/>
  <c r="T310" i="7"/>
  <c r="R310" i="7"/>
  <c r="AI311" i="7"/>
  <c r="M331" i="7" l="1"/>
  <c r="W310" i="7"/>
  <c r="F337" i="7" s="1"/>
  <c r="H337" i="7" s="1"/>
  <c r="R311" i="7"/>
  <c r="V311" i="7"/>
  <c r="V312" i="7" s="1"/>
  <c r="T311" i="7"/>
  <c r="T312" i="7" s="1"/>
  <c r="AI312" i="7"/>
  <c r="J337" i="7" l="1"/>
  <c r="W311" i="7"/>
  <c r="R312" i="7"/>
  <c r="K337" i="7" l="1"/>
  <c r="F338" i="7"/>
  <c r="W312" i="7"/>
  <c r="H338" i="7" l="1"/>
  <c r="F339" i="7"/>
  <c r="L337" i="7"/>
  <c r="M337" i="7" l="1"/>
  <c r="J338" i="7"/>
  <c r="H339" i="7"/>
  <c r="K338" i="7" l="1"/>
  <c r="J339" i="7"/>
  <c r="L338" i="7" l="1"/>
  <c r="K339" i="7"/>
  <c r="M338" i="7" l="1"/>
  <c r="M339" i="7" s="1"/>
  <c r="L339" i="7"/>
  <c r="H339" i="3" l="1"/>
  <c r="L316" i="3" l="1"/>
  <c r="L299" i="3"/>
  <c r="L315" i="3"/>
  <c r="L293" i="3"/>
  <c r="L291" i="3"/>
  <c r="L292" i="3"/>
  <c r="I324" i="3" l="1"/>
  <c r="AC396" i="7" s="1"/>
  <c r="V416" i="7" s="1"/>
  <c r="V413" i="7" l="1"/>
  <c r="V450" i="7"/>
  <c r="V438" i="7"/>
  <c r="V475" i="7"/>
  <c r="V441" i="7"/>
  <c r="V485" i="7"/>
  <c r="V440" i="7"/>
  <c r="V400" i="7"/>
  <c r="V398" i="7"/>
  <c r="V451" i="7"/>
  <c r="V487" i="7"/>
  <c r="V473" i="7"/>
  <c r="V424" i="7"/>
  <c r="V426" i="7"/>
  <c r="V479" i="7"/>
  <c r="V427" i="7"/>
  <c r="V410" i="7"/>
  <c r="V405" i="7"/>
  <c r="V434" i="7"/>
  <c r="V428" i="7"/>
  <c r="V412" i="7"/>
  <c r="V482" i="7"/>
  <c r="V404" i="7"/>
  <c r="V452" i="7"/>
  <c r="V432" i="7"/>
  <c r="V439" i="7"/>
  <c r="V464" i="7"/>
  <c r="V481" i="7"/>
  <c r="V414" i="7"/>
  <c r="V462" i="7"/>
  <c r="V457" i="7"/>
  <c r="V486" i="7"/>
  <c r="V407" i="7"/>
  <c r="V417" i="7"/>
  <c r="V489" i="7"/>
  <c r="V411" i="7"/>
  <c r="V437" i="7"/>
  <c r="V431" i="7"/>
  <c r="V463" i="7"/>
  <c r="V458" i="7"/>
  <c r="V465" i="7"/>
  <c r="V397" i="7"/>
  <c r="V415" i="7"/>
  <c r="V488" i="7"/>
  <c r="V456" i="7"/>
  <c r="V449" i="7"/>
  <c r="V425" i="7"/>
  <c r="V406" i="7"/>
  <c r="V476" i="7"/>
  <c r="V433" i="7"/>
  <c r="V480" i="7"/>
  <c r="V474" i="7"/>
  <c r="V399" i="7"/>
  <c r="V448" i="7"/>
  <c r="V455" i="7"/>
  <c r="V472" i="7"/>
  <c r="V396" i="7"/>
  <c r="V403" i="7"/>
  <c r="V461" i="7"/>
  <c r="P21" i="5"/>
  <c r="P22" i="5"/>
  <c r="P23" i="5"/>
  <c r="P24" i="5"/>
  <c r="P25" i="5"/>
  <c r="P26" i="5"/>
  <c r="P27" i="5"/>
  <c r="P20" i="5"/>
  <c r="P19" i="5"/>
  <c r="P18" i="5"/>
  <c r="P17" i="5"/>
  <c r="P16" i="5"/>
  <c r="P15" i="5"/>
  <c r="P14" i="5"/>
  <c r="P13" i="5"/>
  <c r="P12" i="5"/>
  <c r="P11" i="5"/>
  <c r="P10" i="5"/>
  <c r="P9" i="5"/>
  <c r="P8" i="5"/>
  <c r="P7" i="5"/>
  <c r="I3" i="5"/>
  <c r="H3" i="5"/>
  <c r="E29" i="3"/>
  <c r="D29" i="3" s="1"/>
  <c r="V483" i="7" l="1"/>
  <c r="V435" i="7"/>
  <c r="V442" i="7"/>
  <c r="V429" i="7"/>
  <c r="V490" i="7"/>
  <c r="V459" i="7"/>
  <c r="V453" i="7"/>
  <c r="V418" i="7"/>
  <c r="V401" i="7"/>
  <c r="V466" i="7"/>
  <c r="V408" i="7"/>
  <c r="V477" i="7"/>
  <c r="H348" i="3"/>
  <c r="J324" i="3"/>
  <c r="AC397" i="7" s="1"/>
  <c r="W461" i="7" s="1"/>
  <c r="K324" i="3"/>
  <c r="AC398" i="7" s="1"/>
  <c r="L324" i="3"/>
  <c r="AC399" i="7" s="1"/>
  <c r="H349" i="3"/>
  <c r="H350" i="3"/>
  <c r="H351" i="3"/>
  <c r="H353" i="3"/>
  <c r="H354" i="3"/>
  <c r="H355" i="3"/>
  <c r="H356" i="3"/>
  <c r="H358" i="3"/>
  <c r="H359" i="3"/>
  <c r="H360" i="3"/>
  <c r="H361" i="3"/>
  <c r="H363" i="3"/>
  <c r="H364" i="3"/>
  <c r="H365" i="3"/>
  <c r="H366" i="3"/>
  <c r="H329" i="3"/>
  <c r="H330" i="3"/>
  <c r="H331" i="3"/>
  <c r="H332" i="3"/>
  <c r="H345" i="3"/>
  <c r="F366" i="3"/>
  <c r="B366" i="3"/>
  <c r="F365" i="3"/>
  <c r="B365" i="3"/>
  <c r="F364" i="3"/>
  <c r="B364" i="3"/>
  <c r="B363" i="3"/>
  <c r="F361" i="3"/>
  <c r="B361" i="3"/>
  <c r="F360" i="3"/>
  <c r="B360" i="3"/>
  <c r="F359" i="3"/>
  <c r="B359" i="3"/>
  <c r="B358" i="3"/>
  <c r="F356" i="3"/>
  <c r="B356" i="3"/>
  <c r="F355" i="3"/>
  <c r="B355" i="3"/>
  <c r="F354" i="3"/>
  <c r="B354" i="3"/>
  <c r="B353" i="3"/>
  <c r="F351" i="3"/>
  <c r="B351" i="3"/>
  <c r="F350" i="3"/>
  <c r="B350" i="3"/>
  <c r="F349" i="3"/>
  <c r="B349" i="3"/>
  <c r="B348" i="3"/>
  <c r="B332" i="3"/>
  <c r="B331" i="3"/>
  <c r="B330" i="3"/>
  <c r="B329" i="3"/>
  <c r="J323" i="3"/>
  <c r="K323" i="3" s="1"/>
  <c r="L323" i="3" s="1"/>
  <c r="I50" i="3"/>
  <c r="J50" i="3" s="1"/>
  <c r="K50" i="3" s="1"/>
  <c r="L50" i="3" s="1"/>
  <c r="C50" i="3"/>
  <c r="D50" i="3" s="1"/>
  <c r="E50" i="3" s="1"/>
  <c r="F50" i="3" s="1"/>
  <c r="K29" i="3"/>
  <c r="J29" i="3" s="1"/>
  <c r="I29" i="3" s="1"/>
  <c r="H29" i="3" s="1"/>
  <c r="C29" i="3"/>
  <c r="B29" i="3" s="1"/>
  <c r="W404" i="7" l="1"/>
  <c r="X404" i="7" s="1"/>
  <c r="Y404" i="7" s="1"/>
  <c r="W416" i="7"/>
  <c r="X416" i="7" s="1"/>
  <c r="Y416" i="7" s="1"/>
  <c r="W488" i="7"/>
  <c r="X488" i="7" s="1"/>
  <c r="Y488" i="7" s="1"/>
  <c r="W432" i="7"/>
  <c r="X432" i="7" s="1"/>
  <c r="Y432" i="7" s="1"/>
  <c r="W427" i="7"/>
  <c r="X427" i="7" s="1"/>
  <c r="Y427" i="7" s="1"/>
  <c r="W397" i="7"/>
  <c r="X397" i="7" s="1"/>
  <c r="Y397" i="7" s="1"/>
  <c r="W424" i="7"/>
  <c r="X424" i="7" s="1"/>
  <c r="W476" i="7"/>
  <c r="X476" i="7" s="1"/>
  <c r="Y476" i="7" s="1"/>
  <c r="W426" i="7"/>
  <c r="X426" i="7" s="1"/>
  <c r="Y426" i="7" s="1"/>
  <c r="W398" i="7"/>
  <c r="X398" i="7" s="1"/>
  <c r="Y398" i="7" s="1"/>
  <c r="W407" i="7"/>
  <c r="X407" i="7" s="1"/>
  <c r="Y407" i="7" s="1"/>
  <c r="W410" i="7"/>
  <c r="X410" i="7" s="1"/>
  <c r="Y410" i="7" s="1"/>
  <c r="W439" i="7"/>
  <c r="X439" i="7" s="1"/>
  <c r="Y439" i="7" s="1"/>
  <c r="W489" i="7"/>
  <c r="X489" i="7" s="1"/>
  <c r="Y489" i="7" s="1"/>
  <c r="V443" i="7"/>
  <c r="W452" i="7"/>
  <c r="X452" i="7" s="1"/>
  <c r="Y452" i="7" s="1"/>
  <c r="W417" i="7"/>
  <c r="X417" i="7" s="1"/>
  <c r="Y417" i="7" s="1"/>
  <c r="W412" i="7"/>
  <c r="X412" i="7" s="1"/>
  <c r="Y412" i="7" s="1"/>
  <c r="W465" i="7"/>
  <c r="X465" i="7" s="1"/>
  <c r="Y465" i="7" s="1"/>
  <c r="W433" i="7"/>
  <c r="X433" i="7" s="1"/>
  <c r="Y433" i="7" s="1"/>
  <c r="W448" i="7"/>
  <c r="W485" i="7"/>
  <c r="W411" i="7"/>
  <c r="X411" i="7" s="1"/>
  <c r="Y411" i="7" s="1"/>
  <c r="W431" i="7"/>
  <c r="W486" i="7"/>
  <c r="X486" i="7" s="1"/>
  <c r="Y486" i="7" s="1"/>
  <c r="W456" i="7"/>
  <c r="X456" i="7" s="1"/>
  <c r="Y456" i="7" s="1"/>
  <c r="V419" i="7"/>
  <c r="L499" i="7" s="1"/>
  <c r="W464" i="7"/>
  <c r="X464" i="7" s="1"/>
  <c r="Y464" i="7" s="1"/>
  <c r="V467" i="7"/>
  <c r="W474" i="7"/>
  <c r="X474" i="7" s="1"/>
  <c r="Y474" i="7" s="1"/>
  <c r="W463" i="7"/>
  <c r="X463" i="7" s="1"/>
  <c r="Y463" i="7" s="1"/>
  <c r="W458" i="7"/>
  <c r="X458" i="7" s="1"/>
  <c r="Y458" i="7" s="1"/>
  <c r="W403" i="7"/>
  <c r="W462" i="7"/>
  <c r="X462" i="7" s="1"/>
  <c r="Y462" i="7" s="1"/>
  <c r="W396" i="7"/>
  <c r="W415" i="7"/>
  <c r="X415" i="7" s="1"/>
  <c r="Y415" i="7" s="1"/>
  <c r="W455" i="7"/>
  <c r="W399" i="7"/>
  <c r="X399" i="7" s="1"/>
  <c r="Y399" i="7" s="1"/>
  <c r="W414" i="7"/>
  <c r="X414" i="7" s="1"/>
  <c r="Y414" i="7" s="1"/>
  <c r="W400" i="7"/>
  <c r="X400" i="7" s="1"/>
  <c r="Y400" i="7" s="1"/>
  <c r="X461" i="7"/>
  <c r="W406" i="7"/>
  <c r="X406" i="7" s="1"/>
  <c r="Y406" i="7" s="1"/>
  <c r="W457" i="7"/>
  <c r="X457" i="7" s="1"/>
  <c r="Y457" i="7" s="1"/>
  <c r="W479" i="7"/>
  <c r="V491" i="7"/>
  <c r="W480" i="7"/>
  <c r="X480" i="7" s="1"/>
  <c r="Y480" i="7" s="1"/>
  <c r="W450" i="7"/>
  <c r="X450" i="7" s="1"/>
  <c r="Y450" i="7" s="1"/>
  <c r="W487" i="7"/>
  <c r="X487" i="7" s="1"/>
  <c r="Y487" i="7" s="1"/>
  <c r="W475" i="7"/>
  <c r="X475" i="7" s="1"/>
  <c r="Y475" i="7" s="1"/>
  <c r="W425" i="7"/>
  <c r="X425" i="7" s="1"/>
  <c r="Y425" i="7" s="1"/>
  <c r="W449" i="7"/>
  <c r="X449" i="7" s="1"/>
  <c r="Y449" i="7" s="1"/>
  <c r="W434" i="7"/>
  <c r="X434" i="7" s="1"/>
  <c r="Y434" i="7" s="1"/>
  <c r="W438" i="7"/>
  <c r="X438" i="7" s="1"/>
  <c r="Y438" i="7" s="1"/>
  <c r="W482" i="7"/>
  <c r="X482" i="7" s="1"/>
  <c r="Y482" i="7" s="1"/>
  <c r="W440" i="7"/>
  <c r="X440" i="7" s="1"/>
  <c r="Y440" i="7" s="1"/>
  <c r="W413" i="7"/>
  <c r="X413" i="7" s="1"/>
  <c r="Y413" i="7" s="1"/>
  <c r="W472" i="7"/>
  <c r="W428" i="7"/>
  <c r="X428" i="7" s="1"/>
  <c r="Y428" i="7" s="1"/>
  <c r="W451" i="7"/>
  <c r="X451" i="7" s="1"/>
  <c r="Y451" i="7" s="1"/>
  <c r="W405" i="7"/>
  <c r="X405" i="7" s="1"/>
  <c r="Y405" i="7" s="1"/>
  <c r="W481" i="7"/>
  <c r="X481" i="7" s="1"/>
  <c r="Y481" i="7" s="1"/>
  <c r="W473" i="7"/>
  <c r="X473" i="7" s="1"/>
  <c r="Y473" i="7" s="1"/>
  <c r="W441" i="7"/>
  <c r="X441" i="7" s="1"/>
  <c r="Y441" i="7" s="1"/>
  <c r="W437" i="7"/>
  <c r="H333" i="3"/>
  <c r="I360" i="3"/>
  <c r="J360" i="3" s="1"/>
  <c r="K360" i="3" s="1"/>
  <c r="L360" i="3" s="1"/>
  <c r="I361" i="3"/>
  <c r="J361" i="3" s="1"/>
  <c r="K361" i="3" s="1"/>
  <c r="L361" i="3" s="1"/>
  <c r="I354" i="3"/>
  <c r="J354" i="3" s="1"/>
  <c r="K354" i="3" s="1"/>
  <c r="L354" i="3" s="1"/>
  <c r="I343" i="3"/>
  <c r="J343" i="3" s="1"/>
  <c r="K343" i="3" s="1"/>
  <c r="L343" i="3" s="1"/>
  <c r="I337" i="3"/>
  <c r="J337" i="3" s="1"/>
  <c r="K337" i="3" s="1"/>
  <c r="L337" i="3" s="1"/>
  <c r="I353" i="3"/>
  <c r="J353" i="3" s="1"/>
  <c r="K353" i="3" s="1"/>
  <c r="L353" i="3" s="1"/>
  <c r="I364" i="3"/>
  <c r="J364" i="3" s="1"/>
  <c r="K364" i="3" s="1"/>
  <c r="L364" i="3" s="1"/>
  <c r="I356" i="3"/>
  <c r="J356" i="3" s="1"/>
  <c r="K356" i="3" s="1"/>
  <c r="L356" i="3" s="1"/>
  <c r="I338" i="3"/>
  <c r="J338" i="3" s="1"/>
  <c r="K338" i="3" s="1"/>
  <c r="L338" i="3" s="1"/>
  <c r="I330" i="3"/>
  <c r="J330" i="3" s="1"/>
  <c r="K330" i="3" s="1"/>
  <c r="L330" i="3" s="1"/>
  <c r="I342" i="3"/>
  <c r="J342" i="3" s="1"/>
  <c r="K342" i="3" s="1"/>
  <c r="L342" i="3" s="1"/>
  <c r="I349" i="3"/>
  <c r="J349" i="3" s="1"/>
  <c r="K349" i="3" s="1"/>
  <c r="L349" i="3" s="1"/>
  <c r="I329" i="3"/>
  <c r="I341" i="3"/>
  <c r="I344" i="3"/>
  <c r="J344" i="3" s="1"/>
  <c r="K344" i="3" s="1"/>
  <c r="L344" i="3" s="1"/>
  <c r="I348" i="3"/>
  <c r="I350" i="3"/>
  <c r="J350" i="3" s="1"/>
  <c r="K350" i="3" s="1"/>
  <c r="L350" i="3" s="1"/>
  <c r="I365" i="3"/>
  <c r="J365" i="3" s="1"/>
  <c r="K365" i="3" s="1"/>
  <c r="L365" i="3" s="1"/>
  <c r="I332" i="3"/>
  <c r="J332" i="3" s="1"/>
  <c r="K332" i="3" s="1"/>
  <c r="L332" i="3" s="1"/>
  <c r="I336" i="3"/>
  <c r="J336" i="3" s="1"/>
  <c r="K336" i="3" s="1"/>
  <c r="L336" i="3" s="1"/>
  <c r="I363" i="3"/>
  <c r="J363" i="3" s="1"/>
  <c r="K363" i="3" s="1"/>
  <c r="L363" i="3" s="1"/>
  <c r="I359" i="3"/>
  <c r="J359" i="3" s="1"/>
  <c r="K359" i="3" s="1"/>
  <c r="L359" i="3" s="1"/>
  <c r="I335" i="3"/>
  <c r="I366" i="3"/>
  <c r="J366" i="3" s="1"/>
  <c r="K366" i="3" s="1"/>
  <c r="L366" i="3" s="1"/>
  <c r="I355" i="3"/>
  <c r="J355" i="3" s="1"/>
  <c r="K355" i="3" s="1"/>
  <c r="L355" i="3" s="1"/>
  <c r="I351" i="3"/>
  <c r="J351" i="3" s="1"/>
  <c r="K351" i="3" s="1"/>
  <c r="L351" i="3" s="1"/>
  <c r="I331" i="3"/>
  <c r="J331" i="3" s="1"/>
  <c r="K331" i="3" s="1"/>
  <c r="L331" i="3" s="1"/>
  <c r="I358" i="3"/>
  <c r="J358" i="3" s="1"/>
  <c r="K358" i="3" s="1"/>
  <c r="L358" i="3" s="1"/>
  <c r="W483" i="7" l="1"/>
  <c r="X479" i="7"/>
  <c r="X431" i="7"/>
  <c r="W435" i="7"/>
  <c r="X485" i="7"/>
  <c r="W490" i="7"/>
  <c r="H62" i="10"/>
  <c r="I70" i="10" s="1"/>
  <c r="L500" i="7"/>
  <c r="W477" i="7"/>
  <c r="X472" i="7"/>
  <c r="X455" i="7"/>
  <c r="W459" i="7"/>
  <c r="L501" i="7"/>
  <c r="H63" i="10"/>
  <c r="I71" i="10" s="1"/>
  <c r="X448" i="7"/>
  <c r="W453" i="7"/>
  <c r="W418" i="7"/>
  <c r="W442" i="7"/>
  <c r="X437" i="7"/>
  <c r="W429" i="7"/>
  <c r="X429" i="7"/>
  <c r="Y424" i="7"/>
  <c r="Y429" i="7" s="1"/>
  <c r="W466" i="7"/>
  <c r="X396" i="7"/>
  <c r="W401" i="7"/>
  <c r="H61" i="10"/>
  <c r="I69" i="10" s="1"/>
  <c r="L502" i="7"/>
  <c r="H64" i="10"/>
  <c r="I72" i="10" s="1"/>
  <c r="Y461" i="7"/>
  <c r="Y466" i="7" s="1"/>
  <c r="X466" i="7"/>
  <c r="X403" i="7"/>
  <c r="W408" i="7"/>
  <c r="H368" i="3"/>
  <c r="J329" i="3"/>
  <c r="K329" i="3" s="1"/>
  <c r="I333" i="3"/>
  <c r="J348" i="3"/>
  <c r="I367" i="3"/>
  <c r="J335" i="3"/>
  <c r="I339" i="3"/>
  <c r="J341" i="3"/>
  <c r="I345" i="3"/>
  <c r="W443" i="7" l="1"/>
  <c r="O500" i="7" s="1"/>
  <c r="W467" i="7"/>
  <c r="I63" i="10" s="1"/>
  <c r="K71" i="10" s="1"/>
  <c r="I62" i="10"/>
  <c r="K70" i="10" s="1"/>
  <c r="Y485" i="7"/>
  <c r="Y490" i="7" s="1"/>
  <c r="X490" i="7"/>
  <c r="X442" i="7"/>
  <c r="Y437" i="7"/>
  <c r="Y442" i="7" s="1"/>
  <c r="H309" i="8"/>
  <c r="G166" i="10"/>
  <c r="X459" i="7"/>
  <c r="Y455" i="7"/>
  <c r="Y459" i="7" s="1"/>
  <c r="X435" i="7"/>
  <c r="Y431" i="7"/>
  <c r="Y435" i="7" s="1"/>
  <c r="X418" i="7"/>
  <c r="Y418" i="7"/>
  <c r="Y472" i="7"/>
  <c r="Y477" i="7" s="1"/>
  <c r="X477" i="7"/>
  <c r="X483" i="7"/>
  <c r="Y479" i="7"/>
  <c r="Y483" i="7" s="1"/>
  <c r="X453" i="7"/>
  <c r="Y448" i="7"/>
  <c r="Y453" i="7" s="1"/>
  <c r="L503" i="7"/>
  <c r="I165" i="10" s="1"/>
  <c r="W419" i="7"/>
  <c r="O499" i="7" s="1"/>
  <c r="X408" i="7"/>
  <c r="Y403" i="7"/>
  <c r="Y408" i="7" s="1"/>
  <c r="X401" i="7"/>
  <c r="Y396" i="7"/>
  <c r="Y401" i="7" s="1"/>
  <c r="W491" i="7"/>
  <c r="K348" i="3"/>
  <c r="J367" i="3"/>
  <c r="K341" i="3"/>
  <c r="J345" i="3"/>
  <c r="J333" i="3"/>
  <c r="J339" i="3"/>
  <c r="K335" i="3"/>
  <c r="I368" i="3"/>
  <c r="H325" i="8" l="1"/>
  <c r="F332" i="8" s="1"/>
  <c r="F333" i="8" s="1"/>
  <c r="F340" i="8" s="1"/>
  <c r="Y467" i="7"/>
  <c r="O501" i="7"/>
  <c r="G309" i="8"/>
  <c r="G325" i="8" s="1"/>
  <c r="X419" i="7"/>
  <c r="S499" i="7" s="1"/>
  <c r="Y419" i="7"/>
  <c r="Y443" i="7"/>
  <c r="V500" i="7" s="1"/>
  <c r="X467" i="7"/>
  <c r="S501" i="7" s="1"/>
  <c r="X443" i="7"/>
  <c r="S500" i="7"/>
  <c r="J62" i="10"/>
  <c r="M70" i="10" s="1"/>
  <c r="I64" i="10"/>
  <c r="K72" i="10" s="1"/>
  <c r="O502" i="7"/>
  <c r="X491" i="7"/>
  <c r="Y491" i="7"/>
  <c r="I61" i="10"/>
  <c r="K69" i="10" s="1"/>
  <c r="K63" i="10"/>
  <c r="O71" i="10" s="1"/>
  <c r="V501" i="7"/>
  <c r="J63" i="10"/>
  <c r="M71" i="10" s="1"/>
  <c r="I309" i="8"/>
  <c r="I325" i="8" s="1"/>
  <c r="G332" i="8" s="1"/>
  <c r="G333" i="8" s="1"/>
  <c r="AM340" i="8" s="1"/>
  <c r="G340" i="8" s="1"/>
  <c r="I166" i="10"/>
  <c r="J368" i="3"/>
  <c r="K367" i="3"/>
  <c r="L348" i="3"/>
  <c r="L367" i="3" s="1"/>
  <c r="L341" i="3"/>
  <c r="L345" i="3" s="1"/>
  <c r="K345" i="3"/>
  <c r="K339" i="3"/>
  <c r="L335" i="3"/>
  <c r="L339" i="3" s="1"/>
  <c r="L329" i="3"/>
  <c r="L333" i="3" s="1"/>
  <c r="K333" i="3"/>
  <c r="G168" i="10" l="1"/>
  <c r="H27" i="10"/>
  <c r="H28" i="10" s="1"/>
  <c r="H32" i="10" s="1"/>
  <c r="F104" i="10" s="1"/>
  <c r="K61" i="10"/>
  <c r="O69" i="10" s="1"/>
  <c r="V499" i="7"/>
  <c r="I168" i="10"/>
  <c r="J61" i="10"/>
  <c r="M69" i="10" s="1"/>
  <c r="K62" i="10"/>
  <c r="O70" i="10" s="1"/>
  <c r="K64" i="10"/>
  <c r="O72" i="10" s="1"/>
  <c r="V502" i="7"/>
  <c r="J64" i="10"/>
  <c r="M72" i="10" s="1"/>
  <c r="S502" i="7"/>
  <c r="S503" i="7" s="1"/>
  <c r="M165" i="10" s="1"/>
  <c r="J309" i="8"/>
  <c r="J325" i="8" s="1"/>
  <c r="H332" i="8" s="1"/>
  <c r="H333" i="8" s="1"/>
  <c r="K166" i="10"/>
  <c r="AM341" i="8"/>
  <c r="G341" i="8" s="1"/>
  <c r="O503" i="7"/>
  <c r="K165" i="10" s="1"/>
  <c r="AM343" i="8"/>
  <c r="G343" i="8" s="1"/>
  <c r="AM342" i="8"/>
  <c r="G342" i="8" s="1"/>
  <c r="F342" i="8"/>
  <c r="F341" i="8"/>
  <c r="F343" i="8"/>
  <c r="K368" i="3"/>
  <c r="L368" i="3"/>
  <c r="F108" i="10" l="1"/>
  <c r="F110" i="10"/>
  <c r="F107" i="10"/>
  <c r="E178" i="10"/>
  <c r="E180" i="10" s="1"/>
  <c r="F109" i="10"/>
  <c r="E161" i="10" s="1"/>
  <c r="K168" i="10"/>
  <c r="V503" i="7"/>
  <c r="O165" i="10" s="1"/>
  <c r="AN341" i="8"/>
  <c r="H341" i="8" s="1"/>
  <c r="AN342" i="8"/>
  <c r="H342" i="8" s="1"/>
  <c r="AN343" i="8"/>
  <c r="H343" i="8" s="1"/>
  <c r="AN340" i="8"/>
  <c r="H340" i="8" s="1"/>
  <c r="L309" i="8"/>
  <c r="L325" i="8" s="1"/>
  <c r="J332" i="8" s="1"/>
  <c r="J333" i="8" s="1"/>
  <c r="O166" i="10"/>
  <c r="K309" i="8"/>
  <c r="K325" i="8" s="1"/>
  <c r="I332" i="8" s="1"/>
  <c r="I333" i="8" s="1"/>
  <c r="AO342" i="8" s="1"/>
  <c r="I342" i="8" s="1"/>
  <c r="M166" i="10"/>
  <c r="AM344" i="8"/>
  <c r="G344" i="8"/>
  <c r="F344" i="8"/>
  <c r="D117" i="10" l="1"/>
  <c r="K123" i="10" s="1"/>
  <c r="C124" i="10" s="1"/>
  <c r="E160" i="10"/>
  <c r="E162" i="10" s="1"/>
  <c r="F111" i="10"/>
  <c r="AN344" i="8"/>
  <c r="H344" i="8"/>
  <c r="AP342" i="8"/>
  <c r="J342" i="8" s="1"/>
  <c r="AP343" i="8"/>
  <c r="J343" i="8" s="1"/>
  <c r="AP341" i="8"/>
  <c r="J341" i="8" s="1"/>
  <c r="AP340" i="8"/>
  <c r="J340" i="8" s="1"/>
  <c r="M168" i="10"/>
  <c r="O168" i="10"/>
  <c r="AO340" i="8"/>
  <c r="I340" i="8" s="1"/>
  <c r="AO343" i="8"/>
  <c r="I343" i="8" s="1"/>
  <c r="AO341" i="8"/>
  <c r="I341" i="8" s="1"/>
  <c r="D120" i="10" l="1"/>
  <c r="E127" i="10" s="1"/>
  <c r="J344" i="8"/>
  <c r="AO344" i="8"/>
  <c r="AP344" i="8"/>
  <c r="I344" i="8"/>
  <c r="G124" i="10"/>
  <c r="G169" i="10" s="1"/>
  <c r="E126" i="10" l="1"/>
  <c r="E124" i="10"/>
  <c r="I124" i="10" s="1"/>
  <c r="K124" i="10" s="1"/>
  <c r="C125" i="10" s="1"/>
  <c r="E128" i="10"/>
  <c r="E125" i="10"/>
  <c r="G170" i="10" l="1"/>
  <c r="G172" i="10" s="1"/>
  <c r="G125" i="10"/>
  <c r="G174" i="10" l="1"/>
  <c r="G176" i="10" s="1"/>
  <c r="G180" i="10" s="1"/>
  <c r="I169" i="10"/>
  <c r="I125" i="10"/>
  <c r="G182" i="10" l="1"/>
  <c r="I170" i="10"/>
  <c r="I172" i="10" s="1"/>
  <c r="K125" i="10"/>
  <c r="C126" i="10" s="1"/>
  <c r="I181" i="10" l="1"/>
  <c r="I174" i="10"/>
  <c r="I175" i="10" s="1"/>
  <c r="G126" i="10"/>
  <c r="I176" i="10" l="1"/>
  <c r="I180" i="10" s="1"/>
  <c r="K169" i="10"/>
  <c r="I126" i="10"/>
  <c r="I182" i="10" l="1"/>
  <c r="K170" i="10"/>
  <c r="K172" i="10" s="1"/>
  <c r="K126" i="10"/>
  <c r="C127" i="10" s="1"/>
  <c r="K181" i="10" l="1"/>
  <c r="G127" i="10"/>
  <c r="K174" i="10"/>
  <c r="K175" i="10" s="1"/>
  <c r="K176" i="10" l="1"/>
  <c r="K180" i="10" s="1"/>
  <c r="M169" i="10"/>
  <c r="I127" i="10"/>
  <c r="K182" i="10" l="1"/>
  <c r="M170" i="10"/>
  <c r="M172" i="10" s="1"/>
  <c r="K127" i="10"/>
  <c r="C128" i="10" s="1"/>
  <c r="M181" i="10" l="1"/>
  <c r="G128" i="10"/>
  <c r="M174" i="10"/>
  <c r="M175" i="10" s="1"/>
  <c r="M176" i="10" l="1"/>
  <c r="M180" i="10" s="1"/>
  <c r="O169" i="10"/>
  <c r="I128" i="10"/>
  <c r="M182" i="10" l="1"/>
  <c r="O170" i="10"/>
  <c r="O172" i="10" s="1"/>
  <c r="G198" i="10" s="1"/>
  <c r="K128" i="10"/>
  <c r="G199" i="10" l="1"/>
  <c r="G200" i="10" s="1"/>
  <c r="O181" i="10"/>
  <c r="O174" i="10"/>
  <c r="O175" i="10" l="1"/>
  <c r="O176" i="10" s="1"/>
  <c r="O180" i="10" s="1"/>
  <c r="G196" i="10" l="1"/>
  <c r="G194" i="10"/>
  <c r="G195" i="10" s="1"/>
  <c r="O18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Said Ali</author>
  </authors>
  <commentList>
    <comment ref="B165" authorId="0" shapeId="0" xr:uid="{7836E017-1A1C-4E5D-8034-54B6DE6E9DEF}">
      <text>
        <r>
          <rPr>
            <b/>
            <sz val="9"/>
            <color indexed="81"/>
            <rFont val="Tahoma"/>
            <charset val="1"/>
          </rPr>
          <t>Said Ali:</t>
        </r>
        <r>
          <rPr>
            <sz val="9"/>
            <color indexed="81"/>
            <rFont val="Tahoma"/>
            <charset val="1"/>
          </rPr>
          <t xml:space="preserve">
Estos costos se hallaron teniendo en cuenta dentro de los CIF el salario base del personal administrativo, los honorarios por servicios de terceros y la depreciación. Así que se le restan los valores contables de cada concepto para no computarlos doblemente en el flujo de caja, ya que estan dentro de los Gastos de Mano de Obra Administrativa, Los Gastos de administración y Generales, y la Depreciación, respectivamente.
Este costo se calculó en el estudio técnico de esta manera, debido a que se utilizó el método de costeo absorbente para determinar el costo unitario del servicio sin costos ocultos, y asignar el precio correcto de venta</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A005FA-35FA-4203-9689-5E61B635102B}" keepAlive="1" name="Consulta - Tabla 1" description="Conexión a la consulta 'Tabla 1' en el libro." type="5" refreshedVersion="0" background="1">
    <dbPr connection="Provider=Microsoft.Mashup.OleDb.1;Data Source=$Workbook$;Location=&quot;Tabla 1&quot;;Extended Properties=&quot;&quot;" command="SELECT * FROM [Tabla 1]"/>
  </connection>
  <connection id="2" xr16:uid="{2ECA90D6-C3AC-455B-8E3E-2E93E5F21BCD}" keepAlive="1" name="Consulta - Table001 (Page 1)" description="Conexión a la consulta 'Table001 (Page 1)' en el libro." type="5" refreshedVersion="0" background="1">
    <dbPr connection="Provider=Microsoft.Mashup.OleDb.1;Data Source=$Workbook$;Location=&quot;Table001 (Page 1)&quot;;Extended Properties=&quot;&quot;" command="SELECT * FROM [Table001 (Page 1)]"/>
  </connection>
  <connection id="3" xr16:uid="{84E76D36-4563-4009-A40D-EC0D1DF9B7D6}" keepAlive="1" name="Consulta - Table001 (Page 1) (2)" description="Conexión a la consulta 'Table001 (Page 1) (2)' en el libro." type="5" refreshedVersion="8" background="1" saveData="1">
    <dbPr connection="Provider=Microsoft.Mashup.OleDb.1;Data Source=$Workbook$;Location=&quot;Table001 (Page 1) (2)&quot;;Extended Properties=&quot;&quot;" command="SELECT * FROM [Table001 (Page 1) (2)]"/>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<sst xmlns="http://schemas.openxmlformats.org/spreadsheetml/2006/main" count="2380" uniqueCount="1203">
  <si>
    <t>1.1 Nombre del Proyeccto Empresarial</t>
  </si>
  <si>
    <t>1.2   Datos Personales Aprendiz - Emprendedor 1</t>
  </si>
  <si>
    <t>Nombre Completo:</t>
  </si>
  <si>
    <t>No. de Identificación</t>
  </si>
  <si>
    <t>Fecha de Nacimiento</t>
  </si>
  <si>
    <t>No. De Celular</t>
  </si>
  <si>
    <t>País de Residencia</t>
  </si>
  <si>
    <t>Dirección de Residencia</t>
  </si>
  <si>
    <t>Departamento de Residencia</t>
  </si>
  <si>
    <t>Ciudad de Residencia</t>
  </si>
  <si>
    <t xml:space="preserve"> </t>
  </si>
  <si>
    <t>Correo Electrónico Misena</t>
  </si>
  <si>
    <t>Correo Electrónico Personal</t>
  </si>
  <si>
    <t>Regional</t>
  </si>
  <si>
    <t>Centro de Formación</t>
  </si>
  <si>
    <t>Programa de Formación</t>
  </si>
  <si>
    <t>No. de Ficha</t>
  </si>
  <si>
    <t>1.3   Datos Personales Aprendiz - Emprendedor 2</t>
  </si>
  <si>
    <t>1.4 Equipo Asesor y de Seguimiento de Proyecto Productivo</t>
  </si>
  <si>
    <t xml:space="preserve">Nombre del Facilitador de Etapa Productiva </t>
  </si>
  <si>
    <t>No. de Celular</t>
  </si>
  <si>
    <t>Correo Electrónico</t>
  </si>
  <si>
    <t>Nombre del Instructor Técnico</t>
  </si>
  <si>
    <t xml:space="preserve">Nombre del Instructor de Seguimiento </t>
  </si>
  <si>
    <t>1.5 Idea de Negocios</t>
  </si>
  <si>
    <r>
      <t xml:space="preserve">Concepto de la Idea de Negocios
</t>
    </r>
    <r>
      <rPr>
        <b/>
        <sz val="12"/>
        <color rgb="FF7F7F7F"/>
        <rFont val="Calibri"/>
        <family val="2"/>
      </rPr>
      <t>(Describa detalladamente cuál es su idea de negocios)</t>
    </r>
  </si>
  <si>
    <r>
      <t xml:space="preserve">Tipo de Actividad
</t>
    </r>
    <r>
      <rPr>
        <b/>
        <sz val="12"/>
        <color rgb="FF7F7F7F"/>
        <rFont val="Calibri"/>
        <family val="2"/>
      </rPr>
      <t>(Marque con una X)</t>
    </r>
  </si>
  <si>
    <t>Agroindustrial</t>
  </si>
  <si>
    <t>Producción</t>
  </si>
  <si>
    <t>Comercialización</t>
  </si>
  <si>
    <t>Servicios</t>
  </si>
  <si>
    <r>
      <t xml:space="preserve">¿En dónde se localizará la empresa?
</t>
    </r>
    <r>
      <rPr>
        <b/>
        <sz val="12"/>
        <color rgb="FF7F7F7F"/>
        <rFont val="Calibri"/>
        <family val="2"/>
      </rPr>
      <t>(Ciudad donde se ubicará la sede principal de la empresa)</t>
    </r>
  </si>
  <si>
    <t>Componente Innovador - Factor Diferencial</t>
  </si>
  <si>
    <t xml:space="preserve">Producto / Servicio
</t>
  </si>
  <si>
    <t>2.</t>
  </si>
  <si>
    <t>3.</t>
  </si>
  <si>
    <t>4.</t>
  </si>
  <si>
    <t>Objetivo General</t>
  </si>
  <si>
    <t>Objetivos Específicos</t>
  </si>
  <si>
    <t>Perfil del cliente</t>
  </si>
  <si>
    <t>Cliente (persona natural)</t>
  </si>
  <si>
    <r>
      <t xml:space="preserve">Perfil
</t>
    </r>
    <r>
      <rPr>
        <b/>
        <sz val="12"/>
        <color rgb="FF7F7F7F"/>
        <rFont val="Calibri"/>
        <family val="2"/>
      </rPr>
      <t>(Detalle las características del cliente)</t>
    </r>
  </si>
  <si>
    <t>Localización</t>
  </si>
  <si>
    <r>
      <t xml:space="preserve">Justificación
</t>
    </r>
    <r>
      <rPr>
        <b/>
        <sz val="12"/>
        <color rgb="FF7F7F7F"/>
        <rFont val="Calibri"/>
        <family val="2"/>
      </rPr>
      <t xml:space="preserve">(Por qué el cliente requiere el producto/servicio) </t>
    </r>
  </si>
  <si>
    <t>Cliente (persona jurídica)</t>
  </si>
  <si>
    <t>1.6 Perfil del Emprendedor</t>
  </si>
  <si>
    <r>
      <t xml:space="preserve">Experiencia relacionada con la idea de negocios.
</t>
    </r>
    <r>
      <rPr>
        <b/>
        <sz val="12"/>
        <color rgb="FF7F7F7F"/>
        <rFont val="Calibri"/>
        <family val="2"/>
      </rPr>
      <t>(Detalle claramente la experiencia o el conocimiento que tiene frente a la idea de negocio)</t>
    </r>
  </si>
  <si>
    <t xml:space="preserve">  </t>
  </si>
  <si>
    <t>2.       ANÁLISIS DEL MERCADO</t>
  </si>
  <si>
    <r>
      <t>2.1.</t>
    </r>
    <r>
      <rPr>
        <b/>
        <sz val="16"/>
        <rFont val="Calibri"/>
        <family val="2"/>
      </rPr>
      <t xml:space="preserve">    </t>
    </r>
    <r>
      <rPr>
        <b/>
        <sz val="16"/>
        <color theme="1"/>
        <rFont val="Calibri"/>
        <family val="2"/>
      </rPr>
      <t>ANÁLISIS DEL ENTORNO EMPRESARIAL O SECTOR</t>
    </r>
  </si>
  <si>
    <r>
      <t xml:space="preserve">2.1.1.Sector </t>
    </r>
    <r>
      <rPr>
        <b/>
        <sz val="14"/>
        <color rgb="FF211F1F"/>
        <rFont val="Calibri"/>
        <family val="2"/>
      </rPr>
      <t>económico en el cual opera la empresa</t>
    </r>
    <r>
      <rPr>
        <b/>
        <sz val="14"/>
        <color theme="1"/>
        <rFont val="Calibri"/>
        <family val="2"/>
      </rPr>
      <t xml:space="preserve"> </t>
    </r>
    <r>
      <rPr>
        <b/>
        <sz val="14"/>
        <color rgb="FFA5A5A5"/>
        <rFont val="Calibri"/>
        <family val="2"/>
      </rPr>
      <t>(Describa el sector al cual pertenece su emprendimiento)</t>
    </r>
    <r>
      <rPr>
        <b/>
        <sz val="14"/>
        <color theme="1"/>
        <rFont val="Calibri"/>
        <family val="2"/>
      </rPr>
      <t>:</t>
    </r>
  </si>
  <si>
    <r>
      <t>2.1.2.</t>
    </r>
    <r>
      <rPr>
        <b/>
        <sz val="14"/>
        <color rgb="FF211F1F"/>
        <rFont val="Calibri"/>
        <family val="2"/>
      </rPr>
      <t>Subsector económico al que pertenece la empresa</t>
    </r>
    <r>
      <rPr>
        <b/>
        <sz val="14"/>
        <color theme="1"/>
        <rFont val="Calibri"/>
        <family val="2"/>
      </rPr>
      <t xml:space="preserve">  </t>
    </r>
    <r>
      <rPr>
        <b/>
        <sz val="14"/>
        <color rgb="FFA5A5A5"/>
        <rFont val="Calibri"/>
        <family val="2"/>
      </rPr>
      <t>(Describa el sub-sector al cual pertenece su emprendimiento)</t>
    </r>
    <r>
      <rPr>
        <b/>
        <sz val="14"/>
        <color theme="1"/>
        <rFont val="Calibri"/>
        <family val="2"/>
      </rPr>
      <t>:</t>
    </r>
  </si>
  <si>
    <r>
      <t>2.1.3.</t>
    </r>
    <r>
      <rPr>
        <b/>
        <sz val="14"/>
        <color rgb="FF211F1F"/>
        <rFont val="Calibri"/>
        <family val="2"/>
      </rPr>
      <t>Características económicas</t>
    </r>
  </si>
  <si>
    <t>Ingresos del Sector en el ultimo año:</t>
  </si>
  <si>
    <t>Aporte al PIB:</t>
  </si>
  <si>
    <t>IPC ó INFLACIÓN ÚLTIMOS CINCO (5) AÑOS</t>
  </si>
  <si>
    <t xml:space="preserve">PIB DE LOS ÚLTIMOS CINCO (5) AÑOS </t>
  </si>
  <si>
    <r>
      <t>2.1.4.</t>
    </r>
    <r>
      <rPr>
        <b/>
        <sz val="14"/>
        <color rgb="FF211F1F"/>
        <rFont val="Calibri"/>
        <family val="2"/>
      </rPr>
      <t>Qué cambios se están produciendo en el sector</t>
    </r>
  </si>
  <si>
    <r>
      <t>2.1.5.</t>
    </r>
    <r>
      <rPr>
        <b/>
        <sz val="14"/>
        <color rgb="FF211F1F"/>
        <rFont val="Calibri"/>
        <family val="2"/>
      </rPr>
      <t>Tendencia del sector</t>
    </r>
  </si>
  <si>
    <r>
      <t xml:space="preserve">2.1.5.1 Proyección de Variables Macroeconómicas </t>
    </r>
    <r>
      <rPr>
        <b/>
        <sz val="12"/>
        <color theme="0" tint="-0.499984740745262"/>
        <rFont val="Calibri"/>
        <family val="2"/>
      </rPr>
      <t>(Indique el incremento que se proyecta a 5 años de la inflación y el PIB de su sector económico)</t>
    </r>
  </si>
  <si>
    <r>
      <t>2.1.6.B</t>
    </r>
    <r>
      <rPr>
        <b/>
        <sz val="14"/>
        <color rgb="FF211F1F"/>
        <rFont val="Calibri"/>
        <family val="2"/>
      </rPr>
      <t>arreras de entrada al sector</t>
    </r>
  </si>
  <si>
    <t>Economia de Escala</t>
  </si>
  <si>
    <t>Diferenciación de Productos</t>
  </si>
  <si>
    <t>Necesidad de Capital</t>
  </si>
  <si>
    <t>Acceso a Canales de Distribución</t>
  </si>
  <si>
    <t>Política gubernamental</t>
  </si>
  <si>
    <r>
      <t>2.2.</t>
    </r>
    <r>
      <rPr>
        <b/>
        <sz val="16"/>
        <rFont val="Calibri"/>
        <family val="2"/>
      </rPr>
      <t xml:space="preserve">    </t>
    </r>
    <r>
      <rPr>
        <b/>
        <sz val="16"/>
        <color rgb="FF211F1F"/>
        <rFont val="Calibri"/>
        <family val="2"/>
      </rPr>
      <t>Caracterización del cliente</t>
    </r>
  </si>
  <si>
    <t>2.2.1 Personas</t>
  </si>
  <si>
    <t>Cliente 1</t>
  </si>
  <si>
    <t>Ingresos</t>
  </si>
  <si>
    <t>Nivel socioeconómico</t>
  </si>
  <si>
    <t>Edad</t>
  </si>
  <si>
    <t>Educación</t>
  </si>
  <si>
    <t>Genero</t>
  </si>
  <si>
    <t>Ocupación</t>
  </si>
  <si>
    <t>Estado Civil</t>
  </si>
  <si>
    <t>Origen étnico</t>
  </si>
  <si>
    <t>Cliente 2</t>
  </si>
  <si>
    <t>2.2.2 Empresas</t>
  </si>
  <si>
    <t>Cliente 3</t>
  </si>
  <si>
    <t>Sector</t>
  </si>
  <si>
    <t>Actividad Comercial</t>
  </si>
  <si>
    <t>Periodo de pago a proveedores</t>
  </si>
  <si>
    <t>Tamaño</t>
  </si>
  <si>
    <t>Ubicación</t>
  </si>
  <si>
    <t>Numero de Empleados</t>
  </si>
  <si>
    <t>Cliente 4</t>
  </si>
  <si>
    <r>
      <t xml:space="preserve">2.3.    </t>
    </r>
    <r>
      <rPr>
        <b/>
        <sz val="16"/>
        <color rgb="FF211F1F"/>
        <rFont val="Calibri"/>
        <family val="2"/>
      </rPr>
      <t>Mercado Potencial</t>
    </r>
  </si>
  <si>
    <t>2.3.1. Zona donde se ofertará su bien o servicio</t>
  </si>
  <si>
    <t>País:</t>
  </si>
  <si>
    <t>Departamento / Estado:</t>
  </si>
  <si>
    <t>Ciudad:</t>
  </si>
  <si>
    <t>Zona:</t>
  </si>
  <si>
    <r>
      <t xml:space="preserve">2.3.2. </t>
    </r>
    <r>
      <rPr>
        <b/>
        <sz val="14"/>
        <color rgb="FF211F1F"/>
        <rFont val="Calibri"/>
        <family val="2"/>
      </rPr>
      <t xml:space="preserve">Número de personas o empresas en la zona donde piensa vender su producto o servicio </t>
    </r>
    <r>
      <rPr>
        <sz val="14"/>
        <color theme="0" tint="-0.499984740745262"/>
        <rFont val="Calibri"/>
        <family val="2"/>
      </rPr>
      <t>(Explique brevemente como determinó su cálculo)</t>
    </r>
  </si>
  <si>
    <r>
      <t xml:space="preserve">2.3.3. Número de personas o empresas que compran el producto o servicio en la zona (demandantes potenciales) </t>
    </r>
    <r>
      <rPr>
        <sz val="14"/>
        <color theme="0" tint="-0.499984740745262"/>
        <rFont val="Calibri"/>
        <family val="2"/>
      </rPr>
      <t>(Explique brevemente como determinó su cálculo)</t>
    </r>
  </si>
  <si>
    <r>
      <t>2.3.4. Cantidad comprada por período (</t>
    </r>
    <r>
      <rPr>
        <sz val="14"/>
        <color theme="0" tint="-0.499984740745262"/>
        <rFont val="Calibri"/>
        <family val="2"/>
      </rPr>
      <t>Explique brevemente como determinó su cálculo)</t>
    </r>
  </si>
  <si>
    <r>
      <t xml:space="preserve">2.3.5. Cantidad de productos o servicios a ofrecer </t>
    </r>
    <r>
      <rPr>
        <sz val="14"/>
        <color theme="0" tint="-0.499984740745262"/>
        <rFont val="Calibri"/>
        <family val="2"/>
      </rPr>
      <t>(Explique brevemente como determinó su cálculo)</t>
    </r>
  </si>
  <si>
    <t>2.4 ¿Cuáles Son Las Necesidades Del Mercado?</t>
  </si>
  <si>
    <t>2.5 ¿Cómo Puedo Satisfacer Esas Necesidades?</t>
  </si>
  <si>
    <r>
      <t xml:space="preserve">2.6 Proveedores </t>
    </r>
    <r>
      <rPr>
        <b/>
        <sz val="16"/>
        <color theme="0" tint="-0.499984740745262"/>
        <rFont val="Calibri"/>
        <family val="2"/>
      </rPr>
      <t>(Mínimo Cinco Empresas)</t>
    </r>
  </si>
  <si>
    <t>Nombre</t>
  </si>
  <si>
    <t>Productos o Servicios que suministra</t>
  </si>
  <si>
    <t xml:space="preserve">Ubicación </t>
  </si>
  <si>
    <t>Condiciones de Pago</t>
  </si>
  <si>
    <r>
      <t>2.7.</t>
    </r>
    <r>
      <rPr>
        <b/>
        <sz val="16"/>
        <rFont val="Calibri"/>
        <family val="2"/>
      </rPr>
      <t xml:space="preserve">    </t>
    </r>
    <r>
      <rPr>
        <b/>
        <sz val="16"/>
        <color theme="1"/>
        <rFont val="Calibri"/>
        <family val="2"/>
      </rPr>
      <t>Ventaja Competitiva / Diferenciación</t>
    </r>
  </si>
  <si>
    <r>
      <t>2.8.</t>
    </r>
    <r>
      <rPr>
        <b/>
        <sz val="12"/>
        <rFont val="Calibri"/>
        <family val="2"/>
      </rPr>
      <t>   </t>
    </r>
    <r>
      <rPr>
        <b/>
        <sz val="16"/>
        <rFont val="Calibri"/>
        <family val="2"/>
      </rPr>
      <t xml:space="preserve"> </t>
    </r>
    <r>
      <rPr>
        <b/>
        <sz val="16"/>
        <color theme="1"/>
        <rFont val="Calibri"/>
        <family val="2"/>
      </rPr>
      <t xml:space="preserve">Análisis De La Competencia </t>
    </r>
    <r>
      <rPr>
        <b/>
        <sz val="16"/>
        <color theme="0" tint="-0.499984740745262"/>
        <rFont val="Calibri"/>
        <family val="2"/>
      </rPr>
      <t>(Mínimo Cinco Empresas)</t>
    </r>
  </si>
  <si>
    <t>Empresas Competidoras</t>
  </si>
  <si>
    <t>Nivel de Aceptación</t>
  </si>
  <si>
    <t>Tipo de cliente que atiende</t>
  </si>
  <si>
    <t>¿Por qué razón la elijen?</t>
  </si>
  <si>
    <t>¿Dónde se comercializa el producto?</t>
  </si>
  <si>
    <t>¿A que precio lo venden?</t>
  </si>
  <si>
    <t>Alta</t>
  </si>
  <si>
    <t>Regular</t>
  </si>
  <si>
    <t>Poca</t>
  </si>
  <si>
    <t>2.9.    Estrategia de Mercadeo</t>
  </si>
  <si>
    <t>2.9.1. Producto (Bien o Servicio)</t>
  </si>
  <si>
    <t>Descripción:</t>
  </si>
  <si>
    <t>Usos:</t>
  </si>
  <si>
    <t>Normas empaquetado:</t>
  </si>
  <si>
    <t>Bienes relacionados</t>
  </si>
  <si>
    <t>Sustitutos:</t>
  </si>
  <si>
    <t>Complementarios:</t>
  </si>
  <si>
    <t>Escriba aquì el nombre de su producto ó servicio 2</t>
  </si>
  <si>
    <t>Escriba aquì el nombre de su producto ó servicio 3</t>
  </si>
  <si>
    <t>Escriba aquì el nombre de su producto ó servicio 4</t>
  </si>
  <si>
    <t>2.9.2.Precio</t>
  </si>
  <si>
    <t>2.9.2.1. ¿Cuál será el precio del producto?</t>
  </si>
  <si>
    <t>2.9.2.2. ¿Cómo se ha determinado el precio?</t>
  </si>
  <si>
    <r>
      <t xml:space="preserve">Política de descuento comercial </t>
    </r>
    <r>
      <rPr>
        <b/>
        <sz val="12"/>
        <color rgb="FFA5A5A5"/>
        <rFont val="Calibri"/>
        <family val="2"/>
      </rPr>
      <t>(Es posible emplear algunas tácticas de precio. Ejemplo: “precio por docena”, “docenas de catorce”, 3 X 2)</t>
    </r>
  </si>
  <si>
    <t>Nombre Estrategia</t>
  </si>
  <si>
    <t>Descripción</t>
  </si>
  <si>
    <t>Valor</t>
  </si>
  <si>
    <t>2.9.3. Plaza (Distribución)</t>
  </si>
  <si>
    <t>2.9.3.1. Canales de Distribución (direco o indirecto)              </t>
  </si>
  <si>
    <t>2.9.3.2. Formas de distribución (intensiva, exclusiva y/o selectiva)             </t>
  </si>
  <si>
    <t>2.9.4.Promoción (Comunicación)</t>
  </si>
  <si>
    <t>2.9.4.1. Publicidad</t>
  </si>
  <si>
    <t>2.9.4.2.             Relaciones Públicas</t>
  </si>
  <si>
    <t>2.9.4.3.             Venta Personal</t>
  </si>
  <si>
    <t>2.9.4.4.             Promoción Ventas</t>
  </si>
  <si>
    <r>
      <t>2.10 Presupuesto Mezcla de Mercado</t>
    </r>
    <r>
      <rPr>
        <sz val="16"/>
        <color theme="1"/>
        <rFont val="Calibri"/>
        <family val="2"/>
      </rPr>
      <t xml:space="preserve"> </t>
    </r>
    <r>
      <rPr>
        <sz val="16"/>
        <color theme="0" tint="-0.499984740745262"/>
        <rFont val="Calibri"/>
        <family val="2"/>
      </rPr>
      <t>(Tenga en cuenta la inflación proyectada para incrementar los precios)</t>
    </r>
  </si>
  <si>
    <t>Inflación Esperada</t>
  </si>
  <si>
    <t>PROYECCIÓN</t>
  </si>
  <si>
    <t>CONCEPTO/ ESTRATEGIA</t>
  </si>
  <si>
    <t>AÑO 1</t>
  </si>
  <si>
    <t>AÑO 2</t>
  </si>
  <si>
    <t>AÑO 3</t>
  </si>
  <si>
    <t>AÑO 4</t>
  </si>
  <si>
    <t>AÑO 5</t>
  </si>
  <si>
    <t>PRECIO</t>
  </si>
  <si>
    <t>SUBTOTAL</t>
  </si>
  <si>
    <t>PRODUCTO</t>
  </si>
  <si>
    <t>PLAZA (Distribución)</t>
  </si>
  <si>
    <t>PROMOCIÓN (Comunicación)</t>
  </si>
  <si>
    <t>Publicidad</t>
  </si>
  <si>
    <t>Relaciones Públicas</t>
  </si>
  <si>
    <t>Venta Personal</t>
  </si>
  <si>
    <t>Promoción Ventas</t>
  </si>
  <si>
    <t>TOTAL</t>
  </si>
  <si>
    <t>Soluciones de Cobranza S.A.S - SODECO</t>
  </si>
  <si>
    <t>Said Ali Oviedo Beltrán</t>
  </si>
  <si>
    <t>Colombia</t>
  </si>
  <si>
    <t>Córdoba</t>
  </si>
  <si>
    <t>saoviedo35@soy.sena.edu.co</t>
  </si>
  <si>
    <t>Bogotá - Distrito Capital</t>
  </si>
  <si>
    <t>Técnico en Servicios y Operaciones Microfinancieras</t>
  </si>
  <si>
    <t>C.C. 1066745553</t>
  </si>
  <si>
    <t>Calle 17 #8A-36 Lacharme</t>
  </si>
  <si>
    <t>Montería</t>
  </si>
  <si>
    <t>saob1995@gmail.com</t>
  </si>
  <si>
    <t>Centro de Formación en Actividad Física y Cultura</t>
  </si>
  <si>
    <t>José Isnardo Velasquez Jimenez</t>
  </si>
  <si>
    <t>jvelasquezj@sena.edu.co</t>
  </si>
  <si>
    <t>Lyda Maritza Martínez Garzón</t>
  </si>
  <si>
    <t>llydis26@gmail.com</t>
  </si>
  <si>
    <t>Estrella Carmenza Barreto Morales</t>
  </si>
  <si>
    <t>ebarreto@sena.edu.co</t>
  </si>
  <si>
    <t>X</t>
  </si>
  <si>
    <t>El Servicio de gestión de cartera y cobranza de SODECO tendrá como base estratégica de competitividad, la personalización y oferta de un servicio integral que intervenga en todo el proceso de cobranza, brindando un servicio flexible dirigido a PYMES que se desarrollará en función del volumen promedio de la cartera de deudores con la que cuenta al momento el cliente, así como el volumen promedio de la deuda. Adicionalmente, otras estrategias de valor diferencial serán: 1) Innovación tecnológica, 2) Creación de Políticas y Procedimientos enfocados a la cobranza efectiva, 3) La alineación del servicio con buenas prácticas de RSE y  4) El trabajo conjunto con Taleto Humano Competente</t>
  </si>
  <si>
    <t>Evaluar la viabilidad y factibilidad de un plan estratégico de negocio para la creación de nueva empresa orientada a brindar servicios de gestión y cobranza de créditos de manera eficiente, eficaz y a un costo competitivo de mercado, dirigido a las PYMES de la ciudad de Montería; describiendo de forma detallada las distintas investigaciones necesarias para la correcta formulación del modelo operativo de negocio, y siguiendo los parámetros propios del SENA para la presentación documentada del mismo.</t>
  </si>
  <si>
    <t>1. NO APLICA</t>
  </si>
  <si>
    <t>2. NO APLICA</t>
  </si>
  <si>
    <t>3. NO APLICA</t>
  </si>
  <si>
    <t>2. MEDIANA EMPRESA</t>
  </si>
  <si>
    <t>1.PEQUEÑA EMPRESA</t>
  </si>
  <si>
    <t>El servicio es requerido por 4 razones fundamentales: 1) La necesidad de dar solución definitiva a la inefectividad de cuentas por cobrar, 2) La reducción de costos indirectos mediante la externalización, 3) La busqueda de mejorar y proteger la liquidez del negocio y 4) Incrementar la capacidad operativa,  Centrando esfuerzos en la actividad prinicipal</t>
  </si>
  <si>
    <t>Poseo el conocimiento báse adquirido en el Técnico en Microfinanzas del SENA sobre administración de cartera, perfilación de deudores y métodos de cobranza, que son el conjunto de mayores factores claves para entender y ejecutar el modelo de negocio. Adicionalmente soy graduado en Ingeniería Industrial de la Universidad de Córdoba con especialización en Finanzas Corporativas de la UNAD, con más de 4 años de experiencia en el área de finanzas de empresas medianas y grandes, lo que permite entender mucho mejor el impacto de las estrategias de cobranza en las Necesidades de Tesoreria del ciclo operacional de las empresas, y por tanto, el efecto de las cuentas por cobrar en la Liquidez. Este conjunto de circunstancias a mi favor me posibilita navegar en el mercado de los servicios coporativos con enfoques financieros, desde una posición bastante profesional y segura.</t>
  </si>
  <si>
    <t>La empresa busca operar en el Sector de Servicios, un sector económico que ha sido reconocido a nivel mundial como de suma importancia en el 2023, por su creciente papel en el panorama económico mundial. En Colombia, este sector busca satisfacer priniciplamente las necesidades de salud, trasporte y finanzas de la población. El servicio  de SODECO se categoriza en este sector por la naturaleza misma de lo que se busca ofrecer en el mercado local.</t>
  </si>
  <si>
    <t>La empresa operará en el subsector económico nacional de Actividades profesionales, científicas, técnicas  y servicios empresariales. Esta rama económica del sector terciario nacional abarca a todos quellos servicios de naturaleza intelectual que derivan hacia actividades operativas, logísticas o asistenciales propias del conocimiento especializado en áreas específicas de trabajo.</t>
  </si>
  <si>
    <t>Producto Interno Bruto - PIB</t>
  </si>
  <si>
    <t>Valores a precios corrientes</t>
  </si>
  <si>
    <t>Miles de millones de pesos</t>
  </si>
  <si>
    <t>Base 2015</t>
  </si>
  <si>
    <r>
      <t>2005 - 2023</t>
    </r>
    <r>
      <rPr>
        <b/>
        <vertAlign val="superscript"/>
        <sz val="9"/>
        <rFont val="Segoe UI"/>
        <family val="2"/>
      </rPr>
      <t>pr</t>
    </r>
  </si>
  <si>
    <t>Índice</t>
  </si>
  <si>
    <t>Clasificación Cuentas Nacionales</t>
  </si>
  <si>
    <t>Secciones CIIU Rev. 4 A.C.
12 agrupaciones</t>
  </si>
  <si>
    <t>Secciones y divisiones CIIU Rev. 4 A.C.
25 agrupaciones</t>
  </si>
  <si>
    <t>Divisiones CIIU Rev. 4 A.C.
61 agrupaciones</t>
  </si>
  <si>
    <t>Concepto</t>
  </si>
  <si>
    <r>
      <t>2021</t>
    </r>
    <r>
      <rPr>
        <b/>
        <vertAlign val="superscript"/>
        <sz val="10"/>
        <color theme="1"/>
        <rFont val="Segoe UI"/>
        <family val="2"/>
      </rPr>
      <t>p</t>
    </r>
  </si>
  <si>
    <r>
      <t>2022</t>
    </r>
    <r>
      <rPr>
        <b/>
        <vertAlign val="superscript"/>
        <sz val="10"/>
        <color theme="1"/>
        <rFont val="Segoe UI"/>
        <family val="2"/>
      </rPr>
      <t>p</t>
    </r>
  </si>
  <si>
    <r>
      <t>2023</t>
    </r>
    <r>
      <rPr>
        <b/>
        <vertAlign val="superscript"/>
        <sz val="10"/>
        <color theme="1"/>
        <rFont val="Segoe UI"/>
        <family val="2"/>
      </rPr>
      <t>pr</t>
    </r>
  </si>
  <si>
    <t>PIB enfoque de la producción</t>
  </si>
  <si>
    <t>A</t>
  </si>
  <si>
    <t>Agricultura, ganadería, caza, silvicultura y pesca</t>
  </si>
  <si>
    <t>001 - 008, 013</t>
  </si>
  <si>
    <t>Cultivos agrícolas transitorios; otros cultivos agrícolas permanentes; Propagación de plantas (actividades de viveros, excepto viveros forestales); actividades de apoyo a la agricultura y la ganadería, y posteriores a la cosecha, explotación mixta (agrícola y pecuaria) y caza ordinaria y mediante trampas y actividades de servicios conexas</t>
  </si>
  <si>
    <t>003</t>
  </si>
  <si>
    <t>Cultivo permanente de café</t>
  </si>
  <si>
    <t>009 - 012</t>
  </si>
  <si>
    <t>Ganadería</t>
  </si>
  <si>
    <t>014, 015</t>
  </si>
  <si>
    <t>Silvicultura y extracción de madera</t>
  </si>
  <si>
    <t>016</t>
  </si>
  <si>
    <t>Pesca y acuicultura</t>
  </si>
  <si>
    <t>B</t>
  </si>
  <si>
    <t>Explotación de minas y canteras</t>
  </si>
  <si>
    <t>017</t>
  </si>
  <si>
    <t>Extracción de carbón de piedra y lignito</t>
  </si>
  <si>
    <t>018, 021</t>
  </si>
  <si>
    <t>Extracción de petróleo crudo y gas natural y actividades de apoyo para la extracción de petróleo y de gas natural</t>
  </si>
  <si>
    <t>019</t>
  </si>
  <si>
    <t>Extracción de minerales metalíferos</t>
  </si>
  <si>
    <t>020</t>
  </si>
  <si>
    <t>Extracción de otras minas y canteras</t>
  </si>
  <si>
    <t>022</t>
  </si>
  <si>
    <t>Actividades de apoyo para otras actividades de explotación de minas y canteras</t>
  </si>
  <si>
    <t>C</t>
  </si>
  <si>
    <t>Industrias manufactureras</t>
  </si>
  <si>
    <t>C01</t>
  </si>
  <si>
    <t>Elaboración de productos alimenticios; elaboración de bebidas; elaboración de productos de tabaco</t>
  </si>
  <si>
    <t>023 - 025</t>
  </si>
  <si>
    <t>Procesamiento y conservación de carne y productos cárnicos de bovinos, bufalinos, porcinos y otras carnes n.c.p.; procesamiento y conservación de carne y productos cárnicos de aves de corral y procesamiento y conservación de pescados, crustáceos y moluscos</t>
  </si>
  <si>
    <t>026</t>
  </si>
  <si>
    <t>Elaboración de aceites y grasas de origen vegetal y animal</t>
  </si>
  <si>
    <t>027</t>
  </si>
  <si>
    <t>Elaboración de productos lácteos</t>
  </si>
  <si>
    <t>028, 032, 035</t>
  </si>
  <si>
    <t>Elaboración de productos de molinería, almidones y productos derivados del almidón; elaboración de productos de panadería; elaboración de macarrones, fideos, alcuzcuz, y productos farináceos similares y elaboración de alimentos preparados para animales</t>
  </si>
  <si>
    <t>029</t>
  </si>
  <si>
    <t>Elaboración de productos de café</t>
  </si>
  <si>
    <t>030, 031</t>
  </si>
  <si>
    <t>Elaboración de azúcar y elaboración de panela</t>
  </si>
  <si>
    <t>033</t>
  </si>
  <si>
    <t>Elaboración de cacao, chocolate y productos de confitería</t>
  </si>
  <si>
    <t>034</t>
  </si>
  <si>
    <t>Procesamiento y conservación de frutas, legumbres, hortalizas y tubérculos; elaboración de otros productos alimenticios (platos preparados y conservados mediante enlatado o congelado, elaboración de sopas y caldos en estado sólidos, polvo o instantáneas entre otros)</t>
  </si>
  <si>
    <t>036</t>
  </si>
  <si>
    <t>Elaboración de bebidas (incluido el hielo) y elaboración de productos de tabaco</t>
  </si>
  <si>
    <t>C02</t>
  </si>
  <si>
    <t xml:space="preserve">Fabricación de productos textiles; confección de prendas de vestir; curtido y recurtido de cueros; fabricación de calzado; fabricación de artículos de viaje, maletas, bolsos de mano y artículos similares, y fabricación de artículos de talabartería y guarnicionería; adobo y teñido de pieles </t>
  </si>
  <si>
    <t>037, 038</t>
  </si>
  <si>
    <t>Preparación, hilatura, tejeduría y acabado de productos textiles; fabricación de otros productos textiles, Confección de prendas de vestir</t>
  </si>
  <si>
    <t>039</t>
  </si>
  <si>
    <t>Curtido y recurtido de cueros; fabricación de calzado; fabricación de artículos de viaje, maletas, bolsos de mano y artículos similares, y fabricación de artículos de talabartería y guarnicionería; adobo y teñido de pieles</t>
  </si>
  <si>
    <t>C03</t>
  </si>
  <si>
    <t>Transformación de la madera y fabricación de productos de madera y de corcho, excepto muebles; fabricación de artículos de cestería y espartería; fabricación de papel, cartón y productos de papel y de cartón; actividades de impresión; producción de copias a partir de grabaciones originales</t>
  </si>
  <si>
    <t>040</t>
  </si>
  <si>
    <t>Transformación de la madera y fabricación de productos de madera y de corcho, excepto muebles; fabricación de artículos de cestería y espartería</t>
  </si>
  <si>
    <t>041</t>
  </si>
  <si>
    <t>Fabricación de papel, cartón y productos de papel y de cartón</t>
  </si>
  <si>
    <t>042</t>
  </si>
  <si>
    <t>Actividades de impresión; producción de copias a partir de grabaciones originales (Copia a partir de un original en CD, DVD, Bluray)</t>
  </si>
  <si>
    <t>C04</t>
  </si>
  <si>
    <t>Coquización, fabricación de productos de la refinación del petróleo y actividad de mezcla de combustibles; fabricación de sustancias y productos químicos; fabricación de productos farmacéuticos, sustancias químicas medicinales y productos botánicos de uso farmacéutico; fabricación de productos de caucho y de plástico; fabricación de otros productos minerales no metálicos</t>
  </si>
  <si>
    <t>043, 044</t>
  </si>
  <si>
    <t>Coquización, fabricación de productos de la refinación del petróleo y actividades de mezcla de combustibles</t>
  </si>
  <si>
    <t>045 - 047</t>
  </si>
  <si>
    <t>Fabricación de sustancias químicas básicas, abonos y compuestos inorgánicos nitrogenados, plásticos y caucho sintético en formas primarias; fabricación de otros productos químicos; fabricación de fibras sintéticas y artificiales; fabricación de productos farmacéuticos, sustancias químicas medicinales y productos botánicos de uso farmacéutico</t>
  </si>
  <si>
    <t>048</t>
  </si>
  <si>
    <t>Fabricación de productos de caucho y de plástico</t>
  </si>
  <si>
    <t>049</t>
  </si>
  <si>
    <t>Fabricación de otros productos minerales no metálicos</t>
  </si>
  <si>
    <t>C05</t>
  </si>
  <si>
    <t>Fabricación de productos metalúrgicos básicos; fabricación de productos elaborados de metal, excepto maquinaria y equipo; fabricación de aparatos y equipo eléctrico; fabricación de productos informáticos, electrónicos y ópticos; fabricación de maquinaria y equipo n.c.p.; fabricación de vehículos automotores, remolques y semirremolques; fabricación de otros tipos de equipo de transporte; instalación, mantenimiento y reparación especializado de maquinaria y equipo</t>
  </si>
  <si>
    <t>050, 051</t>
  </si>
  <si>
    <t>Fabricación de productos metalúrgicos básicos; fabricación de productos elaborados de metal, excepto maquinaria y equipo</t>
  </si>
  <si>
    <t>052</t>
  </si>
  <si>
    <t>Fabricación de aparatos y equipo eléctrico; fabricación de productos informáticos, electrónicos y ópticos</t>
  </si>
  <si>
    <t>053, 057</t>
  </si>
  <si>
    <t>Fabricación de maquinaria y equipo n.c.p.; instalación, mantenimiento y reparación especializado de maquinaria y equipo</t>
  </si>
  <si>
    <t>054</t>
  </si>
  <si>
    <t>Fabricación de vehículos automotores, remolques y semirremolques; fabricación de otros tipos de equipo de transporte</t>
  </si>
  <si>
    <t>C06</t>
  </si>
  <si>
    <t>Fabricación de muebles, colchones y somieres; otras industrias manufactureras</t>
  </si>
  <si>
    <t>055</t>
  </si>
  <si>
    <t xml:space="preserve"> Fabricación de muebles, colchones y somieres</t>
  </si>
  <si>
    <t>056</t>
  </si>
  <si>
    <t>Otras industrias manufactureras</t>
  </si>
  <si>
    <t>D + E</t>
  </si>
  <si>
    <t>Suministro de electricidad, gas, vapor y aire acondicionado; Distribución de agua; evacuación y tratamiento de aguas residuales, gestión de desechos y actividades de saneamiento ambiental</t>
  </si>
  <si>
    <t>D</t>
  </si>
  <si>
    <t>Suministro de electricidad, gas, vapor y aire acondicionado</t>
  </si>
  <si>
    <t>058 - 060</t>
  </si>
  <si>
    <t>Generación de energía eléctrica; transmisión de energía eléctrica y distribución y comercialización de energía eléctrica</t>
  </si>
  <si>
    <t>061</t>
  </si>
  <si>
    <t>Producción de gas; distribución de combustibles gaseosos por tuberías; suministro de vapor y aire acondicionado</t>
  </si>
  <si>
    <t>E</t>
  </si>
  <si>
    <t>Distribución de agua; evacuación y tratamiento de aguas residuales, gestión de desechos y actividades de saneamiento ambiental</t>
  </si>
  <si>
    <t>062</t>
  </si>
  <si>
    <t>Captación, tratamiento y distribución de agua</t>
  </si>
  <si>
    <t>063, 064, 066</t>
  </si>
  <si>
    <t>Evacuación y tratamiento de aguas residuales; recolección, tratamiento y disposición de desechos y actividades de saneamiento ambiental y otros servicios de gestión de desechos</t>
  </si>
  <si>
    <t>065</t>
  </si>
  <si>
    <t>Recuperación de materiales (reciclaje)</t>
  </si>
  <si>
    <t>F</t>
  </si>
  <si>
    <t>Construcción</t>
  </si>
  <si>
    <t>F01</t>
  </si>
  <si>
    <t>Construcción de edificaciones residenciales y no residenciales</t>
  </si>
  <si>
    <t>067</t>
  </si>
  <si>
    <t>F02</t>
  </si>
  <si>
    <t>Construcción de carreteras y vías de ferrocarril, de proyectos de servicio público y de otras obras de ingeniería civil</t>
  </si>
  <si>
    <t>068</t>
  </si>
  <si>
    <t>F03</t>
  </si>
  <si>
    <t>Actividades especializadas para la construcción de edificaciones y obras de ingeniería civil (Alquiler de maquinaría y equipo de construcción con operadores)</t>
  </si>
  <si>
    <t>069</t>
  </si>
  <si>
    <t>G + H + I</t>
  </si>
  <si>
    <t>Comercio al por mayor y al por menor; reparación de vehículos automotores y motocicletas; Transporte y almacenamiento; Alojamiento y servicios de comida</t>
  </si>
  <si>
    <t>G</t>
  </si>
  <si>
    <t>Comercio al por mayor y al por menor; reparación de vehículos automotores y motocicletas</t>
  </si>
  <si>
    <t>070</t>
  </si>
  <si>
    <t>Comercio al por mayor y en comisión o por contrata; comercio al por menor (incluso el comercio al por menor de combustibles); comercio de vehículos automotores y motocicletas, sus partes, piezas y accesorios</t>
  </si>
  <si>
    <t>071</t>
  </si>
  <si>
    <t>Mantenimiento y reparación de vehículos automotores y motocicletas</t>
  </si>
  <si>
    <t>H</t>
  </si>
  <si>
    <t>Transporte y almacenamiento</t>
  </si>
  <si>
    <t>072, 074</t>
  </si>
  <si>
    <t>Transporte terrestre y transporte por tuberías</t>
  </si>
  <si>
    <t>073</t>
  </si>
  <si>
    <t>Transporte acuático</t>
  </si>
  <si>
    <t>075</t>
  </si>
  <si>
    <t>Transporte aéreo</t>
  </si>
  <si>
    <t>076</t>
  </si>
  <si>
    <t>Almacenamiento y actividades complementarias al transporte</t>
  </si>
  <si>
    <t>077</t>
  </si>
  <si>
    <t>Actividades de correo y de servicios de mensajería</t>
  </si>
  <si>
    <t>I</t>
  </si>
  <si>
    <t>Alojamiento y servicios de comida</t>
  </si>
  <si>
    <t>078 - 080</t>
  </si>
  <si>
    <t>J</t>
  </si>
  <si>
    <t>Información y comunicaciones</t>
  </si>
  <si>
    <t>081 - 084</t>
  </si>
  <si>
    <t>K</t>
  </si>
  <si>
    <t>Actividades financieras y de seguros</t>
  </si>
  <si>
    <t>085 - 088</t>
  </si>
  <si>
    <t>L</t>
  </si>
  <si>
    <t>Actividades inmobiliarias</t>
  </si>
  <si>
    <t>089</t>
  </si>
  <si>
    <t>M + N</t>
  </si>
  <si>
    <t>Actividades profesionales, científicas y técnicas; Actividades de servicios administrativos y de apoyo</t>
  </si>
  <si>
    <t>090 - 093</t>
  </si>
  <si>
    <t>Actividades profesionales, científicas y técnicas</t>
  </si>
  <si>
    <t>094 - 097</t>
  </si>
  <si>
    <t>Actividades de servicios administrativos y de apoyo</t>
  </si>
  <si>
    <t>O + P + Q</t>
  </si>
  <si>
    <t>Administración pública y defensa; planes de seguridad social de afiliación obligatoria; Educación; Actividades de atención de la salud humana y de servicios sociales</t>
  </si>
  <si>
    <t>O</t>
  </si>
  <si>
    <t>Administración pública y defensa; planes de seguridad social de afiliación obligatoria</t>
  </si>
  <si>
    <t>098, 099</t>
  </si>
  <si>
    <t>P</t>
  </si>
  <si>
    <t>100</t>
  </si>
  <si>
    <t>Educación de mercado</t>
  </si>
  <si>
    <t>101</t>
  </si>
  <si>
    <t>Educación de no mercado</t>
  </si>
  <si>
    <t>Q</t>
  </si>
  <si>
    <t>Actividades de atención de la salud humana y de servicios sociales</t>
  </si>
  <si>
    <t>102, 103</t>
  </si>
  <si>
    <t>R + S + T</t>
  </si>
  <si>
    <t>Actividades artísticas, de entretenimiento y recreación y otras actividades de servicios; Actividades de los hogares individuales en calidad de empleadores; actividades no diferenciadas de los hogares individuales como productores de bienes y servicios para uso propio</t>
  </si>
  <si>
    <t>R + S</t>
  </si>
  <si>
    <t>Actividades artísticas, de entretenimiento y recreación y otras actividades de servicios</t>
  </si>
  <si>
    <t>104 - 108</t>
  </si>
  <si>
    <t>T</t>
  </si>
  <si>
    <t>Actividades de los hogares individuales en calidad de empleadores; actividades no diferenciadas de los hogares individuales como productores de bienes y servicios para uso propio</t>
  </si>
  <si>
    <t>109</t>
  </si>
  <si>
    <t>Actividades de los hogares individuales en calidad de empleadores</t>
  </si>
  <si>
    <t>B.1b</t>
  </si>
  <si>
    <t>Valor agregado bruto</t>
  </si>
  <si>
    <t>D.21 - D.31</t>
  </si>
  <si>
    <t>Impuestos menos subvenciones sobre los productos</t>
  </si>
  <si>
    <t>Producto interno bruto</t>
  </si>
  <si>
    <t>PIB enfoque del gasto</t>
  </si>
  <si>
    <t xml:space="preserve">P.3 </t>
  </si>
  <si>
    <t>Gasto de consumo final</t>
  </si>
  <si>
    <t>P.311 + P.313 + P.323</t>
  </si>
  <si>
    <r>
      <t>Gasto de consumo final individual de los hogares; gasto de consumo final de las ISFLH</t>
    </r>
    <r>
      <rPr>
        <b/>
        <i/>
        <vertAlign val="superscript"/>
        <sz val="9"/>
        <color theme="1"/>
        <rFont val="Segoe UI"/>
        <family val="2"/>
      </rPr>
      <t>1</t>
    </r>
  </si>
  <si>
    <t>P.311</t>
  </si>
  <si>
    <t>Gasto de consumo final individual de los hogares</t>
  </si>
  <si>
    <t>P.313 + P.323</t>
  </si>
  <si>
    <t>Gasto de consumo final de las ISFLH</t>
  </si>
  <si>
    <t>P.312 + P.322</t>
  </si>
  <si>
    <t>Gasto de consumo final del gobierno general</t>
  </si>
  <si>
    <t>P.5</t>
  </si>
  <si>
    <t>Formación bruta de capital</t>
  </si>
  <si>
    <t>P.51</t>
  </si>
  <si>
    <t>Formación bruta de capital fijo</t>
  </si>
  <si>
    <t>AN111</t>
  </si>
  <si>
    <t>Vivienda</t>
  </si>
  <si>
    <t>AN112</t>
  </si>
  <si>
    <t>Otros edificios y estructuras</t>
  </si>
  <si>
    <t>AN113 + AN114</t>
  </si>
  <si>
    <t>Maquinaria y equipo; sistemas de armamento</t>
  </si>
  <si>
    <t>AN115</t>
  </si>
  <si>
    <t>Recursos biológicos cultivados</t>
  </si>
  <si>
    <t>AN117</t>
  </si>
  <si>
    <t>Productos de propiedad intelectual</t>
  </si>
  <si>
    <t>P.52</t>
  </si>
  <si>
    <t>Variación de existencias</t>
  </si>
  <si>
    <t>P.53</t>
  </si>
  <si>
    <t>Adquisición menos disposición de objetos valiosos</t>
  </si>
  <si>
    <t>P.6</t>
  </si>
  <si>
    <t>Exportaciones</t>
  </si>
  <si>
    <t>P.7</t>
  </si>
  <si>
    <t>Importaciones</t>
  </si>
  <si>
    <t>PIB enfoque de los ingresos</t>
  </si>
  <si>
    <t>D.1</t>
  </si>
  <si>
    <t>Remuneración de los asalariados</t>
  </si>
  <si>
    <t>D.2 - D.3</t>
  </si>
  <si>
    <t>Impuestos menos subvenciones sobre la producción y las importaciones</t>
  </si>
  <si>
    <t>B.2 + B.3</t>
  </si>
  <si>
    <t>Excedente de explotación bruto e ingreso mixto bruto</t>
  </si>
  <si>
    <t>PIB per cápita</t>
  </si>
  <si>
    <t>Población</t>
  </si>
  <si>
    <t>Producto interno bruto per cápita (pesos)</t>
  </si>
  <si>
    <r>
      <rPr>
        <b/>
        <sz val="8"/>
        <rFont val="Segoe UI"/>
        <family val="2"/>
      </rPr>
      <t>Fuente</t>
    </r>
    <r>
      <rPr>
        <sz val="8"/>
        <rFont val="Segoe UI"/>
        <family val="2"/>
      </rPr>
      <t>: DANE, Cuentas Nacionales</t>
    </r>
  </si>
  <si>
    <r>
      <rPr>
        <b/>
        <sz val="8"/>
        <rFont val="Segoe UI"/>
        <family val="2"/>
      </rPr>
      <t>p:</t>
    </r>
    <r>
      <rPr>
        <sz val="8"/>
        <rFont val="Segoe UI"/>
        <family val="2"/>
      </rPr>
      <t xml:space="preserve"> cifra provisional</t>
    </r>
  </si>
  <si>
    <r>
      <rPr>
        <b/>
        <sz val="8"/>
        <rFont val="Segoe UI"/>
        <family val="2"/>
      </rPr>
      <t>pr:</t>
    </r>
    <r>
      <rPr>
        <sz val="8"/>
        <rFont val="Segoe UI"/>
        <family val="2"/>
      </rPr>
      <t xml:space="preserve"> cifra provisional</t>
    </r>
  </si>
  <si>
    <r>
      <rPr>
        <b/>
        <vertAlign val="superscript"/>
        <sz val="8"/>
        <rFont val="Segoe UI"/>
        <family val="2"/>
      </rPr>
      <t>1</t>
    </r>
    <r>
      <rPr>
        <sz val="8"/>
        <rFont val="Segoe UI"/>
        <family val="2"/>
      </rPr>
      <t xml:space="preserve"> Instituciones sin fines de lucro que sirven a los hogares</t>
    </r>
  </si>
  <si>
    <r>
      <rPr>
        <b/>
        <sz val="8"/>
        <rFont val="Segoe UI"/>
        <family val="2"/>
      </rPr>
      <t>(...)</t>
    </r>
    <r>
      <rPr>
        <sz val="8"/>
        <rFont val="Segoe UI"/>
        <family val="2"/>
      </rPr>
      <t xml:space="preserve"> cifra aún no disponible</t>
    </r>
  </si>
  <si>
    <t>Actualizado el 28 de junio de 2024</t>
  </si>
  <si>
    <t>Tasas de crecimiento en valor</t>
  </si>
  <si>
    <r>
      <t>2005 - 2022</t>
    </r>
    <r>
      <rPr>
        <b/>
        <vertAlign val="superscript"/>
        <sz val="9"/>
        <rFont val="Segoe UI"/>
        <family val="2"/>
      </rPr>
      <t>p</t>
    </r>
  </si>
  <si>
    <t>R +S + T</t>
  </si>
  <si>
    <t>PIB enfoque de los  ingresos</t>
  </si>
  <si>
    <t>Producto interno bruto per cápita</t>
  </si>
  <si>
    <t>Contribución de Servicios profesionales al PIB anual</t>
  </si>
  <si>
    <t>todos</t>
  </si>
  <si>
    <t>ultimos 10 años</t>
  </si>
  <si>
    <t>Promedio</t>
  </si>
  <si>
    <t>Y</t>
  </si>
  <si>
    <t>AÑO</t>
  </si>
  <si>
    <t>Tasa Variación</t>
  </si>
  <si>
    <r>
      <t>2024</t>
    </r>
    <r>
      <rPr>
        <b/>
        <vertAlign val="superscript"/>
        <sz val="10"/>
        <color theme="1"/>
        <rFont val="Segoe UI"/>
        <family val="2"/>
      </rPr>
      <t>pr</t>
    </r>
  </si>
  <si>
    <r>
      <t>2025</t>
    </r>
    <r>
      <rPr>
        <b/>
        <vertAlign val="superscript"/>
        <sz val="10"/>
        <color theme="1"/>
        <rFont val="Segoe UI"/>
        <family val="2"/>
      </rPr>
      <t>pr</t>
    </r>
  </si>
  <si>
    <r>
      <t>2026</t>
    </r>
    <r>
      <rPr>
        <b/>
        <vertAlign val="superscript"/>
        <sz val="10"/>
        <color theme="1"/>
        <rFont val="Segoe UI"/>
        <family val="2"/>
      </rPr>
      <t>pr</t>
    </r>
  </si>
  <si>
    <r>
      <t>2027</t>
    </r>
    <r>
      <rPr>
        <b/>
        <vertAlign val="superscript"/>
        <sz val="10"/>
        <color theme="1"/>
        <rFont val="Segoe UI"/>
        <family val="2"/>
      </rPr>
      <t>pr</t>
    </r>
  </si>
  <si>
    <r>
      <t>2028</t>
    </r>
    <r>
      <rPr>
        <b/>
        <vertAlign val="superscript"/>
        <sz val="10"/>
        <color theme="1"/>
        <rFont val="Segoe UI"/>
        <family val="2"/>
      </rPr>
      <t>pr</t>
    </r>
  </si>
  <si>
    <t>(Enero de 2009 a Junio de 2024)</t>
  </si>
  <si>
    <t>Índice base diciembre de 2018 = 100</t>
  </si>
  <si>
    <t>Año</t>
  </si>
  <si>
    <t>Mes</t>
  </si>
  <si>
    <t>Variación</t>
  </si>
  <si>
    <t>Mensual</t>
  </si>
  <si>
    <t>Año corrido</t>
  </si>
  <si>
    <t>Anual</t>
  </si>
  <si>
    <t>Enero</t>
  </si>
  <si>
    <t>Febrero</t>
  </si>
  <si>
    <t>Marzo</t>
  </si>
  <si>
    <t>Abril</t>
  </si>
  <si>
    <t>Mayo</t>
  </si>
  <si>
    <t>Junio</t>
  </si>
  <si>
    <t>Julio</t>
  </si>
  <si>
    <t>Agosto</t>
  </si>
  <si>
    <t>Septiembre</t>
  </si>
  <si>
    <t>Octubre</t>
  </si>
  <si>
    <t>Noviembre</t>
  </si>
  <si>
    <t>Diciembre</t>
  </si>
  <si>
    <r>
      <rPr>
        <b/>
        <sz val="8"/>
        <rFont val="Segoe UI"/>
        <family val="2"/>
      </rPr>
      <t xml:space="preserve">Fuente: </t>
    </r>
    <r>
      <rPr>
        <sz val="8"/>
        <rFont val="Segoe UI"/>
        <family val="2"/>
      </rPr>
      <t>DANE.</t>
    </r>
  </si>
  <si>
    <t>*De acuerdo a la clasiflicación COICOP, disponible en https://www.dane.gov.co/files/sen/nomenclatura/coicop/Estructura_COICOP_1999D_ND_SD.xlsx</t>
  </si>
  <si>
    <r>
      <rPr>
        <b/>
        <sz val="8"/>
        <rFont val="Segoe UI"/>
        <family val="2"/>
      </rPr>
      <t xml:space="preserve">Nota: </t>
    </r>
    <r>
      <rPr>
        <sz val="8"/>
        <rFont val="Segoe UI"/>
        <family val="2"/>
      </rPr>
      <t>La diferencia en la suma de las variables, obedece al sistema de aproximación y redondeo. Se ajustan los ponderadores por decimales.</t>
    </r>
  </si>
  <si>
    <t>Actualizado el 8 de julio de 2024</t>
  </si>
  <si>
    <t>Contribución de Servicios profesionales al IPC anual</t>
  </si>
  <si>
    <t>Series a  proyectar</t>
  </si>
  <si>
    <t>Series base</t>
  </si>
  <si>
    <t>Debido a que el servicio de la empresa esta dirigido a un mercado local donde solo las empresas más grandes cuentan con una economía de escala, las empresas competidoras, por no estar constituidas más allá de la categoría PYMES por su propia naturaleza, no representan una amenaza significativa con escenarios monopolizados del mercado de servicios profesionales.</t>
  </si>
  <si>
    <t>Zona Comercial Norte - La Castellana (Ubicación) / Montería (Alcance operativo)</t>
  </si>
  <si>
    <t>Pequeñas</t>
  </si>
  <si>
    <t>Ciclo Energia S A S</t>
  </si>
  <si>
    <t>Terciario o Servicios</t>
  </si>
  <si>
    <t>Comercio de artículos deportivos</t>
  </si>
  <si>
    <t>15 días</t>
  </si>
  <si>
    <t>20 días</t>
  </si>
  <si>
    <t>CALLE 21 3 34 BRR CHUCHURUBI, MONTERIA, CORDOBA</t>
  </si>
  <si>
    <t>NO APLICA</t>
  </si>
  <si>
    <t>Nivel Ventas (mensual)</t>
  </si>
  <si>
    <t>Nutricion Y Recursos Del Caribe S A</t>
  </si>
  <si>
    <t>Secundario</t>
  </si>
  <si>
    <t>Elaboracion alimentos para animales</t>
  </si>
  <si>
    <t>Mediana</t>
  </si>
  <si>
    <t>KILOMETRO 11 VIA MONTERIA CERETE, MONTERIA, CORDOBA</t>
  </si>
  <si>
    <t>1. Identificar el ecosistema mercantil local al que se expone el ofrecimiento de un servicio de gestión de carteras crediticia, mediante el análisis de las macro y micro variables del entorno en que se busca desarrollar el proyecto de empresa, con miras a entender la dinámica actual del mercado potencial.</t>
  </si>
  <si>
    <t>2. Definir estrategias de mercado realistas para el ofrecimiento del portafolio de servicios, identificando del segmento de mercado objetivo y sus requerimientos técnicos, que permitan construir una metodología clara de mercadotecnia.</t>
  </si>
  <si>
    <t>3. Desarrollar una estructura operativa y tecnológica que optimice el proceso de gestión de cobranza de las carteras de crédito del cliente, describiendo claramente las características técnicas del servicio y el plan de aprovisionamiento.</t>
  </si>
  <si>
    <t>6. Diseñar la estrategia organizacional del negocio, a través del reconocimiento de los organismos de apoyo, los requerimientos de la estructura organizativa, el aspecto legal de la operación y el estudio de la situación empresarial; con la intención de perfilar los requerimientos de constitución de empresa.</t>
  </si>
  <si>
    <t>5. Estructurar el plan operativo del negocio, estableciendo las metas sociales, la cadena productiva del servicio y el cronograma de actividades a desarrollar, con el propósito de definir una ruta clara para la constitución de la empresa y el ofrecimiento de los servicios.</t>
  </si>
  <si>
    <t>4. Realizar proyecciones financieras realistas del resultado operativo, identificado las fuentes de financiación, el modelo financiero, la estructura de costos y capital de trabajo; en busca de respaldar la viabilidad del modelo de negocio y su sostenibilidad en el tiempo.</t>
  </si>
  <si>
    <t>Otras empresas que ofrecen un servicio similar al de SODECO, enfocan sus servicios en etapas específicas de la etapa de cobranza, dejando de lado la gestión de las cuentas por cobrar y la creación de un plan de intervención que garantice una recuperación efectiva desde el inicio. Es por todo esto que, el crear y ofertar un servicio integral que involucre todos los procesos del área de Cartera y Cobranza, supone naturalmente una diferenciación clara en el sector de servicios profesionales de cobranza local.</t>
  </si>
  <si>
    <t>Dentro del Marco legal vigente para el sector de actividades profesionales especializadas en cobranza, no existen políticas limitantes de adherencia al mercado más allá de la normativa que establece SuperFinanciera y el Banco de la républica para el tratamiento de datos sensibles del consumidor, y de las buenas prácticas de cobranza de deudas comerciales o financieras.</t>
  </si>
  <si>
    <r>
      <t xml:space="preserve">Se determinó, a traves de los datos recolectados y extrapolados mediante una encuesta aplicada a directores de PYMES monterianas, que existen </t>
    </r>
    <r>
      <rPr>
        <b/>
        <sz val="12"/>
        <rFont val="Calibri"/>
        <family val="2"/>
      </rPr>
      <t>444 empresas potenciales</t>
    </r>
    <r>
      <rPr>
        <sz val="12"/>
        <rFont val="Calibri"/>
        <family val="2"/>
      </rPr>
      <t xml:space="preserve"> dispuestas a usar el servicio y pagar entre  $3.000.000 y $5.000.000 por ello, que es el rango de precio en el que se prevee ofertar el servicio especializado. Sin ambargo de estas 444 empresas el 38% ya tercerizaron parcialmente el proceso de cobranza así que se estima una demanda potencial real de muy fácil acceso, así: 
</t>
    </r>
    <r>
      <rPr>
        <b/>
        <sz val="12"/>
        <rFont val="Calibri"/>
        <family val="2"/>
      </rPr>
      <t xml:space="preserve">- SEGMENTO DE MERCADO POTENCIAL = (POBLACIÓN PYMES)*(% de intención de compra)*(% de pago precio) = (741)(0,73)(0,82) = </t>
    </r>
    <r>
      <rPr>
        <b/>
        <u/>
        <sz val="12"/>
        <rFont val="Calibri"/>
        <family val="2"/>
      </rPr>
      <t>444 PYMES dispuestas a comprar y pagar el precio</t>
    </r>
    <r>
      <rPr>
        <sz val="12"/>
        <rFont val="Calibri"/>
        <family val="2"/>
      </rPr>
      <t xml:space="preserve">
</t>
    </r>
    <r>
      <rPr>
        <b/>
        <sz val="12"/>
        <rFont val="Calibri"/>
        <family val="2"/>
      </rPr>
      <t xml:space="preserve">- POBLACIÓN FÁCIL ACCESO = SEGMENTO DE MERCADO POTENCIAL)*(% sin tercerizar) = (444)(0,62) = </t>
    </r>
    <r>
      <rPr>
        <b/>
        <u/>
        <sz val="12"/>
        <rFont val="Calibri"/>
        <family val="2"/>
      </rPr>
      <t>275 PYMES de fácil acceso a compra del servicio</t>
    </r>
  </si>
  <si>
    <t>Legal Group Asociados S.A.S</t>
  </si>
  <si>
    <t>Servicio de alistamiento legal para cobros jurídicos por contratos de ventas a créditos</t>
  </si>
  <si>
    <t>Carrera 3 #28 38 Oficina 202 Torre Malena, Montería</t>
  </si>
  <si>
    <t>Pago contado al vencimiento mensual por 30 días de servicio</t>
  </si>
  <si>
    <t xml:space="preserve">Chipax </t>
  </si>
  <si>
    <t>Proveedores de Software Especializado en Adminsitración de Cartera, Gestión de cuentas por cobrar y Cobranza eficiente</t>
  </si>
  <si>
    <t>Luis Carrera 1263, 7650726 Vitacura, Región Metropolitana, Chile</t>
  </si>
  <si>
    <t>Pago contado anticipado mensual por 30 días de servicio</t>
  </si>
  <si>
    <t>Albor Estrategias En Marketing Y Servicios S.A.S.</t>
  </si>
  <si>
    <t>Servicio de publicidad en campo y campañas de recolección de datos</t>
  </si>
  <si>
    <t>Fumimas Fumigaciones Y Mantenimiento De La Costa S A S</t>
  </si>
  <si>
    <t>Calle 31 #39-38 Urbanziación Bonanza, Montería, Córdoba</t>
  </si>
  <si>
    <t>Calle 34 26 Barrio Centro, Montería, Córdoba</t>
  </si>
  <si>
    <t>Servicio de limpieza general interior y exterior de bienes inmuebles</t>
  </si>
  <si>
    <t>SIME- Servicios De Ingenieria Y Mantenimiento S A S</t>
  </si>
  <si>
    <t>Servicio de mantenimiento y reparacion especializado de equipo electricos de todo tipo</t>
  </si>
  <si>
    <t>Manzana E3 Lote 10 Barrio El Mora, Montería, Córdoba</t>
  </si>
  <si>
    <r>
      <t xml:space="preserve">El Servicio de gestión de cartera y cobranza de SODECO tendrá como base estratégica de competitividad, la personalización y oferta de un servicio integral que intervenga en todo el proceso de cobranza, brindando un servicio flexible dirigido a PYMES que se desarrollará en función del volumen promedio de la cartera de deudores con la que cuenta al momento el cliente, así como el volumen promedio de la deuda.
Adicionalmente, otras estrategias de valor diferencial serán:
1)	</t>
    </r>
    <r>
      <rPr>
        <b/>
        <sz val="12"/>
        <color theme="1"/>
        <rFont val="Calibri"/>
        <family val="2"/>
      </rPr>
      <t xml:space="preserve">Innovación tecnológica: </t>
    </r>
    <r>
      <rPr>
        <sz val="12"/>
        <color theme="1"/>
        <rFont val="Calibri"/>
        <family val="2"/>
      </rPr>
      <t xml:space="preserve">se utilizarán los equipos de comunicación, y el software de gestión &amp; recuperación de cartera con mayor reputación en el mercado, para brindar el soporte físico necesario al proceso de cobranza.
2)	</t>
    </r>
    <r>
      <rPr>
        <b/>
        <sz val="12"/>
        <color theme="1"/>
        <rFont val="Calibri"/>
        <family val="2"/>
      </rPr>
      <t>Políticas y procedimientos enfocados a la cobranza efectiva:</t>
    </r>
    <r>
      <rPr>
        <sz val="12"/>
        <color theme="1"/>
        <rFont val="Calibri"/>
        <family val="2"/>
      </rPr>
      <t xml:space="preserve"> se diseñará un método de trabajo autosostenible que se encuentre alineado con estrategias validadas internacionalmente para la cobranza efectiva. 
3)	</t>
    </r>
    <r>
      <rPr>
        <b/>
        <sz val="12"/>
        <color theme="1"/>
        <rFont val="Calibri"/>
        <family val="2"/>
      </rPr>
      <t xml:space="preserve">Prácticas de RSE: </t>
    </r>
    <r>
      <rPr>
        <sz val="12"/>
        <color theme="1"/>
        <rFont val="Calibri"/>
        <family val="2"/>
      </rPr>
      <t xml:space="preserve">todas las actividades involucradas en el servicio de gestión de cartera y cobranza serán realizadas bajo el principio de buenas prácticas para la protección del consumidor financiero y la comunidad.
4)	</t>
    </r>
    <r>
      <rPr>
        <b/>
        <sz val="12"/>
        <color theme="1"/>
        <rFont val="Calibri"/>
        <family val="2"/>
      </rPr>
      <t xml:space="preserve">Talento Humano especializado: </t>
    </r>
    <r>
      <rPr>
        <sz val="12"/>
        <color theme="1"/>
        <rFont val="Calibri"/>
        <family val="2"/>
      </rPr>
      <t>el cuerpo de agentes de cobranza estará comprendido por personal formado específicamente en el área de gestión de cuentas por cobrar con especialidad en los métodos de cobranza efectiva. Esto permitirá el desarrollo de todas las actividades del servicio de la manera más eficiente, mientras se garantiza el cumplimiento de las políticas y procedimientos de cobranza internos.</t>
    </r>
  </si>
  <si>
    <t>ASERCOR S.A.S.</t>
  </si>
  <si>
    <t>Cobranzas Y Procesos Juridicos S.A.S.</t>
  </si>
  <si>
    <t>Organizaciones sin ánimos de lucro y otras entidades del Sector Solidario</t>
  </si>
  <si>
    <t>Es uno de los buffets de abogados con más reputación en la ciudad de Montería</t>
  </si>
  <si>
    <t>Montería, Cereté y Sahagún</t>
  </si>
  <si>
    <t>Empresas prestadoras de Servicios de salud</t>
  </si>
  <si>
    <t>Es la unica empresa especializada en la cobranza de cuentas por cobrar originadas de servicios médicos, en la ciudad</t>
  </si>
  <si>
    <t>Es la única Agencia de cobranza con presencia en toda la región caribe, con  más de 6 años de experiencia, además de contar con certificado ISO 9001</t>
  </si>
  <si>
    <t>Asesoria Integral En Salud Y Cobranza Financiera S.A.S.</t>
  </si>
  <si>
    <t>Empresas de servicios financieros aliados estratégicamente con BANCOLOMBIA S.A.</t>
  </si>
  <si>
    <t>Solo atiende clientes aliados de BANCOLOMBIA, así que reciben respaldo de un protagonita enorme bancario</t>
  </si>
  <si>
    <t>Contact Center KONECTA, Servicios de cobranza territorial</t>
  </si>
  <si>
    <t>Entidades Bancarias y Comerciales</t>
  </si>
  <si>
    <t>M&amp;M SERVICIOS Y TRAMITES CONTABLES SAS</t>
  </si>
  <si>
    <t>El servicio de gestión de cuentas por cobrar que ofrecen esta orientado a actividades únicas de transformación</t>
  </si>
  <si>
    <t>Montería y alrededores</t>
  </si>
  <si>
    <t>Empresas del sector industrial</t>
  </si>
  <si>
    <t>SODECO brindará un servicio integral de gestión de cartera y recuperación de deudas, para PYMES monterianas. Esto abarcará, en un nivel operativo, todo lo relacionado con el manejo integral de sus cuentas por cobrar, desde la identificación, localización y comunicación con consumidores morosos hasta la recaudación de los saldos adeudados. Es necesario resaltar, que las actividades de gestión y cobranza no se ofrecen como servicio individual.</t>
  </si>
  <si>
    <t>Gestión integral de Cartera y Cobranza</t>
  </si>
  <si>
    <t>Las actividades de cobranza requieren cumplir la Ley 2330  del 10 de julio de 2023, establecida por el Congreso de la República de Colombia, para establecer la oferta del servicios y hacer uso de la Guía de mejores prácticas en la gestión de cobranza para diseñar correctamente las políticas de la misma.</t>
  </si>
  <si>
    <t xml:space="preserve">Sustitutos: </t>
  </si>
  <si>
    <t xml:space="preserve">Complementarios: </t>
  </si>
  <si>
    <t>1) Servicios profesionales en Ingeniería de procesos 
2) Servicios de Ingeniería en optimización de ciclos operativos 
3) Servicios de Gestión de cuentas comerciales
4) Servicios de Asesoramiento en finanzas corporativas.</t>
  </si>
  <si>
    <t>Cualquier otro servicio profesional que gestione las cuentas por cobrar y su recuperación, parcial o completamente</t>
  </si>
  <si>
    <t>Descuentos por contratación inicial</t>
  </si>
  <si>
    <t>Descuento por referidos</t>
  </si>
  <si>
    <t>N/A</t>
  </si>
  <si>
    <t>SODECO ofrece un producto intangible, al ser un servicio especializado que se originará directamente con el cliente en el momento de realizar un pacto contractual de trabajo, por tal motivo el canal de distribución se asignará como directo, es decir, no se utilizarán intermediarios comerciales para poner el servicio a disposición del cliente final.</t>
  </si>
  <si>
    <t>El servicio se distribuirá de forma directa, siendo SODECO el ofertante del servicio y las PYMES el cliente final, por tanto, la forma de distribución se realizará de manera exclusiva en las propias oficinas de la empresa o en campo cuando sea necesario según las etapas del servicio, a través de los agentes propios de la agencia de cobranza.</t>
  </si>
  <si>
    <t>Folletos Publicitarios</t>
  </si>
  <si>
    <t>Tarjetas Profesionales</t>
  </si>
  <si>
    <t>Campaña en Radio</t>
  </si>
  <si>
    <t>Campaña en Redes Sociales</t>
  </si>
  <si>
    <t>En la ciudad de Montería, el medio más utilizado de promoción de productos y servicios es la radio, por ser una cultura con hábitos aún sin modernizar completamente, y esto aplica incluso para las nuevas generaciones. Por eso se decide hacer uso de la promoción en emisoras de radio locales donde el alcance es amplio y a bajo costo. El costo es de $ 332,67 pesos por segundo transmitido y se estima realizar una campaña de 4500 segundos mensual; 3 meses al año.</t>
  </si>
  <si>
    <t>Se opta por la utilización de volantes publicitarios para exponer gráficamente el servicio de SODECO por las calles de sectores comerciales y empresariales de la ciudad de Montería. Se estiman producir 300 unidades mensuales para repartir entre trabajadores directos de PYMES, con un costo unitario promedio de $600 pesos para folletos de 35x20. Esta actividad promociona se realizará 3 veces por año</t>
  </si>
  <si>
    <t>Se decide crear un plan publicitario dirigido a los clientes potenciales con presencia corporativa en Facebook e Instagram puesto que estas dos redes son las más utilizadas empresarialmente para la publicitación de productos y servicios, debido a la alta tasa de efectividad en la entrega promocional a usuarios específicos. El costo de la campaña corporativa para 15 días con el máximo alcance  es de $179.100 y se estima realizarse 5 meses por año.</t>
  </si>
  <si>
    <t>Las tarjetas ejecutivas servirán para entregar profesional y rapidamente información de contacto a clientes potenciales. Se producirán 300 para abarcar todos los directores de PYMES de la zona que se estiman en 275. El costo unitario es de $1.000 pesos y se producirán 2 veces al año.</t>
  </si>
  <si>
    <t>Servicio de promotores de venta en campo</t>
  </si>
  <si>
    <t>Se utilizará un servicio estratégico de promoción que permitirá a SODECO disponer de personal capacitado para desarrollar las actividades publicitarias en campo, liderados por el jefe de ventas interno. La mano de obra tiene un costo de $43.333 por jornada de 6 horas, y se espera utilizar una fuerza de trabajo de 6 personas con 2 jornadas de promoción corporativa al mes, con un costo adicional de $72.000 para refrigerios.</t>
  </si>
  <si>
    <t>Participación en ferias empresariales</t>
  </si>
  <si>
    <t>Como parte de la estrategia de exposición al mercado empresarial local para establecer relaciones comerciales, se decide hacer participe a SODECO de la feria empresarial más grande del departamente,  organizadas por la Alcaldia de Montería cada año. Para esto se prevee producir un paquete de productos promocionales que serán repartidos en estas fería, con un costo unitario de $ 8.000 pesos. Además se estiman necesitar 150 unidades.</t>
  </si>
  <si>
    <t>Pendones para publicidad en sitio</t>
  </si>
  <si>
    <t>Se planea producir pendones publicitarios que se utilizarán permanentemente en las afueras de las oficinas o en los lugares de promoción estática que lo ameriten, como las ferias de negocio. El costo unitario por pendón es de $174.500 y se producirán 5 por año.</t>
  </si>
  <si>
    <t>Visita Comercial</t>
  </si>
  <si>
    <t>3.1 Componente Innovador o Factor Diferenciador</t>
  </si>
  <si>
    <t>VARIABLE</t>
  </si>
  <si>
    <r>
      <t>DESCRIPCIÓN DE LA INNOVACIÓN</t>
    </r>
    <r>
      <rPr>
        <b/>
        <sz val="12"/>
        <color rgb="FF7F7F7F"/>
        <rFont val="Calibri"/>
        <family val="2"/>
      </rPr>
      <t xml:space="preserve"> (Revisión Manual de Oslo - Ver en Fuente Bibliográfica el enlace)</t>
    </r>
  </si>
  <si>
    <t>Producto (Bien o Servicio)</t>
  </si>
  <si>
    <t>Proceso</t>
  </si>
  <si>
    <t>FICHA TÉCNICA PRODUCTO No. 1</t>
  </si>
  <si>
    <t>Nombre del Producto:</t>
  </si>
  <si>
    <t>Imagen del Producto</t>
  </si>
  <si>
    <t>Nombre Comercial:</t>
  </si>
  <si>
    <t>Descripción General del Producto:</t>
  </si>
  <si>
    <t>Presentación y Empaque del Producto:</t>
  </si>
  <si>
    <t>Vida útil del  producto:</t>
  </si>
  <si>
    <r>
      <t>Condiciones de Almacenamiento:</t>
    </r>
    <r>
      <rPr>
        <b/>
        <sz val="12"/>
        <color rgb="FF7F7F7F"/>
        <rFont val="Calibri"/>
        <family val="2"/>
      </rPr>
      <t xml:space="preserve"> </t>
    </r>
    <r>
      <rPr>
        <b/>
        <sz val="11"/>
        <color rgb="FF7F7F7F"/>
        <rFont val="Calibri"/>
        <family val="2"/>
      </rPr>
      <t>(Describa las advertencias o condiciones especiales de almacenamiento o uso del producto)</t>
    </r>
  </si>
  <si>
    <t>Condiciones de uso:</t>
  </si>
  <si>
    <t>Composición ( Si Aplica)</t>
  </si>
  <si>
    <t xml:space="preserve">Mínimo de Producción </t>
  </si>
  <si>
    <t>Máximo de Producción</t>
  </si>
  <si>
    <t xml:space="preserve">Otro - Cuál: </t>
  </si>
  <si>
    <t>FICHA TÉCNICA PRODUCTO No. 2</t>
  </si>
  <si>
    <t>FICHA TÉCNICA PRODUCTO No. 3</t>
  </si>
  <si>
    <t>Máximo y minimo de producción - pero tambien de despacho</t>
  </si>
  <si>
    <t>FICHA TÉCNICA PRODUCTO No. 4</t>
  </si>
  <si>
    <t>3.3 Ficha Técnica del Servicio</t>
  </si>
  <si>
    <t>FICHA TÉCNICA SERVICIO No. 1</t>
  </si>
  <si>
    <t>Nombre del Servicio:</t>
  </si>
  <si>
    <t>Logo del Servicio</t>
  </si>
  <si>
    <t>Descripción General del Servicio:</t>
  </si>
  <si>
    <t>Condiciones Especiales:</t>
  </si>
  <si>
    <t xml:space="preserve">Horario: </t>
  </si>
  <si>
    <t>Duración:</t>
  </si>
  <si>
    <t>Actividades incluidas en el Servicio:</t>
  </si>
  <si>
    <t>Garantía:</t>
  </si>
  <si>
    <t>Condiciones de Uso:</t>
  </si>
  <si>
    <t>Mínimo de servucción</t>
  </si>
  <si>
    <t>Máximo de servucción</t>
  </si>
  <si>
    <t>FICHA TÉCNICA SERVICIO No. 2</t>
  </si>
  <si>
    <t>FICHA TÉCNICA SERVICIO No. 3</t>
  </si>
  <si>
    <t>FICHA TÉCNICA SERVICIO No. 4</t>
  </si>
  <si>
    <t>3.4 Descripción del Proceso</t>
  </si>
  <si>
    <t>No. de Actividad</t>
  </si>
  <si>
    <t>Actividad</t>
  </si>
  <si>
    <t>Recursos</t>
  </si>
  <si>
    <r>
      <t>Tiempo</t>
    </r>
    <r>
      <rPr>
        <b/>
        <sz val="10"/>
        <color rgb="FFA5A5A5"/>
        <rFont val="Calibri"/>
        <family val="2"/>
      </rPr>
      <t xml:space="preserve"> </t>
    </r>
    <r>
      <rPr>
        <b/>
        <sz val="10"/>
        <color rgb="FF7F7F7F"/>
        <rFont val="Calibri"/>
        <family val="2"/>
      </rPr>
      <t>(Detalle el tiempo de mano de obra utilizado)</t>
    </r>
  </si>
  <si>
    <t>Mano de Obra y Responsable</t>
  </si>
  <si>
    <t>Materia Prima e Insumos</t>
  </si>
  <si>
    <t>Implementos de Seguridad</t>
  </si>
  <si>
    <t>Bien / Servicio No. 2</t>
  </si>
  <si>
    <t>Bien / Servicio No. 3</t>
  </si>
  <si>
    <t>Bien / Servicio No. 4</t>
  </si>
  <si>
    <t>3.5 Requerimientos de Activos</t>
  </si>
  <si>
    <t>Tipo de Activo</t>
  </si>
  <si>
    <t>Nombre del Activo</t>
  </si>
  <si>
    <t>Requisitos Técnicos</t>
  </si>
  <si>
    <t>Cantidad</t>
  </si>
  <si>
    <t>Valor Unitario</t>
  </si>
  <si>
    <t>Valor Total</t>
  </si>
  <si>
    <t>Maquinaria y Equipo</t>
  </si>
  <si>
    <t>Equipo de Comunicación y Computación</t>
  </si>
  <si>
    <t>Muebles y Enseres</t>
  </si>
  <si>
    <t>Herramientas - Otros</t>
  </si>
  <si>
    <t xml:space="preserve">Semovientes - Cultivos </t>
  </si>
  <si>
    <t>Infraestructura y Adecuaciones</t>
  </si>
  <si>
    <t xml:space="preserve">Gastos Pre - Operativos </t>
  </si>
  <si>
    <t xml:space="preserve">TOTAL INVERSIÓN EN ACTIVOS </t>
  </si>
  <si>
    <t>3.6 Análisis de la Producción</t>
  </si>
  <si>
    <r>
      <t xml:space="preserve">3.6.1 Plan de Producción </t>
    </r>
    <r>
      <rPr>
        <sz val="16"/>
        <color theme="0" tint="-0.499984740745262"/>
        <rFont val="Calibri"/>
        <family val="2"/>
      </rPr>
      <t xml:space="preserve">(Tener en cuenta que el incremento de las unidades futuras se encuentran afectadas con la proyecciòn del PIB ó en su defecto el % que se sugiera </t>
    </r>
    <r>
      <rPr>
        <b/>
        <sz val="16"/>
        <color theme="0" tint="-0.499984740745262"/>
        <rFont val="Calibri"/>
        <family val="2"/>
      </rPr>
      <t>)</t>
    </r>
  </si>
  <si>
    <t>Producto o Servicio</t>
  </si>
  <si>
    <t>Unidad de Medida</t>
  </si>
  <si>
    <t>Año 1</t>
  </si>
  <si>
    <t>Año 2</t>
  </si>
  <si>
    <t>Año 3</t>
  </si>
  <si>
    <t>Año 4</t>
  </si>
  <si>
    <t>Año 5</t>
  </si>
  <si>
    <t>Crecimiento Sector año 2</t>
  </si>
  <si>
    <t>Crecimiento Sector año 3</t>
  </si>
  <si>
    <t>Crecimiento Sector año 4</t>
  </si>
  <si>
    <t>Crecimiento Sector año 5</t>
  </si>
  <si>
    <t>TOTAL PROYECCIÓN DE UNIDADES A PRODUCIR POR AÑO</t>
  </si>
  <si>
    <t>3.7 Requerimientos de Mano de Obra</t>
  </si>
  <si>
    <t xml:space="preserve">Calcular exclusivamente la mano de obra que participa directamente en el proceso de producción o en el proceso de prestación de su servicio. </t>
  </si>
  <si>
    <t>Valores de Referencia</t>
  </si>
  <si>
    <t xml:space="preserve">Seguridad social a cargo del empleador </t>
  </si>
  <si>
    <t>%</t>
  </si>
  <si>
    <t>Parfiscales</t>
  </si>
  <si>
    <t>Salario mínimo</t>
  </si>
  <si>
    <t>Caja de Compensaión</t>
  </si>
  <si>
    <t>Auxilio de transporte</t>
  </si>
  <si>
    <t>Salud</t>
  </si>
  <si>
    <t>ICBF</t>
  </si>
  <si>
    <t>Pensión</t>
  </si>
  <si>
    <t>SENA</t>
  </si>
  <si>
    <t>Total</t>
  </si>
  <si>
    <t>Prestaciones Sociales</t>
  </si>
  <si>
    <t xml:space="preserve">Riesgo </t>
  </si>
  <si>
    <t>Tarifa</t>
  </si>
  <si>
    <t>Actividades</t>
  </si>
  <si>
    <t xml:space="preserve">Prima </t>
  </si>
  <si>
    <t>​I​</t>
  </si>
  <si>
    <t>​Financieras, trabajos de oficina, administrativos, centros educativos, restaurantes.</t>
  </si>
  <si>
    <t>Cesantias</t>
  </si>
  <si>
    <t>​II</t>
  </si>
  <si>
    <t>Algunos procesos manufactureros como fabricación de tapetes, tejidos, confecciones y flores artificiales, almacén por departamentos, algunas labores agricolas.​</t>
  </si>
  <si>
    <t>Vacaciones</t>
  </si>
  <si>
    <t>III​</t>
  </si>
  <si>
    <t>Algunos procesos manufactureros como la fabricación de agujas, alcoholes y artículos de cuero</t>
  </si>
  <si>
    <t xml:space="preserve">Intereses/cesantias </t>
  </si>
  <si>
    <t>IV​</t>
  </si>
  <si>
    <t>​Procesos manufactureros como fabricación de aceites, cervezas, vidrios, procesos de galvanización, transportes y servicios de vigilancia privada.​</t>
  </si>
  <si>
    <t>V</t>
  </si>
  <si>
    <t>​Areneras, manejo de asbesto, bomberos, manejo de explosivos, construcción y explotación petrolera.</t>
  </si>
  <si>
    <t>Cargo</t>
  </si>
  <si>
    <t>Tipo de Contrato</t>
  </si>
  <si>
    <t xml:space="preserve">Dias laborados </t>
  </si>
  <si>
    <t>Salario Básico</t>
  </si>
  <si>
    <t xml:space="preserve">Riesgos Laborales </t>
  </si>
  <si>
    <t>Auxilio de Transporte</t>
  </si>
  <si>
    <t xml:space="preserve">Seguridad Social </t>
  </si>
  <si>
    <t xml:space="preserve">Parafiscales </t>
  </si>
  <si>
    <t>Neto Pagado</t>
  </si>
  <si>
    <t>Por labor</t>
  </si>
  <si>
    <t>III</t>
  </si>
  <si>
    <t>II</t>
  </si>
  <si>
    <t>C. Nómina</t>
  </si>
  <si>
    <t>IV</t>
  </si>
  <si>
    <t>C. Indefinido</t>
  </si>
  <si>
    <t xml:space="preserve">Total </t>
  </si>
  <si>
    <t>* Los gastos por concepto de dotación de trabajo se llevan a administrativos, generales y ventas</t>
  </si>
  <si>
    <t>Proyección de Requerimiento de Mano de Obra</t>
  </si>
  <si>
    <t>Porcentaje de incremento anual proyectado (Colocar porcentajes de incremento salarial para los siguientes 4 años)</t>
  </si>
  <si>
    <t>Porcentaje de Incremento Anual</t>
  </si>
  <si>
    <t>Proyección</t>
  </si>
  <si>
    <t>No. Meses Laborados</t>
  </si>
  <si>
    <t>Total Devengado</t>
  </si>
  <si>
    <t>3.8 Requerimientos de Mano de Obra para proyectos que se ejecutarán fuera del país</t>
  </si>
  <si>
    <t xml:space="preserve">Teniendo en cuenta que la legislación en cada país con respecto al ámbito laboral son propias de su sistema normativo, las unidades productivas que se proyectan ejecutar fuera de Colombia, liquidarán su nómina acorde a su sistema laboral. </t>
  </si>
  <si>
    <t>Salario Mínimo Básico</t>
  </si>
  <si>
    <t>Otros cargos a favor del empleado</t>
  </si>
  <si>
    <t>Provisiones de nómina a cargo del empleador/Mes.</t>
  </si>
  <si>
    <r>
      <t xml:space="preserve">3.9 Costos Variables </t>
    </r>
    <r>
      <rPr>
        <sz val="20"/>
        <color theme="0" tint="-0.499984740745262"/>
        <rFont val="Calibri"/>
        <family val="2"/>
      </rPr>
      <t>(Tener en cuenta que el incremento de los costos futuros se encuentran afectadas con la proyecciòn de la inflación o IPC)</t>
    </r>
  </si>
  <si>
    <t>Materias Primas e Insumos</t>
  </si>
  <si>
    <t>Precio de compra</t>
  </si>
  <si>
    <r>
      <t xml:space="preserve">Requerimiento 
</t>
    </r>
    <r>
      <rPr>
        <b/>
        <sz val="12"/>
        <color rgb="FF7F7F7F"/>
        <rFont val="Calibri"/>
        <family val="2"/>
      </rPr>
      <t>(Cantidad utilizada)</t>
    </r>
  </si>
  <si>
    <t>IPC Proyectado</t>
  </si>
  <si>
    <t>Total MP</t>
  </si>
  <si>
    <t>Mano de Obra</t>
  </si>
  <si>
    <t>Total MO</t>
  </si>
  <si>
    <t>Costos Indirectos de Fabricación CIF</t>
  </si>
  <si>
    <t>Total CIF</t>
  </si>
  <si>
    <t xml:space="preserve">Bien o Servicio 2 </t>
  </si>
  <si>
    <t>Costo Unitario Producto 2</t>
  </si>
  <si>
    <t xml:space="preserve">Bien o Servicio 3 </t>
  </si>
  <si>
    <t>Costo Unitario Producto 3</t>
  </si>
  <si>
    <t xml:space="preserve">Bien o Servicio 4 </t>
  </si>
  <si>
    <t>Costo Unitario Producto 4</t>
  </si>
  <si>
    <t>3.10  Presupuesto Costos de Producción Proyectado</t>
  </si>
  <si>
    <t>PRESUPUESTO COSTOS DE PRODUCCION</t>
  </si>
  <si>
    <t xml:space="preserve">Bien y Servicio </t>
  </si>
  <si>
    <t>IPC 2025</t>
  </si>
  <si>
    <t>IPC 2026</t>
  </si>
  <si>
    <t>IPC 2027</t>
  </si>
  <si>
    <t>IPC 2028</t>
  </si>
  <si>
    <t>1. Servicio integral de Gestión de Cartera y Cobranza de deudas ( Este único servicio es integro y se opta por no brindarse separadamente).</t>
  </si>
  <si>
    <t>SIGECAYCO</t>
  </si>
  <si>
    <t>Servicio integral de intervención oportuna a lo largo del proceso administrativo de cuentas por cobrar y el aseguramiento de la gestión efectiva de cobranza, brindando un servicio flexible dirigido a PYMES que se desarrollará en función del volumen promedio de la cartera de deudores con la que cuenta el cliente, el volumen promedio de la deuda y el perfil de deudores.</t>
  </si>
  <si>
    <r>
      <t xml:space="preserve">Horario:     </t>
    </r>
    <r>
      <rPr>
        <sz val="12"/>
        <color rgb="FF262626"/>
        <rFont val="Calibri"/>
        <family val="2"/>
      </rPr>
      <t>8:00 a.m. - 12:00 p.m. / 1:30 p.m. - 5:30 p.m.</t>
    </r>
  </si>
  <si>
    <r>
      <t xml:space="preserve">3.2 Ficha Técnica del Producto (Bien) - </t>
    </r>
    <r>
      <rPr>
        <i/>
        <sz val="20"/>
        <color theme="1"/>
        <rFont val="Calibri"/>
        <family val="2"/>
      </rPr>
      <t>No Aplica</t>
    </r>
  </si>
  <si>
    <r>
      <t xml:space="preserve">Duración:  </t>
    </r>
    <r>
      <rPr>
        <sz val="12"/>
        <color rgb="FF262626"/>
        <rFont val="Calibri"/>
        <family val="2"/>
      </rPr>
      <t>Permanente en el tiempo según las estipulaciones contractuales del cliente</t>
    </r>
    <r>
      <rPr>
        <b/>
        <sz val="12"/>
        <color rgb="FF262626"/>
        <rFont val="Calibri"/>
        <family val="2"/>
      </rPr>
      <t>.</t>
    </r>
  </si>
  <si>
    <t>Integración con Sistemas del Cliente</t>
  </si>
  <si>
    <t>Identificación de la Cartera</t>
  </si>
  <si>
    <t>Análisis de la Cartera</t>
  </si>
  <si>
    <t xml:space="preserve"> Segmentación de Deudores</t>
  </si>
  <si>
    <t>Diseño de Estrategias</t>
  </si>
  <si>
    <t>Planeación de Cobranza</t>
  </si>
  <si>
    <t>Negociación de Planes de Pago</t>
  </si>
  <si>
    <t>Documentación de Acuerdos</t>
  </si>
  <si>
    <t>Seguimiento de Pagos</t>
  </si>
  <si>
    <t>Actualización de Estado de Cuenta</t>
  </si>
  <si>
    <t xml:space="preserve"> Identificación de Casos Críticos</t>
  </si>
  <si>
    <t>Ejecución de acciones de Recuperación Intensiva</t>
  </si>
  <si>
    <t>Generación de Informes Periódico</t>
  </si>
  <si>
    <t>Análisis de Rendimiento</t>
  </si>
  <si>
    <t>Auditoría de la Protección de datos</t>
  </si>
  <si>
    <t>Auditoría de la gestión integral de cartera</t>
  </si>
  <si>
    <t>Envío de Notificaciones</t>
  </si>
  <si>
    <t>Bien / Servicio No. 1.</t>
  </si>
  <si>
    <t>Integración de sistemas de gestión de cartera de SODECO con los sistemas de facturación y contabilidad de los clientes para asegurar una transferencia de datos fluida y precisa.</t>
  </si>
  <si>
    <t>Agrupación de las cuentas que comprenden la cartera del cliente.</t>
  </si>
  <si>
    <t>Evaluación inicial de la cartera de créditos del cliente, incluyendo la clasificación de deudores según riesgo y antigüedad de la deuda.</t>
  </si>
  <si>
    <t>Clasificación a los deudores en grupos según la cantidad que deben, desde cuándo deben y cómo pagan.</t>
  </si>
  <si>
    <t>Elaboración de un programa de actividades de cobranza, estableciendo fechas límites para enviar avisos, hacer llamadas telefónicas y realizar otras gestiones de seguimiento.</t>
  </si>
  <si>
    <t>Envío automatizado de correos electrónicos, cartas, mensajes de texto y realización de llamadas para recordar, negociar o resolver disputas con el cliente relacionadas con los pagos.</t>
  </si>
  <si>
    <t>Negociación de acuerdos de pago personalizados con los deudores, ofreciendo opciones en plazos, descuentos y reducciones.</t>
  </si>
  <si>
    <t>Emisión semi-automatizada de documentación que respalde las condiciones y los términos en que se pactan los resultados de las negociaciones y promesas de pago.</t>
  </si>
  <si>
    <t>Vigilancia constante de los pagos hechos por los deudores para garantizar el cumplimiento de los acuerdos establecidos.</t>
  </si>
  <si>
    <t>Actualizar a tiempo los estados de cuenta de los clientes, mostrando los pagos realizados y las cantidades aún por pagar.</t>
  </si>
  <si>
    <t>Identificación de deudores con alta probabilidad de incumplimiento y diseño de estrategias de intervención específica.</t>
  </si>
  <si>
    <t>Implementación de acciones de recuperación intensiva para casos difíciles, incluyendo la escalación a procesos legales si es necesario y permitido por el cliente.</t>
  </si>
  <si>
    <t>Análisis de indicadores clave de rendimiento como la tasa de recuperación, el tiempo promedio de cobranza y el costo por recuperación, para generar cambios o mejoras en las estrategias.</t>
  </si>
  <si>
    <r>
      <rPr>
        <b/>
        <sz val="12"/>
        <color rgb="FF262626"/>
        <rFont val="Calibri"/>
        <family val="2"/>
      </rPr>
      <t>0. Integración con Sistemas del Cliente</t>
    </r>
    <r>
      <rPr>
        <sz val="12"/>
        <color rgb="FF262626"/>
        <rFont val="Calibri"/>
        <family val="2"/>
      </rPr>
      <t xml:space="preserve">
</t>
    </r>
    <r>
      <rPr>
        <b/>
        <sz val="12"/>
        <color rgb="FF262626"/>
        <rFont val="Calibri"/>
        <family val="2"/>
      </rPr>
      <t>1. Identificación de la Cartera</t>
    </r>
    <r>
      <rPr>
        <sz val="12"/>
        <color rgb="FF262626"/>
        <rFont val="Calibri"/>
        <family val="2"/>
      </rPr>
      <t xml:space="preserve">
</t>
    </r>
    <r>
      <rPr>
        <b/>
        <sz val="12"/>
        <color rgb="FF262626"/>
        <rFont val="Calibri"/>
        <family val="2"/>
      </rPr>
      <t>2. Análisis de la Cartera</t>
    </r>
    <r>
      <rPr>
        <sz val="12"/>
        <color rgb="FF262626"/>
        <rFont val="Calibri"/>
        <family val="2"/>
      </rPr>
      <t xml:space="preserve">
</t>
    </r>
    <r>
      <rPr>
        <b/>
        <sz val="12"/>
        <color rgb="FF262626"/>
        <rFont val="Calibri"/>
        <family val="2"/>
      </rPr>
      <t>3. Segmentación de Deudores</t>
    </r>
    <r>
      <rPr>
        <sz val="12"/>
        <color rgb="FF262626"/>
        <rFont val="Calibri"/>
        <family val="2"/>
      </rPr>
      <t xml:space="preserve">
</t>
    </r>
    <r>
      <rPr>
        <b/>
        <sz val="12"/>
        <color rgb="FF262626"/>
        <rFont val="Calibri"/>
        <family val="2"/>
      </rPr>
      <t>4. Diseño de Estrategias</t>
    </r>
    <r>
      <rPr>
        <sz val="12"/>
        <color rgb="FF262626"/>
        <rFont val="Calibri"/>
        <family val="2"/>
      </rPr>
      <t xml:space="preserve">
</t>
    </r>
    <r>
      <rPr>
        <b/>
        <sz val="12"/>
        <color rgb="FF262626"/>
        <rFont val="Calibri"/>
        <family val="2"/>
      </rPr>
      <t>5. Planeación de Cobranza</t>
    </r>
    <r>
      <rPr>
        <sz val="12"/>
        <color rgb="FF262626"/>
        <rFont val="Calibri"/>
        <family val="2"/>
      </rPr>
      <t xml:space="preserve">
</t>
    </r>
    <r>
      <rPr>
        <b/>
        <sz val="12"/>
        <color rgb="FF262626"/>
        <rFont val="Calibri"/>
        <family val="2"/>
      </rPr>
      <t>6. Envío de Notificaciones</t>
    </r>
    <r>
      <rPr>
        <sz val="12"/>
        <color rgb="FF262626"/>
        <rFont val="Calibri"/>
        <family val="2"/>
      </rPr>
      <t xml:space="preserve">
</t>
    </r>
    <r>
      <rPr>
        <b/>
        <sz val="12"/>
        <color rgb="FF262626"/>
        <rFont val="Calibri"/>
        <family val="2"/>
      </rPr>
      <t>7. Negociación de Planes de Pago</t>
    </r>
    <r>
      <rPr>
        <sz val="12"/>
        <color rgb="FF262626"/>
        <rFont val="Calibri"/>
        <family val="2"/>
      </rPr>
      <t xml:space="preserve">
</t>
    </r>
    <r>
      <rPr>
        <b/>
        <sz val="12"/>
        <color rgb="FF262626"/>
        <rFont val="Calibri"/>
        <family val="2"/>
      </rPr>
      <t>8. Documentación de Acuerdos</t>
    </r>
    <r>
      <rPr>
        <sz val="12"/>
        <color rgb="FF262626"/>
        <rFont val="Calibri"/>
        <family val="2"/>
      </rPr>
      <t xml:space="preserve">
</t>
    </r>
    <r>
      <rPr>
        <b/>
        <sz val="12"/>
        <color rgb="FF262626"/>
        <rFont val="Calibri"/>
        <family val="2"/>
      </rPr>
      <t>9. Seguimiento de Pagos</t>
    </r>
    <r>
      <rPr>
        <sz val="12"/>
        <color rgb="FF262626"/>
        <rFont val="Calibri"/>
        <family val="2"/>
      </rPr>
      <t xml:space="preserve">
</t>
    </r>
    <r>
      <rPr>
        <b/>
        <sz val="12"/>
        <color rgb="FF262626"/>
        <rFont val="Calibri"/>
        <family val="2"/>
      </rPr>
      <t>10. Actualización de Estado de Cuenta</t>
    </r>
    <r>
      <rPr>
        <sz val="12"/>
        <color rgb="FF262626"/>
        <rFont val="Calibri"/>
        <family val="2"/>
      </rPr>
      <t xml:space="preserve">
</t>
    </r>
    <r>
      <rPr>
        <b/>
        <sz val="12"/>
        <color rgb="FF262626"/>
        <rFont val="Calibri"/>
        <family val="2"/>
      </rPr>
      <t>11. Identificación de Casos Críticos</t>
    </r>
    <r>
      <rPr>
        <sz val="12"/>
        <color rgb="FF262626"/>
        <rFont val="Calibri"/>
        <family val="2"/>
      </rPr>
      <t xml:space="preserve">
</t>
    </r>
    <r>
      <rPr>
        <b/>
        <sz val="12"/>
        <color rgb="FF262626"/>
        <rFont val="Calibri"/>
        <family val="2"/>
      </rPr>
      <t>12. Acciones de Recuperación Intensiva</t>
    </r>
    <r>
      <rPr>
        <sz val="12"/>
        <color rgb="FF262626"/>
        <rFont val="Calibri"/>
        <family val="2"/>
      </rPr>
      <t xml:space="preserve">
</t>
    </r>
    <r>
      <rPr>
        <b/>
        <sz val="12"/>
        <color rgb="FF262626"/>
        <rFont val="Calibri"/>
        <family val="2"/>
      </rPr>
      <t>13. Informes Periódicos</t>
    </r>
    <r>
      <rPr>
        <sz val="12"/>
        <color rgb="FF262626"/>
        <rFont val="Calibri"/>
        <family val="2"/>
      </rPr>
      <t xml:space="preserve">
</t>
    </r>
    <r>
      <rPr>
        <b/>
        <sz val="12"/>
        <color rgb="FF262626"/>
        <rFont val="Calibri"/>
        <family val="2"/>
      </rPr>
      <t>14. Análisis de Rendimiento</t>
    </r>
    <r>
      <rPr>
        <sz val="12"/>
        <color rgb="FF262626"/>
        <rFont val="Calibri"/>
        <family val="2"/>
      </rPr>
      <t xml:space="preserve">
</t>
    </r>
    <r>
      <rPr>
        <b/>
        <sz val="12"/>
        <color rgb="FF262626"/>
        <rFont val="Calibri"/>
        <family val="2"/>
      </rPr>
      <t>15. Protección de Datos</t>
    </r>
  </si>
  <si>
    <t>Instruccionamiento dirigido al personal responsable de la facturación del cliente con el objetivo de enseñar el procedimiento correcto para mantener actualizada la base de datos de cuentas por cobrar.</t>
  </si>
  <si>
    <t>Garantizar la ejecución correcta de procedimientos, la adherencia a las políticas institucionales y la obtención de resultados</t>
  </si>
  <si>
    <t>Lider de sistemas</t>
  </si>
  <si>
    <t>Agente de cobranza</t>
  </si>
  <si>
    <t>Desarrollo de estrategias de cobranza específicas para cada segmento de deudores, considerando factores como la probabilidad de recuperación y la relación con el cliente, según políticas institucionales de cobro.</t>
  </si>
  <si>
    <t>Lider de cobranza</t>
  </si>
  <si>
    <t>Software Chipax</t>
  </si>
  <si>
    <t>Ordenador principal y Software Chipax</t>
  </si>
  <si>
    <t>Ordenador principal,  Software Chipax y teléfono</t>
  </si>
  <si>
    <t>Ordenador principal,  Software Chipax, resma de papel e impresora</t>
  </si>
  <si>
    <t>Ordenador principal, Software Chipax y Office suite profesional</t>
  </si>
  <si>
    <t>Ordenador principal. Software Chipax DBA y disco duro externo</t>
  </si>
  <si>
    <t>Ordenador principal, Software Chipax, Insumos de rodamiento</t>
  </si>
  <si>
    <t>Reposa muñeca, Soporte para laptop, Reposapiés y Silla ergonómica</t>
  </si>
  <si>
    <t xml:space="preserve">Reposa muñeca, Soporte para laptop, Reposapiés, Silla ergonómica y Casco </t>
  </si>
  <si>
    <t>Reposa muñeca, Soporte para laptop</t>
  </si>
  <si>
    <t>2 horas únicas</t>
  </si>
  <si>
    <t>Generación de informes mensuales para los clientes, detallando el estado de la cartera, el progreso de la cobranza y los resultados obtenidos.</t>
  </si>
  <si>
    <t>Depósitos y fianzas por alquiler del local comercial</t>
  </si>
  <si>
    <t>Instalaciones (Adecuación + Reformas)</t>
  </si>
  <si>
    <t>Silla ergonómica ejecutiva</t>
  </si>
  <si>
    <t>Mini Splits</t>
  </si>
  <si>
    <t>Silla visita</t>
  </si>
  <si>
    <t>Suministros varios</t>
  </si>
  <si>
    <t>Dispensador de agua</t>
  </si>
  <si>
    <t>Dispensador de café</t>
  </si>
  <si>
    <t>Horno Microondas</t>
  </si>
  <si>
    <t>Mesa XL de reuniones</t>
  </si>
  <si>
    <t>Escritorio ejecutivo en L</t>
  </si>
  <si>
    <t>Escritorio ejecutivo normal</t>
  </si>
  <si>
    <t>Proyector de video beam</t>
  </si>
  <si>
    <t>Tablero Acrílico XL</t>
  </si>
  <si>
    <t>Sistema de luces oficina</t>
  </si>
  <si>
    <t>Juego de muebles sala de espera</t>
  </si>
  <si>
    <t>Escritorio de recepción</t>
  </si>
  <si>
    <t>Software especializado (adquisición)</t>
  </si>
  <si>
    <t>Ordenadores Fíjos HP-AllinOne</t>
  </si>
  <si>
    <t>Teléfonos inalámbricos</t>
  </si>
  <si>
    <t>Archivador</t>
  </si>
  <si>
    <t>Diademas para telecomunicación</t>
  </si>
  <si>
    <t>Impresoras HP Oficina</t>
  </si>
  <si>
    <t>Kit Papelería</t>
  </si>
  <si>
    <t>Equipos de papelería menores</t>
  </si>
  <si>
    <t>Tablet Samsumg Oficina</t>
  </si>
  <si>
    <t>Reposa muñecas ergonómico</t>
  </si>
  <si>
    <t>Base para portatil</t>
  </si>
  <si>
    <t>Reposapiés</t>
  </si>
  <si>
    <t>Matrícula de establecimiento de comercio</t>
  </si>
  <si>
    <t>Formulario RUES</t>
  </si>
  <si>
    <t>Certificados de matrícula y representación legal</t>
  </si>
  <si>
    <t>Impuestos de registro con cuantía</t>
  </si>
  <si>
    <t>Constitución de sociedad</t>
  </si>
  <si>
    <t>Pago situación control</t>
  </si>
  <si>
    <t>Asesorías - Aspectos legales de la empresa</t>
  </si>
  <si>
    <t>Estudios de proyecto</t>
  </si>
  <si>
    <t xml:space="preserve">Cantidad Mensual </t>
  </si>
  <si>
    <t>9000 BTU 220V</t>
  </si>
  <si>
    <t>Autolimpieza con recordatorio de filtro de agua - 110-120V</t>
  </si>
  <si>
    <t>Agua fría y caliente - 110-120V</t>
  </si>
  <si>
    <t>Tecnología 3LCD, Resolución: 1600x1200, 110V</t>
  </si>
  <si>
    <t>Optimizado para Win10+, Respaldo Clouding, Max. 15 sesiones activas</t>
  </si>
  <si>
    <t>Pantalla 22"+, Intel Core 5, 8 RAM, 1 TB SSD, Ethernet 802.3an, USB 4.0</t>
  </si>
  <si>
    <t>Cable USB 4.0, Audio AAC, Microfono VoIP iLBC</t>
  </si>
  <si>
    <t>Resolución 1200x1200dpi, Optimizado para Win10+, Inyección por cartuchos recargables</t>
  </si>
  <si>
    <t>Batería 7.000 mAh, Almacenamiento 1 TB, 8 RAM, Procesador Snapdragon, Android</t>
  </si>
  <si>
    <t>44,3 x 32,9 x 25 cm,7 110-120V</t>
  </si>
  <si>
    <t>Material en aluminio, 16x26 cm, ventilación x4, 19V</t>
  </si>
  <si>
    <t>Batería 5.000 mAh, Microfono VoIP iLBC, Conexión USB 3.0</t>
  </si>
  <si>
    <t>Fabricado en Polipropileno, Altura ajustable, 45x50x115 cm</t>
  </si>
  <si>
    <t>Fabricado en polipropileno, Altura ajustable, 50x80x80 cm</t>
  </si>
  <si>
    <t>Fabricado en MDF/Vidrio/Acero - 73x 60x200 cm</t>
  </si>
  <si>
    <t>Fabricado en MDF/Vidrio - 78x170x150 cm</t>
  </si>
  <si>
    <t>Fabricado en MDF/Acero/Polipropileno - 73x200x500 cm</t>
  </si>
  <si>
    <t>Paneles 60x60, Potencia 40W, 220V, luz blanca calida</t>
  </si>
  <si>
    <t>2 sillones de 2 asientos, alfombra, mesa central y lámparas</t>
  </si>
  <si>
    <t>Fabricado en MDF, Metal y Polipropileno, 100x60cmx140cm</t>
  </si>
  <si>
    <t>Fabricado en Metal, 180x93x45 cm</t>
  </si>
  <si>
    <t>Fabricado con Memory Foam, 20x10x30 cm</t>
  </si>
  <si>
    <t>Fabricado en MDF y aluminio, 3,0 x 1,50 m</t>
  </si>
  <si>
    <t>Resma de papel A4 y Tabloide</t>
  </si>
  <si>
    <t>Sellos, Engrapadora, Perforador, Sacagrapas, Clips, Tabla de documentos</t>
  </si>
  <si>
    <t>Cartuchos de repuesto impresión, Caja de grapas, bolígrafos, lapices, cuadernos</t>
  </si>
  <si>
    <t>Fabricado en polipropileno, Altura ajustable, Burbujas masajeadoras</t>
  </si>
  <si>
    <t>Depósito anticipado para aseguramiento y costos de preparación</t>
  </si>
  <si>
    <t>Servicios de ingeniería estructural y diseño arquitectónico</t>
  </si>
  <si>
    <t>Capacitación de agentes y lider de cobranza a software y métodos de trabajo</t>
  </si>
  <si>
    <t>Costo de los estudios necesarios para evaluar la viabilidad del proyecto</t>
  </si>
  <si>
    <t>Bien o Servicio 1.</t>
  </si>
  <si>
    <t>Papelería</t>
  </si>
  <si>
    <t>Comisiones promedio de mano de obra directa</t>
  </si>
  <si>
    <t>Costo de arriendo de local comercial</t>
  </si>
  <si>
    <t>Costo de servicios públicos y comunicación</t>
  </si>
  <si>
    <t>Seguro de protección de activos fijos y activos líquidos</t>
  </si>
  <si>
    <t>Depreciación</t>
  </si>
  <si>
    <t>Mantenimiento de equipos e infraestructura</t>
  </si>
  <si>
    <t>Salarios administrativos</t>
  </si>
  <si>
    <t>Honorario servicios terceros</t>
  </si>
  <si>
    <t>Hora-hombre</t>
  </si>
  <si>
    <t>(Gasolina) Rodamiento</t>
  </si>
  <si>
    <t>Galón</t>
  </si>
  <si>
    <t>Fracción</t>
  </si>
  <si>
    <t>Pesos contables</t>
  </si>
  <si>
    <t>Caja de resma x10</t>
  </si>
  <si>
    <r>
      <t xml:space="preserve">Requerimiento mensual
</t>
    </r>
    <r>
      <rPr>
        <b/>
        <sz val="12"/>
        <color rgb="FF7F7F7F"/>
        <rFont val="Calibri"/>
        <family val="2"/>
      </rPr>
      <t>(Cantidad utilizada)</t>
    </r>
  </si>
  <si>
    <t>Ordenador portatil Acer</t>
  </si>
  <si>
    <t>Pantalla 20"+. Intel Core 5, 8 RAM, 512 GB SSD, Ethernet 802.3an, USB 3.0</t>
  </si>
  <si>
    <t>4.1 Aspectos Legales del Negocio</t>
  </si>
  <si>
    <r>
      <rPr>
        <b/>
        <sz val="16"/>
        <color theme="1"/>
        <rFont val="Calibri"/>
        <family val="2"/>
      </rPr>
      <t>4.1.1 Tipo de Actividad Económica</t>
    </r>
    <r>
      <rPr>
        <sz val="12"/>
        <color theme="1"/>
        <rFont val="Calibri"/>
        <family val="2"/>
      </rPr>
      <t xml:space="preserve">
</t>
    </r>
    <r>
      <rPr>
        <b/>
        <sz val="12"/>
        <color theme="0" tint="-0.499984740745262"/>
        <rFont val="Calibri"/>
        <family val="2"/>
      </rPr>
      <t xml:space="preserve">Marque con una equis (X) el tipo de actividad econpomica que va a desarrollar con la puesta en marcha de su plan de negocios. </t>
    </r>
  </si>
  <si>
    <t>Agroindustria</t>
  </si>
  <si>
    <t xml:space="preserve">Producción </t>
  </si>
  <si>
    <t xml:space="preserve">Comercialización </t>
  </si>
  <si>
    <t xml:space="preserve">Servicios </t>
  </si>
  <si>
    <r>
      <rPr>
        <sz val="16"/>
        <color theme="1"/>
        <rFont val="Calibri"/>
        <family val="2"/>
      </rPr>
      <t>4</t>
    </r>
    <r>
      <rPr>
        <b/>
        <sz val="16"/>
        <color theme="1"/>
        <rFont val="Calibri"/>
        <family val="2"/>
      </rPr>
      <t>.1.2 Tipo de persona a constituir:</t>
    </r>
    <r>
      <rPr>
        <sz val="12"/>
        <color theme="1"/>
        <rFont val="Calibri"/>
        <family val="2"/>
      </rPr>
      <t xml:space="preserve">
</t>
    </r>
    <r>
      <rPr>
        <b/>
        <sz val="12"/>
        <color theme="0" tint="-0.499984740745262"/>
        <rFont val="Calibri"/>
        <family val="2"/>
      </rPr>
      <t xml:space="preserve">Marque con una equis (X) el tipo de persona que va a constituir con la puesta en marcha de su plan de negocios. </t>
    </r>
  </si>
  <si>
    <t>Informal</t>
  </si>
  <si>
    <t>Persona Natural</t>
  </si>
  <si>
    <t>Persona Jurídca</t>
  </si>
  <si>
    <r>
      <rPr>
        <b/>
        <sz val="16"/>
        <color theme="1"/>
        <rFont val="Calibri"/>
        <family val="2"/>
      </rPr>
      <t xml:space="preserve">4.1.3 Número de socios con quienes constituirá o pondrá en marcha la unidad productiva. </t>
    </r>
    <r>
      <rPr>
        <b/>
        <sz val="12"/>
        <color theme="1"/>
        <rFont val="Calibri"/>
        <family val="2"/>
      </rPr>
      <t xml:space="preserve">
</t>
    </r>
    <r>
      <rPr>
        <b/>
        <sz val="12"/>
        <color theme="0" tint="-0.499984740745262"/>
        <rFont val="Calibri"/>
        <family val="2"/>
      </rPr>
      <t>Indique en el recuadro blanco el número de socios que tendrá en su unidad productiva según las opciones dadas</t>
    </r>
  </si>
  <si>
    <t xml:space="preserve">Indivudual </t>
  </si>
  <si>
    <t>Familiares</t>
  </si>
  <si>
    <t xml:space="preserve">Socios </t>
  </si>
  <si>
    <r>
      <rPr>
        <b/>
        <sz val="16"/>
        <color theme="1"/>
        <rFont val="Calibri"/>
        <family val="2"/>
      </rPr>
      <t xml:space="preserve">4.1.4 Lugar de ubicación del negocio </t>
    </r>
    <r>
      <rPr>
        <b/>
        <sz val="12"/>
        <color theme="1"/>
        <rFont val="Calibri"/>
        <family val="2"/>
      </rPr>
      <t xml:space="preserve">
</t>
    </r>
    <r>
      <rPr>
        <b/>
        <sz val="12"/>
        <color theme="0" tint="-0.499984740745262"/>
        <rFont val="Calibri"/>
        <family val="2"/>
      </rPr>
      <t>Marque con una equis (X) el lugar donde ubicará el negocio o prestará sus servicios</t>
    </r>
  </si>
  <si>
    <t>Urbano</t>
  </si>
  <si>
    <t>Rural</t>
  </si>
  <si>
    <t>Periurbano</t>
  </si>
  <si>
    <r>
      <rPr>
        <b/>
        <sz val="16"/>
        <color theme="1"/>
        <rFont val="Calibri"/>
        <family val="2"/>
      </rPr>
      <t>4.1.5 Forma de operar:</t>
    </r>
    <r>
      <rPr>
        <b/>
        <sz val="12"/>
        <color theme="1"/>
        <rFont val="Calibri"/>
        <family val="2"/>
      </rPr>
      <t xml:space="preserve">
</t>
    </r>
    <r>
      <rPr>
        <b/>
        <sz val="12"/>
        <color theme="0" tint="-0.499984740745262"/>
        <rFont val="Calibri"/>
        <family val="2"/>
      </rPr>
      <t>Marque con una equis (X) la forma como operará inicialmente el negocio.</t>
    </r>
  </si>
  <si>
    <t>Abierto al público</t>
  </si>
  <si>
    <t>En un local sin aviso público</t>
  </si>
  <si>
    <t>Desde casa</t>
  </si>
  <si>
    <r>
      <rPr>
        <b/>
        <sz val="16"/>
        <color theme="1"/>
        <rFont val="Calibri"/>
        <family val="2"/>
      </rPr>
      <t>4.1.6 Número de empleos a generar</t>
    </r>
    <r>
      <rPr>
        <b/>
        <sz val="12"/>
        <color theme="1"/>
        <rFont val="Calibri"/>
        <family val="2"/>
      </rPr>
      <t xml:space="preserve"> 
</t>
    </r>
    <r>
      <rPr>
        <b/>
        <sz val="12"/>
        <color theme="0" tint="-0.499984740745262"/>
        <rFont val="Calibri"/>
        <family val="2"/>
      </rPr>
      <t xml:space="preserve">Indique dentro del recuadro blanco el número de empleos a generar según la clasificación de población. </t>
    </r>
  </si>
  <si>
    <t>Empleos directos sin incluirse</t>
  </si>
  <si>
    <t>Empleos indirectos</t>
  </si>
  <si>
    <t>Grupo Familiar</t>
  </si>
  <si>
    <r>
      <rPr>
        <b/>
        <sz val="16"/>
        <color theme="1"/>
        <rFont val="Calibri"/>
        <family val="2"/>
      </rPr>
      <t>4.1.7 Sistema Normativo que rige el tipo de negocio a conformar</t>
    </r>
    <r>
      <rPr>
        <b/>
        <sz val="12"/>
        <color theme="1"/>
        <rFont val="Calibri"/>
        <family val="2"/>
      </rPr>
      <t xml:space="preserve">.
</t>
    </r>
    <r>
      <rPr>
        <b/>
        <sz val="12"/>
        <color theme="0" tint="-0.499984740745262"/>
        <rFont val="Calibri"/>
        <family val="2"/>
      </rPr>
      <t xml:space="preserve">Marque con una equis (X) según la localidad donde se ubique el tipo del sistema normativo que lo regirá </t>
    </r>
  </si>
  <si>
    <t>Marco Normaivo Colombiano</t>
  </si>
  <si>
    <t>Marco Normativo Extranjero</t>
  </si>
  <si>
    <t>Nombre del País</t>
  </si>
  <si>
    <r>
      <rPr>
        <b/>
        <sz val="16"/>
        <color theme="1"/>
        <rFont val="Calibri"/>
        <family val="2"/>
      </rPr>
      <t>4.1.8 Responsabilidades del emprendedor y la unidad productiva</t>
    </r>
    <r>
      <rPr>
        <b/>
        <sz val="12"/>
        <color theme="1"/>
        <rFont val="Calibri"/>
        <family val="2"/>
      </rPr>
      <t xml:space="preserve">
</t>
    </r>
    <r>
      <rPr>
        <b/>
        <sz val="12"/>
        <color theme="0" tint="-0.499984740745262"/>
        <rFont val="Calibri"/>
        <family val="2"/>
      </rPr>
      <t>Con la puesta en marcha de la unidad productiva usted adquirirá responsabilidades comerciales y legales. A continuación según el tipo de persona a constituir marque con una equis (X) las responsasbilidades que se relacionan con su negocio.</t>
    </r>
  </si>
  <si>
    <t>Desde el ámbito de apertura del local</t>
  </si>
  <si>
    <t>Desde el ámbito contable y tributario</t>
  </si>
  <si>
    <t>Desde el ámbito Legal</t>
  </si>
  <si>
    <t xml:space="preserve">Viabilidad uso de suelos </t>
  </si>
  <si>
    <t xml:space="preserve">Impuesto de Renta </t>
  </si>
  <si>
    <t>SG - SST</t>
  </si>
  <si>
    <t>Aviso y tableros</t>
  </si>
  <si>
    <t>Retención en la Fuente</t>
  </si>
  <si>
    <t>Boleta fiscal</t>
  </si>
  <si>
    <t>Industria y Comercio</t>
  </si>
  <si>
    <t>Impuesto al Valor Agregado</t>
  </si>
  <si>
    <t>Matricula Registro Mercantil</t>
  </si>
  <si>
    <t>Certificado Bomberil</t>
  </si>
  <si>
    <t>Llevar Contabilidad Formal</t>
  </si>
  <si>
    <t>Cuenta Corriente</t>
  </si>
  <si>
    <t>Sayco y Acimpro</t>
  </si>
  <si>
    <t>Contabilidad Formal</t>
  </si>
  <si>
    <t>Conservación de archivo</t>
  </si>
  <si>
    <t>Certificado Sanitario</t>
  </si>
  <si>
    <t>Contabilidad Electrónica</t>
  </si>
  <si>
    <t>Información exógena</t>
  </si>
  <si>
    <t>Registro de libros</t>
  </si>
  <si>
    <t>Libro fiscal</t>
  </si>
  <si>
    <t>Indique otros aspectos de ser requeridos por su unidad productiva para operar.</t>
  </si>
  <si>
    <r>
      <rPr>
        <b/>
        <sz val="16"/>
        <color theme="1"/>
        <rFont val="Calibri"/>
        <family val="2"/>
      </rPr>
      <t>4.1.9 Si su idea de negocios se esta formulando para ser puesta en marcha fuera de Colombia indique los aspectos legales desde el ámbito operativo exige su localidad.</t>
    </r>
    <r>
      <rPr>
        <b/>
        <sz val="12"/>
        <color theme="1"/>
        <rFont val="Calibri"/>
        <family val="2"/>
      </rPr>
      <t xml:space="preserve">
</t>
    </r>
    <r>
      <rPr>
        <b/>
        <sz val="12"/>
        <color theme="0" tint="-0.499984740745262"/>
        <rFont val="Calibri"/>
        <family val="2"/>
      </rPr>
      <t xml:space="preserve">Indique los aspectos legales en los espacios sugeridos. </t>
    </r>
  </si>
  <si>
    <t>Aspecto Legal 1.</t>
  </si>
  <si>
    <t>Aspecto Legal 2.</t>
  </si>
  <si>
    <t>Aspecto Legal 3.</t>
  </si>
  <si>
    <t>Aspecto Legal 4.</t>
  </si>
  <si>
    <t>Aspecto Legal 5.</t>
  </si>
  <si>
    <t>Aspecto Legal 6.</t>
  </si>
  <si>
    <r>
      <rPr>
        <b/>
        <sz val="16"/>
        <color theme="1"/>
        <rFont val="Calibri"/>
        <family val="2"/>
      </rPr>
      <t>4.1.10 Sistema Normativo que regula la actividad económica</t>
    </r>
    <r>
      <rPr>
        <b/>
        <sz val="12"/>
        <color theme="1"/>
        <rFont val="Calibri"/>
        <family val="2"/>
      </rPr>
      <t xml:space="preserve">
</t>
    </r>
    <r>
      <rPr>
        <b/>
        <sz val="12"/>
        <color theme="0" tint="-0.499984740745262"/>
        <rFont val="Calibri"/>
        <family val="2"/>
      </rPr>
      <t>Indique las normas o leyes especificamente que regulan su actividad económica según el sector productivo al cual se dirige. Tenga en cuenta obligaciones como permisos, licencias, patentes, autoizaciones o vigilancia y control por entes público o no gubernamentales.</t>
    </r>
  </si>
  <si>
    <t>Norma / Ley</t>
  </si>
  <si>
    <t>Aspectos que regula</t>
  </si>
  <si>
    <t>4.2. Aspectos Organizacionales del Negocio</t>
  </si>
  <si>
    <r>
      <rPr>
        <b/>
        <sz val="16"/>
        <rFont val="Calibri"/>
        <family val="2"/>
      </rPr>
      <t>4.2.1 Estructura organizaconal de la unidad productiva</t>
    </r>
    <r>
      <rPr>
        <b/>
        <sz val="12"/>
        <rFont val="Calibri"/>
        <family val="2"/>
      </rPr>
      <t xml:space="preserve"> 
</t>
    </r>
    <r>
      <rPr>
        <b/>
        <sz val="12"/>
        <color theme="0" tint="-0.499984740745262"/>
        <rFont val="Calibri"/>
        <family val="2"/>
      </rPr>
      <t>A través de un gráfico o ilustración, indique las áreas que necesitará su unidad productiva para realizar la actividad económica. Independientemente de que usted sea el único en estar vinculado con la unidad productiva debe señalar las áreas operativas, adminisrativas, financieras entre otras.</t>
    </r>
    <r>
      <rPr>
        <b/>
        <sz val="12"/>
        <rFont val="Calibri"/>
        <family val="2"/>
      </rPr>
      <t xml:space="preserve"> </t>
    </r>
  </si>
  <si>
    <t xml:space="preserve">Nombre Comercial de la unidad productiva </t>
  </si>
  <si>
    <t>Sigla</t>
  </si>
  <si>
    <t>Marca</t>
  </si>
  <si>
    <r>
      <rPr>
        <b/>
        <sz val="16"/>
        <color theme="1"/>
        <rFont val="Calibri"/>
        <family val="2"/>
      </rPr>
      <t>4.2.2 Descripción de los cargos y funciones que realizará el personal de la empresa</t>
    </r>
    <r>
      <rPr>
        <b/>
        <sz val="12"/>
        <color theme="1"/>
        <rFont val="Calibri"/>
        <family val="2"/>
      </rPr>
      <t xml:space="preserve">
</t>
    </r>
    <r>
      <rPr>
        <b/>
        <sz val="12"/>
        <color theme="0" tint="-0.499984740745262"/>
        <rFont val="Calibri"/>
        <family val="2"/>
      </rPr>
      <t>Describa de manera puntual las areas o funciones que ejecutará el personal a contratarse. Tenga en cuenta que si usted es el único en operar el negocio también debe discriminar las tareas según el área, por ejemplo: Actividades desde el ámito de mercadeo, administración, contable, operacional, servicios, logistica entre otros.</t>
    </r>
  </si>
  <si>
    <t>Descripción del Cargo</t>
  </si>
  <si>
    <t>Nombre del Cargo:</t>
  </si>
  <si>
    <t>Dependencia:</t>
  </si>
  <si>
    <t>No. De Cargos:</t>
  </si>
  <si>
    <t>Perfil de cargo:</t>
  </si>
  <si>
    <t>Funciones que ejecutará</t>
  </si>
  <si>
    <t>4.3 Gastos de Personal Administrativo de la Unidad Productiva</t>
  </si>
  <si>
    <r>
      <rPr>
        <b/>
        <sz val="16"/>
        <color theme="1"/>
        <rFont val="Calibri"/>
        <family val="2"/>
      </rPr>
      <t>4.3.1 Gastos Mano de Obra Administrativa</t>
    </r>
    <r>
      <rPr>
        <b/>
        <sz val="12"/>
        <color theme="1"/>
        <rFont val="Calibri"/>
        <family val="2"/>
      </rPr>
      <t xml:space="preserve">
</t>
    </r>
    <r>
      <rPr>
        <b/>
        <sz val="12"/>
        <color theme="0" tint="-0.499984740745262"/>
        <rFont val="Calibri"/>
        <family val="2"/>
      </rPr>
      <t>Calcular la mano de obra administrativa que requerirá su unidad productiva para llevar a cabo las operaciones desde el área de las ventas, administración y funcionamiento. Por ejemplo: Vendedores, gerente, contador, supervisor, servicios geneales, guardas de seguridad, servicios de mantenimiento entre otros.</t>
    </r>
  </si>
  <si>
    <r>
      <t>​I​</t>
    </r>
    <r>
      <rPr>
        <b/>
        <sz val="11"/>
        <color theme="1"/>
        <rFont val="Calibri"/>
        <family val="2"/>
        <scheme val="minor"/>
      </rPr>
      <t/>
    </r>
  </si>
  <si>
    <t>Tipo de contrato</t>
  </si>
  <si>
    <t>Proyección de Gastos de Personal Administrativo</t>
  </si>
  <si>
    <t>Porcentaje de incremento anual proyectado (Colocar porcentajes de incremento salarial para los siguientes 5 años)</t>
  </si>
  <si>
    <r>
      <rPr>
        <b/>
        <sz val="16"/>
        <color theme="1"/>
        <rFont val="Calibri"/>
        <family val="2"/>
      </rPr>
      <t>4.3.2 Gastos Mano de Obra Administrativa para proyectos que se ejecutaran fuera del país</t>
    </r>
    <r>
      <rPr>
        <b/>
        <sz val="12"/>
        <color theme="1"/>
        <rFont val="Calibri"/>
        <family val="2"/>
      </rPr>
      <t xml:space="preserve">
</t>
    </r>
    <r>
      <rPr>
        <b/>
        <sz val="12"/>
        <color theme="0" tint="-0.499984740745262"/>
        <rFont val="Calibri"/>
        <family val="2"/>
      </rPr>
      <t xml:space="preserve">Teniendo en cuenta que la legislación en cada pais con respecto al ámbito laboral son propias de su sistema normativo, las unidades productivas que se proyectan ejecutar fuera de Colombia liquidarán su nómina acorde a su sistema laboral. </t>
    </r>
  </si>
  <si>
    <t>4.4 Gastos de Administración de la Unidad Productiva</t>
  </si>
  <si>
    <t>Proyección Gastos de Administración, Ventas y Generales</t>
  </si>
  <si>
    <t>Descripción Detallada de los Rubros</t>
  </si>
  <si>
    <t>Datos Base para Proyectar</t>
  </si>
  <si>
    <t>Rubros</t>
  </si>
  <si>
    <t>Valor Mes</t>
  </si>
  <si>
    <t xml:space="preserve">Mezcla de mercados </t>
  </si>
  <si>
    <t>4.4.2 Resumen de los Gastos Administrativos, Ventas y Generales.</t>
  </si>
  <si>
    <t>Detalle</t>
  </si>
  <si>
    <t>Mano de obra administrativa (Proyecto ejecutado en Colombia)</t>
  </si>
  <si>
    <t>**Mano de obra administrativa (Fuera de Colombia)</t>
  </si>
  <si>
    <t>Gastos de Administración, Ventas y Generales</t>
  </si>
  <si>
    <t>** Si el proyecto se ejecuta fuera del país solo debe estar esta fila diligenciada</t>
  </si>
  <si>
    <t>Gasto Cargado a la unidad del producto y/o servicio</t>
  </si>
  <si>
    <t xml:space="preserve">Prducción Proyectada en Unidades </t>
  </si>
  <si>
    <t>Proyección Gastos por la Unidad</t>
  </si>
  <si>
    <t>Producto</t>
  </si>
  <si>
    <t xml:space="preserve">Cant. </t>
  </si>
  <si>
    <t>Código civil</t>
  </si>
  <si>
    <t>Establece las normas que rigen los acuerdos y compromisos legales, abarcando también aquellos relacionados con préstamos y deudas (Código Civil, 2000). Artículos aplicables: 2161,1625, 1546, 1665 - 1670, 1630-1633</t>
  </si>
  <si>
    <t>Código Penal /Ley 599 del 25 de julio de 2000</t>
  </si>
  <si>
    <t>Esta ley garantiza la protección de los consumidores, evitando que sean víctimas prácticas inapropiadas en la administración y recuperación de deudas. Las empresas de cobro tienen la obligación de respetar tales derechos de los deudores y actuar de manera ética (Ley 1480, 2011). Artículos aplicables: Todos</t>
  </si>
  <si>
    <t>Ley 1480 del 12 de octubre 2011</t>
  </si>
  <si>
    <t>Identifica y tipifica los delitos asociados a prácticas de cobro abusivas o fraudulentas dentro del proceso de captación masiva de dineros (Ley 599, 2000). Artículos aplicables: 316-330</t>
  </si>
  <si>
    <t>Ley 1266 del 31 de diciembre de 2008</t>
  </si>
  <si>
    <t>Establece normas para el uso y resguardo de los datos personales. SODECO tiene la obligación de asegurar la privacidad y protección de la información de los clientes y personas endeudadas (Ley 1266, 2008). Artículos aplicables: Todos</t>
  </si>
  <si>
    <t>Ley 1328 del 15 de julio de 2009</t>
  </si>
  <si>
    <t>Se establecen regulaciones relacionados con la cobranza en temas financieros, seguros, mercado bursátil y otros asuntos relacionados (Ley 1328, 2009).Artículos aplicables: 7, 11,12, 20, 21-24</t>
  </si>
  <si>
    <t>Ley 527 del 18 de agosto de 1999</t>
  </si>
  <si>
    <t>Aborda la regulación del empleo de medios digitales en la formalización de acuerdos contractuales y en firma electrónica. Esto reviste especial importancia para la administración de carteras de clientes y la recaudación de pagos a través de medios electrónicos (Ley 527, 1999). Artículos aplicables: Todos</t>
  </si>
  <si>
    <t>Ley 2300 de 2023 / Guía de mejores prácticas en la gestión de cobranza</t>
  </si>
  <si>
    <t>Establece los principios de proporcionalidad, racionalidad y transparencia a los que deben someterse las agencias de cobranza, evitando someter al deudor moroso a presiones excesivas que vulneren sus derechos básicos (Congreso de la República de Colombia, 2023). Artículos aplicables: Todos</t>
  </si>
  <si>
    <t>Circular Externa 048 del 25 de septiembre de 2008</t>
  </si>
  <si>
    <t>Orientaciones acerca de los criterios que regulan el procedimiento previo a demanda judicial de recuperación de deudas (Superfinanciera, C.E.-048, 2008). Artículos aplicables: Todos</t>
  </si>
  <si>
    <t>Circular Básica Jurídica 029 de 2014</t>
  </si>
  <si>
    <t>Establece los lineamientos y requisitos que deben cumplir las organizaciones que trabajan en el sector financiero, incluyendo temas vinculados con la administración de riesgos, cobranza y la claridad en la oferta de servicios financieros (Superfinanciera, C.E.-029, 2014). Artículos aplicables: Capítulo cobranza</t>
  </si>
  <si>
    <t>Sentencia regulatoria C-282 de 2021 pt. 1</t>
  </si>
  <si>
    <t>Justifica la obligación realizar reportes de crédito a las centrales de riesgo a través de información veraz y oportuna con copia a las entidades involucradas (Corte constitucional, C-282, 2021). Todos</t>
  </si>
  <si>
    <t>SODECO S.A.</t>
  </si>
  <si>
    <t>Soluciones de Cobranza S.A.</t>
  </si>
  <si>
    <t>Administrador</t>
  </si>
  <si>
    <t>Socios corporativos</t>
  </si>
  <si>
    <t>1. Responder por la integridad física del recurso físico de su puesto de trabajo
2. Realizar y entregar los informes detallados de operación y sus resultados a los socios o inversores que lo requieran
3. Orientar todas las actividades operativas y administrativas de la organización
4. Revisar y aprobar la documentación de requerimientos en las diferentes áreas funcionales del negocio
5. Suministrar los recursos físicos, económicos e intelectuales necesarios para mantener en operatividad la empresa
6. Realizar el seguimiento y gestión de las necesidades de contratación y nómina de los trabajadores
7. Realizar las contrataciones de servicios especializados para la gestión correcta de la calidad y la seguridad y salud en el trabajo dentro del recinto empresarial
8. Apoyar la comunicación y asignación de responsabilidades entre las áreas funcionales de la empresa</t>
  </si>
  <si>
    <t>Auxiliar administrativo</t>
  </si>
  <si>
    <t>Administración</t>
  </si>
  <si>
    <t>Tecnólogo en gestión empresarial con especialización en servicios profesionales y mínimo, 2 años de exp.</t>
  </si>
  <si>
    <t>1. Responder por la integridad física del recurso físico de su puesto de trabajo
2. Brindar soporte técnico y asistencial al Administrador en las tareas diarias de gestión que lo ameriten
3. Mantener actualizado las novedades y registros administrativos del área
4. Atender a los usuarios internos y externos para identificar sus necesidades relacionadas con el área de direccional general
5. Orientar a los usuarios internos y externos a las áreas que requieran una intervención conjunta.
6. Disponer y custodiar todos los soportes documentales de las actividades administrativas del área de dirección general</t>
  </si>
  <si>
    <t>Líder de ventas</t>
  </si>
  <si>
    <t>Profesional en mercadeo y publicidad con mínimo, 3 años de exp.</t>
  </si>
  <si>
    <t>1. Responder por la integridad física del recurso físico de su puesto de trabajo
2. Diligenciar novedades del área de ventas al Administrador
3. Gestionar la contratación de personal externo al negocio para las campañas publicitarias del servicio vendido por la empresa
4. Diseñar y actualizar el plan de promoción y ventas del negocio
5. Realizar la medición de los resultados de ventas mensuales
6. Elaborar el presupuesto de promoción y ventas mensual de la empresa
7. Realizar la contratación de servicios externos para la creación digital y material publicitario</t>
  </si>
  <si>
    <t>Tesorero contador</t>
  </si>
  <si>
    <t>1. Responder por la integridad física del recurso físico de su puesto de trabajo
2. Diligenciar novedades del área financiera y contable al Administrador
3. Verificar y validar los saldos de efectivo y cuentas bancarias de cada período contable, y realizar una conciliación diaria entre los registros correspondientes
4. Administrar y supervisar con diligencia los recursos monetarios, títulos o activos que pertenecen al negocio
5. Abrir y manejar las cuentas bancarias donde se gestiona el dinero de la Tesorería
6. Supervisar el acceso y la administración de los fondos depositados en las cuentas financieras del negocio
7. Preparar y presentar antes el Administrador los estados e informes financieros periódicos
8. Examinar de forma regular la situación financiera, económica y bienes patrimoniales de la empresa
9. Realizar el registro contable diario de las transacciones informadas por otras áreas</t>
  </si>
  <si>
    <t>Líder de sistemas</t>
  </si>
  <si>
    <t>Profesional en contabilidad y finanzas con mínimo, 3 años de exp.</t>
  </si>
  <si>
    <t>1. Responder por la integridad física del recurso físico de su puesto de trabajo
2. Diligenciar novedades del área al Administrador
3. Velar por el funcionamiento óptimo de las plataformas y equipos tecnológicos de todas las áreas del negocio
4. Realizar seguimiento del plan de desarrollo tecnológico y control de sistemas físicos de la empresa
5. Brindar asesoría a las demás áreas, en lo que respecta a integración y utilización de sistemas de información
6. Garantizar que el plan de ciberseguridad y custodia de información sensible se desarrolle sin problema, bajo la confianza suficiente que indican las leyes de protección de datos del consumidor financiero
7. Brindar apoyo en la instalación de módulos de trabajo a empresas clientes</t>
  </si>
  <si>
    <t>Profesional en Ingeniería de negocios, industrial o administrador de empresas con especialización en RR.HH. y mínimo, 5 años de exp.</t>
  </si>
  <si>
    <t>Líder de cobranza</t>
  </si>
  <si>
    <t>Profesional en Gestión Financiera con mínimo, 3 años de exp</t>
  </si>
  <si>
    <t>1. Responder por la integridad física del recurso físico de su puesto de trabajo
2. Hacer registro contable básico del dinero total recaudado por el área
3. Diligenciar novedades del área al Administrador
4. Efectuar la supervisión y el seguimiento oportuno de las obligaciones del área de cobro
5. Gestionar las acciones jurídicas necesaria para el cobro de deudas de alta morosidad, con ayuda del servicio aliado de asesorías jurídicas
6. Intervenir en las operaciones de cobranza cuando sea necesario por temas de rezago operativo
7. Realizar informes mensual de productividad de los servicios brindados a las partes interesadas</t>
  </si>
  <si>
    <t>Tecnico o tecnólogo en gestión de cobranza, cobranza efectiva, crédito y cartera o similares, con mínimo 3 años de exp.</t>
  </si>
  <si>
    <t>1. Cumplir con las políticas y procedimientos de cobranza internos de la empresa
2. Dar información oportuna a clientes internos sobre el estado de su cartera
3. Realizar informes periódicos de resultados de cobranza
4. Realizar la gestión de recuperación de cuentas por cobrar
5. Conciliar acuerdos de pagos y reestructuraciones de pago cuando se amerite, según políticas de la empresa
6. Diligenciar novedades del área a su jefe inmediato
7. Hacer registro contable básico del dinero recaudado
8. Responder por la integridad física del recurso físico de su puesto de trabajo</t>
  </si>
  <si>
    <t>Auxiliar Administrativo</t>
  </si>
  <si>
    <t>Lider de Sistemas</t>
  </si>
  <si>
    <t>Profesional en Ingeniería de Sistemas con mínimo, 1 año de exp.</t>
  </si>
  <si>
    <r>
      <rPr>
        <b/>
        <sz val="16"/>
        <color theme="1"/>
        <rFont val="Calibri"/>
        <family val="2"/>
      </rPr>
      <t>4.4.1 Gastos de Administración, Ventas y Generales</t>
    </r>
    <r>
      <rPr>
        <b/>
        <sz val="12"/>
        <color theme="1"/>
        <rFont val="Calibri"/>
        <family val="2"/>
      </rPr>
      <t xml:space="preserve">
</t>
    </r>
    <r>
      <rPr>
        <b/>
        <sz val="12"/>
        <color theme="0" tint="-0.499984740745262"/>
        <rFont val="Calibri"/>
        <family val="2"/>
      </rPr>
      <t xml:space="preserve">A continuación registre los gastos en los que debe incurrir su negocio para funcionar. Tenga en cuenta los aspectos comerciales y legales que señaló en el punto 4.1.8. No los confunda con los costos de producción, ya que éstos los calculó en el estudio técnico. </t>
    </r>
  </si>
  <si>
    <t>Servicio 1</t>
  </si>
  <si>
    <t>Preparación de la mano de obra directa</t>
  </si>
  <si>
    <t>Servicio de asesoría legal , creación de el código laboral interno y contratos</t>
  </si>
  <si>
    <t>Servicio de administración SST para PYMES</t>
  </si>
  <si>
    <t>Impuesto anual de estampilla prodesarrollo Córdoba</t>
  </si>
  <si>
    <t xml:space="preserve">Dotación de trabajo </t>
  </si>
  <si>
    <t>Precio mensual</t>
  </si>
  <si>
    <t>Servicio legales de apoyo a cobranza</t>
  </si>
  <si>
    <t>Servicios de limpieza general interior y exterior del local comercial</t>
  </si>
  <si>
    <t>Pago contado anticipado por campaña de 2 días</t>
  </si>
  <si>
    <t>Servicio de mantenimiento y reparación de equipos e infraestructura</t>
  </si>
  <si>
    <t>5.     Estudio Financiero</t>
  </si>
  <si>
    <t>5.1     Balance de Inversiones del Proyecto y Capital de Trabajo</t>
  </si>
  <si>
    <t>No.</t>
  </si>
  <si>
    <t>Pre - operación</t>
  </si>
  <si>
    <t>Vida Util</t>
  </si>
  <si>
    <t>Años</t>
  </si>
  <si>
    <t xml:space="preserve">Años </t>
  </si>
  <si>
    <t>Valor Inversión</t>
  </si>
  <si>
    <t>Programa de Producción</t>
  </si>
  <si>
    <t>Inversión Fija</t>
  </si>
  <si>
    <t>Valor ($)</t>
  </si>
  <si>
    <t>1.1</t>
  </si>
  <si>
    <t>Terrenos</t>
  </si>
  <si>
    <t>1.2</t>
  </si>
  <si>
    <t>1.3</t>
  </si>
  <si>
    <t>1.4</t>
  </si>
  <si>
    <t>1.5</t>
  </si>
  <si>
    <t>Herramientas - otros</t>
  </si>
  <si>
    <t>1.6</t>
  </si>
  <si>
    <t>1.7</t>
  </si>
  <si>
    <t>Sub Total</t>
  </si>
  <si>
    <t>Inversión Diferida</t>
  </si>
  <si>
    <t>2.1</t>
  </si>
  <si>
    <t>Gastos Pre - operativos</t>
  </si>
  <si>
    <t>Capital de Trabajo</t>
  </si>
  <si>
    <t>3.1</t>
  </si>
  <si>
    <t>Costos de Operación Directa</t>
  </si>
  <si>
    <t>3.2</t>
  </si>
  <si>
    <t>Gastos de Mano de Obra Administrativa</t>
  </si>
  <si>
    <t>3.3</t>
  </si>
  <si>
    <t>Período Pre operativo en meses</t>
  </si>
  <si>
    <t>TOTAL BALANCE DE INVERSIONES DELPROYECTO</t>
  </si>
  <si>
    <t>5.2     Depreciación Proyectada y Valor de Rescate</t>
  </si>
  <si>
    <t>INVERSIÓN</t>
  </si>
  <si>
    <t>PERIODO DE DEPRECIACIÓN (AÑOS)</t>
  </si>
  <si>
    <t>DEPRECIACIÓN</t>
  </si>
  <si>
    <t xml:space="preserve">Año 0 (Compra del Activo / Valor) </t>
  </si>
  <si>
    <t>Sumatoria de Nuevas Inversiones</t>
  </si>
  <si>
    <t>TOTAL DEPRECIACIÓN ACUMULADA</t>
  </si>
  <si>
    <t>VALOR EN LIBROS</t>
  </si>
  <si>
    <t>Valor de Rescate</t>
  </si>
  <si>
    <t xml:space="preserve">5.3     Presupuesto de Costos Operacionales del Negocio </t>
  </si>
  <si>
    <t>PROYECCIÓN INCREMENTO DE LOS COSTOS</t>
  </si>
  <si>
    <t>ITEM</t>
  </si>
  <si>
    <t>BIEN/SERVICIO</t>
  </si>
  <si>
    <t xml:space="preserve">PRESUPUESTO DE LOS COSTOS OPERACIONALES </t>
  </si>
  <si>
    <t>5.4     Tabla Cálculo de Precios Proyectados</t>
  </si>
  <si>
    <t>Porcentaje incremental del precio</t>
  </si>
  <si>
    <t>PROYECCIÓN INCREMETNO DE LOS COSTOS</t>
  </si>
  <si>
    <t>COSTO UNITARIO DE PRODUCCION</t>
  </si>
  <si>
    <t xml:space="preserve">MARGEN DE GANANCIA </t>
  </si>
  <si>
    <t>PRECIO AÑO 1</t>
  </si>
  <si>
    <t xml:space="preserve">5.5    Presupuesto Proyección de Ingresos por Ventas  </t>
  </si>
  <si>
    <t>PROYECCIÓN DE INGRESOS</t>
  </si>
  <si>
    <t xml:space="preserve">Total Ingresos </t>
  </si>
  <si>
    <t>5.6     Financiación y Costo de Capital del Proyecto</t>
  </si>
  <si>
    <t>Indique la procedencia del capital requerido para dar inicio a su idea de negocios, colocanddo frente a cada fuente de finaciamiento el porcentaje de participación que tendrá en el total de la inversión.</t>
  </si>
  <si>
    <t>CAPITAL REQUERIDO</t>
  </si>
  <si>
    <t xml:space="preserve">PROCEDENCIA DEL CAPITAL </t>
  </si>
  <si>
    <t>PORCENTAJE</t>
  </si>
  <si>
    <t>VALLOR</t>
  </si>
  <si>
    <t>Capital Propio</t>
  </si>
  <si>
    <t xml:space="preserve">Capital de Socios </t>
  </si>
  <si>
    <t>Crédito Bancario</t>
  </si>
  <si>
    <t>Otro</t>
  </si>
  <si>
    <t>5.6.1 Amortización del Crédito.</t>
  </si>
  <si>
    <t>MONTO DEL PRESTAMO</t>
  </si>
  <si>
    <t>INTERES ANUAL</t>
  </si>
  <si>
    <t xml:space="preserve">AÑOS </t>
  </si>
  <si>
    <t>CUOTA FIJA ANUAL</t>
  </si>
  <si>
    <t>SALDO INICIAL</t>
  </si>
  <si>
    <t>CUOTA FIJA</t>
  </si>
  <si>
    <t>INERESES</t>
  </si>
  <si>
    <t>ABONO A CAPITAL</t>
  </si>
  <si>
    <t>SALDO FINAL</t>
  </si>
  <si>
    <t>5.7    Flujo de Caja Proyectado</t>
  </si>
  <si>
    <t>5.7.1 Comportamiento de la Cartera</t>
  </si>
  <si>
    <t xml:space="preserve">Indique el número de días que tendrá como política para cobro de cartera a sus clientes </t>
  </si>
  <si>
    <t xml:space="preserve">Política de la Cartera en días </t>
  </si>
  <si>
    <t>DESCRIPCIÓN</t>
  </si>
  <si>
    <t>HORIZONTE DEL PROYECTO</t>
  </si>
  <si>
    <t>Saldo Inicial</t>
  </si>
  <si>
    <t>Ventas</t>
  </si>
  <si>
    <t>Menos: Saldo Final (*)</t>
  </si>
  <si>
    <t>Ingreso por ventas</t>
  </si>
  <si>
    <t>De acuerdo al tipo de persona que va a constituir o a desarrollar en la implementación de la Unidad Productiva, tenga en cuenta el porcentaje respectivo para aplicar el Impuesto de Renta si aplica.</t>
  </si>
  <si>
    <t>Emprendimiento Informal</t>
  </si>
  <si>
    <t xml:space="preserve">Persona Natural - Responsable del Impuesto </t>
  </si>
  <si>
    <t>Persona Jurídica</t>
  </si>
  <si>
    <t>FLUJO DE CAJA PROYECTADO</t>
  </si>
  <si>
    <t>RUBROS</t>
  </si>
  <si>
    <t>Año 0</t>
  </si>
  <si>
    <t>INGRESOS DE EFECTIVO</t>
  </si>
  <si>
    <t>Valor de Rescate de Activos Fijos</t>
  </si>
  <si>
    <t>Valor de Rescate del Capital de Trabajo</t>
  </si>
  <si>
    <t>Préstamos</t>
  </si>
  <si>
    <t xml:space="preserve">TOTAL INGRESOS </t>
  </si>
  <si>
    <t>EGRESOS DE EFECTIVO</t>
  </si>
  <si>
    <t>Costos de Producción</t>
  </si>
  <si>
    <t>Costos Mezcla de Mercados</t>
  </si>
  <si>
    <t>Gastos Mano de Obra Administrativa</t>
  </si>
  <si>
    <t>Gastos de Administración y Generales</t>
  </si>
  <si>
    <t>Amortización del Crédito</t>
  </si>
  <si>
    <t xml:space="preserve">Depreciación </t>
  </si>
  <si>
    <t xml:space="preserve">TOTAL EGRESOS </t>
  </si>
  <si>
    <t>UTILIDAD ANTES DE IMPUESTOS</t>
  </si>
  <si>
    <t>Impuesto de Renta y Complementarios</t>
  </si>
  <si>
    <t>UTILIDAD NETA</t>
  </si>
  <si>
    <t>INVERSIÓN INICIAL</t>
  </si>
  <si>
    <t>Flujo Neto Total</t>
  </si>
  <si>
    <t>Mas: Saldo Inicial de Caja</t>
  </si>
  <si>
    <t>Igual: Saldo Final de Caja</t>
  </si>
  <si>
    <t>PERIODO DE RECUPERACIÓN DE LA INVERSIÓN - PRI</t>
  </si>
  <si>
    <t>Año de Recuperación de la Inversión Inicial</t>
  </si>
  <si>
    <t>5.8 Indicadores de Viabilidad Financiera</t>
  </si>
  <si>
    <t>Costo de Capital</t>
  </si>
  <si>
    <t>Valor Actual de la Inversión (VA)</t>
  </si>
  <si>
    <t>Valor Presente Neto (VPN)</t>
  </si>
  <si>
    <t>Tasa Interna de Retorno (TIR)</t>
  </si>
  <si>
    <t>Valor Presente Neto de los Ingresos</t>
  </si>
  <si>
    <t>Valor Presente Neto de los Egresos</t>
  </si>
  <si>
    <t>Relacion Beneficio Costo</t>
  </si>
  <si>
    <t xml:space="preserve">Operación </t>
  </si>
  <si>
    <t>Manejo cuenta corriente bancaria + plataforma de pago de nómina electrónica</t>
  </si>
  <si>
    <t>Licencias</t>
  </si>
  <si>
    <t>Módulo contable y facturación electrónica ( incluido en Software CHIPAX )</t>
  </si>
  <si>
    <t xml:space="preserve">Costos - Inversión Inicial </t>
  </si>
  <si>
    <t>En 2023, el sector terciario en Colombia, que incluye servicios como comercio, transporte, servicios financieros y servicios profesionales, científicos &amp; técnicos, contribuyó con aproximadamente el 61% del Producto Interno Bruto (PIB). Este sector sigue siendo el de mayor peso en la economía colombiana, reflejando su creciente importancia en la estructura económica del país, según el Boletín Tecnico IV Trimestre 2023 del DANE</t>
  </si>
  <si>
    <t xml:space="preserve">Realice una breve descripción de la viabilidad económica de su idea de negocios, comente el comportamiento de los ingresos frente a los costos y gastos del ejercicio, el flujo de caja, recuperación de la inversión, indicadores como la TIR; el VPN, la relación de Beneficio/Costo y demás aspectos financieros que desee resaltar y que son de suma importancia comentarlos. </t>
  </si>
  <si>
    <t>5.8.1 Análisis de la Viabilidad Financiera</t>
  </si>
  <si>
    <t xml:space="preserve"> En el año 2023, El Sector Terciario o de servicios generó $959,19 Billones de pesos aproximadamente -  $959.199.380.000.000</t>
  </si>
  <si>
    <r>
      <t xml:space="preserve">Se estimó que para el año en curso, 2024, existen 741 pequeñas y Medianas Empresas formadas lagalmente y con registro mercantil activo, que constituyen la población del mercado al que se quiere ofertar el servicio. Este cálculo se realizó realizando una proyección teniendo en cuenta: 1) Las 849 PYMES en Montería identificadas por el DANE en II Trimestre de 2023, y 2) La tasa de supervivencia de PYMES con operación mayor a 1  año y menor a 5 años que identificó Confecámaras en 2023 para la población empresarial registrada.       
</t>
    </r>
    <r>
      <rPr>
        <b/>
        <sz val="12"/>
        <color theme="1"/>
        <rFont val="Calibri"/>
        <family val="2"/>
      </rPr>
      <t xml:space="preserve">POBLACIÓN 2024 = Población 2023 * Tasa de supervivencia anual  = 849*87,3% = </t>
    </r>
    <r>
      <rPr>
        <b/>
        <u/>
        <sz val="12"/>
        <color theme="1"/>
        <rFont val="Calibri"/>
        <family val="2"/>
      </rPr>
      <t>741 PYMES</t>
    </r>
  </si>
  <si>
    <t>Índice y variación mensual, año corrido y anual IPC de servicios diversos empresariales*</t>
  </si>
  <si>
    <t xml:space="preserve">CRECIMIENTO PIB PROYECTADO - ACTIVIDADES DE SERVICIOS PROFESIONALES </t>
  </si>
  <si>
    <t>IPC PROYECTADA - ACTIVIDADES DE SERVICIOS PROFESIONALES</t>
  </si>
  <si>
    <t>El finamiento inicial de proyecto sigue suponiendo una barrera de ingreso al mercado como ocurre para la mayoria de nuevas empresas. Esta necesidad de capital es vital para cubrir los costos de instalación, arranque, mantenimiento y sostenimiento del proyecto empresarial en el tiempo proyectado hasta poder estabilizar la liquidez y empezar a generar utilidades con la operación. Debido a esto, contar con socios inversores que crean en el modelo del negocio del proyecto, y en el potencial de beneficios a mediano plazo es de suma importancia, así como obtener créditos bancarios para inversión.</t>
  </si>
  <si>
    <t>El modelo de entre del servicio del proyecto empresarial, al ser netamente directo y no requerir intervencion de otras unidades de negocio para llegar al cliente final, no supone una barrera importante para entregar el servicio. Sin embargo, es de vital importancia que se establezca una red de colaboración con otras empresas que ya participan parcialmente en el mercado de servicios profesionales especializados a empresas, con el objetivo de promocionar y entregar de mejor manera un servicio con respaldo técnico.</t>
  </si>
  <si>
    <t>La innovación explicita del servicio está dada por el enfoque y alcance de gestión. El servicio de Gestión de cartera y cobranza de SODECO es integral, lo que implica que se origina desde el mismo momento en que se registra una cuenta de cobro por motivo de venta en la Cartera del cliente y trasciende hasta que culmina la recuperación de la deuda, en este sentido, el cliente solo tiene que preocuparse por llevar el registro de las cuentas por cobrar en el área de facturación y ventas sin tener que destinar recursos internos a la puesta en marcha de un área o departamento especial de cobranza.
La competencia en el sector local solo ofrece servicios similares que intervienen solamente en etapas específicas del proceso de cobranza, por lo general en las últimas, por lo que las empresas que usan esos servicios aún tienen que destinar recursos internos a un área de cobranza. La innovación de SODECO, da solución definitiva a este hecho y permite ahorrar costos, aumentar la productividad y optimizar recursos.</t>
  </si>
  <si>
    <t>1) La primera propuesta de innovación se encuentra en el software integrado al proceso, el cual tiene como objetivo la consolidación de un Sistema de Gestión y Cobranza Inteligente (SGCI), que emplea tecnologías como inteligencia artificial, aprendizaje automático (machine learning) y análisis de grandes volúmenes de información (big data) para apoyar las tareas repetitivas del asesor de cobranza y permitan hacer más rápida y eficiente la gestión &amp; cobranza de deudas.
2) La segunda propuesta de innovación involucra la adhesión de estrategias y métodos de trabajo provenientes del Modelo de Cobranza Inteligente &amp; Efectiva(CIE) que posibilita establecer una basé metódica y políticas de cobranza que aprovechan el conocimiento y perfilación profunda de deudores, a través de la analítica permanente de datos,  para reconocer el comportamiento de los deudores, y poder anticiparse a sus decisiones en términos de tiempos, capacidad y formas.</t>
  </si>
  <si>
    <t>Garantía contractual permanente que brinda derecho al cliente a: devolución de importes pagados., re-ejecución del servicio y/o reducción en el precio de venta, por ineficiencia e improductividad en los procesos del servicio.</t>
  </si>
  <si>
    <r>
      <t xml:space="preserve">• </t>
    </r>
    <r>
      <rPr>
        <b/>
        <sz val="12"/>
        <color rgb="FF262626"/>
        <rFont val="Calibri"/>
        <family val="2"/>
      </rPr>
      <t>COMPROMISO:</t>
    </r>
    <r>
      <rPr>
        <sz val="12"/>
        <color rgb="FF262626"/>
        <rFont val="Calibri"/>
        <family val="2"/>
      </rPr>
      <t xml:space="preserve"> SODECO se compromete a proporcionar servicios de gestión y cobranza de carteras de créditos, que incluye específicamente: 1) Gestión de cuentas por cobrar, 2) Implementación de estrategias de cobranza, 3) Análisis y reporte del estado de las carteras, 4) Comunicación y negociación con deudores y 5) Recaudo de deudas.
• </t>
    </r>
    <r>
      <rPr>
        <b/>
        <sz val="12"/>
        <color rgb="FF262626"/>
        <rFont val="Calibri"/>
        <family val="2"/>
      </rPr>
      <t>DURACIÓN:</t>
    </r>
    <r>
      <rPr>
        <sz val="12"/>
        <color rgb="FF262626"/>
        <rFont val="Calibri"/>
        <family val="2"/>
      </rPr>
      <t xml:space="preserve"> El servicio tendrá la duración que se indique explícitamente en el contrato firmado por las partes negociantes y no implica renovaciones automáticas de ningún tipo a menos que el cliente así lo deseé. Así mismo los términos del pago periódico del servicio obedece a las condiciones explicitas identificadas en el contrato.
• </t>
    </r>
    <r>
      <rPr>
        <b/>
        <sz val="12"/>
        <color rgb="FF262626"/>
        <rFont val="Calibri"/>
        <family val="2"/>
      </rPr>
      <t>OBLIGACIONES</t>
    </r>
    <r>
      <rPr>
        <sz val="12"/>
        <color rgb="FF262626"/>
        <rFont val="Calibri"/>
        <family val="2"/>
      </rPr>
      <t>: El cliente se compromete a proporcionar y actualizar oportunamente toda la información relacionada con la creación y el registro de cuentas por cobrar. Así mismo, responder oportunamente a las solicitudes de información adicional o documentación necesaria.
•</t>
    </r>
    <r>
      <rPr>
        <b/>
        <sz val="12"/>
        <color rgb="FF262626"/>
        <rFont val="Calibri"/>
        <family val="2"/>
      </rPr>
      <t xml:space="preserve"> LIMITACIÓN:</t>
    </r>
    <r>
      <rPr>
        <sz val="12"/>
        <color rgb="FF262626"/>
        <rFont val="Calibri"/>
        <family val="2"/>
      </rPr>
      <t xml:space="preserve"> SODECO no garantizará la recuperación absoluta y total del volumen de deuda periódica, debido al principio de irrecuperabilidad de créditos por malas políticas de ventas a créditos por parte del cliente. Los resultados de la cobranza pueden variar según las circunstancias para cada caso específico.</t>
    </r>
  </si>
  <si>
    <t>Capacitación en el uso del módulo de transferencia de datos</t>
  </si>
  <si>
    <t>Ordenador portátil y Software Chipax</t>
  </si>
  <si>
    <t>Ordenador principal, Software Chipax y manual de política y procedimiento</t>
  </si>
  <si>
    <t>Reposa muñeca, Soporte para laptop, Reposapiés, Silla y diademas ergonómicas</t>
  </si>
  <si>
    <t>Asegurar la protección de datos sensibles y confidenciales, cumpliendo con todas las regulaciones nacionales de privacidad y protección de datos.</t>
  </si>
  <si>
    <t>Cesantías</t>
  </si>
  <si>
    <t xml:space="preserve">Intereses/cesantías </t>
  </si>
  <si>
    <t>3.7.1 Nómina Mensual Mano de Obra Directa</t>
  </si>
  <si>
    <t>Costo Unitario Mes</t>
  </si>
  <si>
    <t>Costo Unitario Servicio 1</t>
  </si>
  <si>
    <t>Otros materiales menores</t>
  </si>
  <si>
    <t>Servicio ejecutado</t>
  </si>
  <si>
    <t>Cantidad Anual</t>
  </si>
  <si>
    <t>Intereses</t>
  </si>
  <si>
    <t>Gastos por servicios de terceros</t>
  </si>
  <si>
    <t xml:space="preserve">El Mercado actual de Actividades de servicios profesionales para PYMES requiere de soluciones profesionales dirigidas principalmente a las Necesidades de Tesorería, tal como lo identifica el Observatorio de Desarrollo Económico Nacional en su informe de investigación "Monitor de las myPymes", esto implica: 1) Planes de producción y manejo de inventarios altamente eficientes, 2) Acceso a proveedores con periodos de pagos no tan cortos, 3) Capacidad de pago para acceder a créditos rotativos que permitan suplir las necesidades de efectivo en el ciclo operacional, 4) Apalancamiento Financiero optimo que brinde estabilidad financiera a largo plazo y 5) Gestión efectiva de las cuentas contables originidas de la operación, las cuales son: Las cuentas por pagar, las cuentas por cobrar y la facturación de el ingreso por ventas.
</t>
  </si>
  <si>
    <r>
      <t xml:space="preserve">Inicialmente se espera ofrecer un único servicio integral de Gestión de Carteras de deuda y Cobranza, ya que es una de las caracteristicas diferencial con otros servicios similares. En cuanto al total de servicios proyectados a ofertar, se determinó que es posible acabar el primer año de operación con una cantidad aproximada de 18 servicios únicos activos, haciendo uso de una eficiencia del 70% de la capacidad teórica, que suele ser el promedio de la capacidad de trabajo operativa para nuevas empresas en el mercado de Servicios profesionales, científicos y técnicos.
</t>
    </r>
    <r>
      <rPr>
        <b/>
        <sz val="12"/>
        <color theme="1"/>
        <rFont val="Calibri"/>
        <family val="2"/>
      </rPr>
      <t>CANTIDAD DE SERVICIOS A OFERTAR = [(SEGMENTO DE MERCADO POTENCIAL) / 1(/CPC)]*Eficiencia de trabajo = [(444)/(1/0,05791)]*70% = 18</t>
    </r>
    <r>
      <rPr>
        <b/>
        <u/>
        <sz val="12"/>
        <color theme="1"/>
        <rFont val="Calibri"/>
        <family val="2"/>
      </rPr>
      <t xml:space="preserve"> Servicios</t>
    </r>
  </si>
  <si>
    <t>El lider de ventas de la empresa realizará visitas comerciales para dar a conocer el servicio a clientes potenciales, previamente identificados en la zona. Esta actividad hace parte de sus funciones por lo que no generá devengaciones adicionales al salario base. Sin embargo es necesario tener en cuenta el costo por rodamiento que se estima en $180.000 mensuales, y el costo de fabricación de tarjetas de presentación y cuadernos profesionales que es de $2.300 por cada par, y se planea producir 600 de estas en todo el año.</t>
  </si>
  <si>
    <r>
      <rPr>
        <b/>
        <sz val="12"/>
        <color theme="1"/>
        <rFont val="Calibri"/>
        <family val="2"/>
      </rPr>
      <t>CAPACIDAD DE CREACIÓN DE SERVICIOS AL 66% (CCS) =</t>
    </r>
    <r>
      <rPr>
        <sz val="12"/>
        <color theme="1"/>
        <rFont val="Calibri"/>
        <family val="2"/>
      </rPr>
      <t xml:space="preserve"> PRODUCTIVIDAD TRABAJADOR * # TRABAJADORES * % DE EFICIENCIA
</t>
    </r>
    <r>
      <rPr>
        <b/>
        <sz val="12"/>
        <color theme="1"/>
        <rFont val="Calibri"/>
        <family val="2"/>
      </rPr>
      <t>CAPACIDAD DE CREACIÓN DE SERVICIOS AL 66% (CCS)=</t>
    </r>
    <r>
      <rPr>
        <sz val="12"/>
        <color theme="1"/>
        <rFont val="Calibri"/>
        <family val="2"/>
      </rPr>
      <t xml:space="preserve"> (4,28 Servicios/Trabajador*mes) * ( 6 Trabajador ) * ( 70% ) = 18</t>
    </r>
    <r>
      <rPr>
        <u/>
        <sz val="12"/>
        <color theme="1"/>
        <rFont val="Calibri"/>
        <family val="2"/>
      </rPr>
      <t xml:space="preserve"> Servicios/mes 
</t>
    </r>
    <r>
      <rPr>
        <b/>
        <sz val="12"/>
        <color theme="1"/>
        <rFont val="Calibri"/>
        <family val="2"/>
      </rPr>
      <t xml:space="preserve">SALDO TOTAL X DESCUENTO 1 = CCS * PU * 15% </t>
    </r>
    <r>
      <rPr>
        <sz val="12"/>
        <color theme="1"/>
        <rFont val="Calibri"/>
        <family val="2"/>
      </rPr>
      <t xml:space="preserve">
</t>
    </r>
    <r>
      <rPr>
        <b/>
        <sz val="12"/>
        <color theme="1"/>
        <rFont val="Calibri"/>
        <family val="2"/>
      </rPr>
      <t xml:space="preserve">SALDO TOTAL X DESCUENTO 1 </t>
    </r>
    <r>
      <rPr>
        <sz val="12"/>
        <color theme="1"/>
        <rFont val="Calibri"/>
        <family val="2"/>
      </rPr>
      <t xml:space="preserve">= 18 * $ 3.901.017 pesos * 15% = </t>
    </r>
    <r>
      <rPr>
        <b/>
        <u/>
        <sz val="12"/>
        <color theme="1"/>
        <rFont val="Calibri"/>
        <family val="2"/>
      </rPr>
      <t>$10.532.746</t>
    </r>
    <r>
      <rPr>
        <sz val="12"/>
        <color theme="1"/>
        <rFont val="Calibri"/>
        <family val="2"/>
      </rPr>
      <t xml:space="preserve"> pesos</t>
    </r>
  </si>
  <si>
    <r>
      <rPr>
        <b/>
        <sz val="12"/>
        <color theme="1"/>
        <rFont val="Calibri"/>
        <family val="2"/>
      </rPr>
      <t xml:space="preserve">CAPACIDAD DE CREACIÓN DE SERVICIOS AL 66% (CCS) = </t>
    </r>
    <r>
      <rPr>
        <sz val="12"/>
        <color theme="1"/>
        <rFont val="Calibri"/>
        <family val="2"/>
      </rPr>
      <t xml:space="preserve">22 Servicios/mes
</t>
    </r>
    <r>
      <rPr>
        <b/>
        <sz val="12"/>
        <color theme="1"/>
        <rFont val="Calibri"/>
        <family val="2"/>
      </rPr>
      <t>DESCUENTO X REFERIDO (DXR) =</t>
    </r>
    <r>
      <rPr>
        <sz val="12"/>
        <color theme="1"/>
        <rFont val="Calibri"/>
        <family val="2"/>
      </rPr>
      <t xml:space="preserve"> $ 3.901.017 * 10% = $ 390.102
</t>
    </r>
    <r>
      <rPr>
        <b/>
        <sz val="12"/>
        <color theme="1"/>
        <rFont val="Calibri"/>
        <family val="2"/>
      </rPr>
      <t>SALDO TOTAL X DESCUENTO 2 =</t>
    </r>
    <r>
      <rPr>
        <sz val="12"/>
        <color theme="1"/>
        <rFont val="Calibri"/>
        <family val="2"/>
      </rPr>
      <t xml:space="preserve"> DXR * CCS = $ 191.659 * 18 =</t>
    </r>
    <r>
      <rPr>
        <b/>
        <u/>
        <sz val="12"/>
        <color theme="1"/>
        <rFont val="Calibri"/>
        <family val="2"/>
      </rPr>
      <t xml:space="preserve"> $ 7.021.831</t>
    </r>
    <r>
      <rPr>
        <sz val="12"/>
        <color theme="1"/>
        <rFont val="Calibri"/>
        <family val="2"/>
      </rPr>
      <t xml:space="preserve"> pesos</t>
    </r>
  </si>
  <si>
    <r>
      <t xml:space="preserve">• </t>
    </r>
    <r>
      <rPr>
        <b/>
        <sz val="12"/>
        <color theme="1"/>
        <rFont val="Calibri"/>
        <family val="2"/>
      </rPr>
      <t xml:space="preserve">Descuentos por contratación inicial:
</t>
    </r>
    <r>
      <rPr>
        <sz val="12"/>
        <color theme="1"/>
        <rFont val="Calibri"/>
        <family val="2"/>
      </rPr>
      <t xml:space="preserve">Se buscará proporcionar el 15% sobre el precio estándar de venta del servicio durante 2 meses, a las PYMES que opten por realizar la contratación en los primeros 5 meses de operación de SODECO o hasta alcanzar la utilización de la capacidad teórica de trabajo inicial.
• </t>
    </r>
    <r>
      <rPr>
        <b/>
        <sz val="12"/>
        <color theme="1"/>
        <rFont val="Calibri"/>
        <family val="2"/>
      </rPr>
      <t xml:space="preserve">Programa de referidos:
</t>
    </r>
    <r>
      <rPr>
        <sz val="12"/>
        <color theme="1"/>
        <rFont val="Calibri"/>
        <family val="2"/>
      </rPr>
      <t>Se creará un sistema de referencias comerciales para clientes donde las empresas que hayan decidido contratar el servicio de SODECO pueden recibir descuentos de hasta el 10% sobre el precio estándar por cada nueva empresa aliada a ellos y que esté dispuesta a contratar también el servicio, hasta un máximo de 2 referidos y hasta alcanzar la capacidad teórica inicial.</t>
    </r>
  </si>
  <si>
    <t>Pool Comisional de Ventas</t>
  </si>
  <si>
    <t xml:space="preserve">Se busca evaluar la factibilidad de creación de una empresa orientadoa a brindar un servicio especializado de gestión de carteras de deuda y cobranza de manera eficiente, eficaz y a un costo competitivo de mercado, dirigido en una primera instancia, a las Pequeñas y Medianas Empresas (PYMES) de la ciudad de Montería. </t>
  </si>
  <si>
    <t>Empresas de cualquier rubro con un presupuesto dedicado a cartera y cobro  de $4.000.000 + mensual, que busque mejorar la liquidez de sus CxC y tercerizar el área</t>
  </si>
  <si>
    <t>Empresas de cualquier rubro con un presupuesto dedicado a cartera y cobro de $4.000.000 + mensual, que busque mejorar la liquidez de sus CxC y tercerizar el área</t>
  </si>
  <si>
    <t>Las tendencias que perfila el Sector de servicios nacional son: 1 ) La integración de tecnologías de la información y la comunicación con un componente de Inteligencia Artificial a los procesos y actividades profesionales, las cuales son sujetas a la formación de estos profesionales en nuevas tecnologías; 2) La adopción del trabajo remoto como elemento esencial en la reducción de costos, el aumento de la productividad y la mejora en el bienestar de los colaboradores; 3) La transición de servicios enfocados en la productividad a costa del uso agresivo de recursos hacia un paradigma de sostenibilidad empresarial sin descuidar la eficiencia y eficacia de los procesos.
Información consultado del informe titulado: "10 años del mercado laboral en Colombia 2023" del observatorio laboral de la Universidad Pontificia Javierana, 2023</t>
  </si>
  <si>
    <t>A un nivel general, los principales cambios en el Sector de servicios para el 2024 son producto de 3 aspectos princiaples: 1) El impacto de la Reforma Laboral en los costos y tiempos de operación, lo que mejorará las condiciones laborales de los trabajadores en este sector pero exigirá crear nuevos modelos de trabajo en la prestación de servicios. 2) El impacto de la Inflación Nacional sobre el precio de los servicios, especialmente los servicios profesionales, cuya demanda a pesar de las nuevas tarifas ha venido aumentando modestamente y 3) La inclusión tecnológica sostenible en los métodos de trabajo están emergiendo como factor clave en el mercado laboral. Se proyecta la creación de numerosas vacantes en los sectores servicios, impulsando a los profesionales a adquirir habilidades en tecnologías de la información y análisis de datos.
Información consultada del informe titulado: "conyuntura y perspectiva de la economía Colombianada" de la Universidad EAFIT 2024</t>
  </si>
  <si>
    <r>
      <t xml:space="preserve">Dado que no existen datos más recientes del consumo per capital para la actividad de servicios profesionales ni en la ciudad ni en el departamento. Se utilizaron los datos recolectados en la encuesta de mercado y se extrapoló al total de la población de mercado, asi:
</t>
    </r>
    <r>
      <rPr>
        <b/>
        <sz val="12"/>
        <color theme="1"/>
        <rFont val="Calibri"/>
        <family val="2"/>
      </rPr>
      <t xml:space="preserve">CONSUMO PER CAPITA (CPC) = CONSUMO ANUAL DEL SERVICIO HISTÓRICO/ POBLACIÓN GENERAL 2024 = (0,09665*444)/741 = 42,9150/741 = </t>
    </r>
    <r>
      <rPr>
        <b/>
        <u/>
        <sz val="12"/>
        <color theme="1"/>
        <rFont val="Calibri"/>
        <family val="2"/>
      </rPr>
      <t xml:space="preserve"> 0,05791</t>
    </r>
    <r>
      <rPr>
        <sz val="12"/>
        <color theme="1"/>
        <rFont val="Calibri"/>
        <family val="2"/>
      </rPr>
      <t xml:space="preserve">
</t>
    </r>
    <r>
      <rPr>
        <b/>
        <i/>
        <sz val="12"/>
        <color theme="1"/>
        <rFont val="Calibri"/>
        <family val="2"/>
      </rPr>
      <t xml:space="preserve">Esto nos indica qué, aproximadamente, por cada 17 PYMES se hizo uso de 1 servicio de gestión de cobranza anualmente entre 2019-II y 2023-II
</t>
    </r>
    <r>
      <rPr>
        <sz val="12"/>
        <color theme="1"/>
        <rFont val="Calibri"/>
        <family val="2"/>
      </rPr>
      <t>- &gt; 0,09665 o 9,66%  es el porcentaje promedio de PYMES que hicieron uso de servicios profesionales o de apoyo, según el Boletín Técnico del Perfil Empresarial Regional - Córdoba 2024</t>
    </r>
  </si>
  <si>
    <t xml:space="preserve">La realidad de las PYMES Monterianas señala una necesidad significativa, y en aumento, de asistencia especializada para la gestión de las carteras de deuda por venta a créditos y la recuperación de la deuda, tal como la que busca proporcionar SODECO. Estos servicios no solo tratan de dar solución a los problemas recurrentes en materia de recuperación de cuentas por cobrar, sino que también pretende ayudar a la consolidación financiera y la sostenibilidad operativa, garantizando una mejora sustancial en el flujo de caja del negocio y su liquidez por uso del servicio, debido al impacto directo de la efectividad de cobranza sobre el ingreso real mensual por ventas.
</t>
  </si>
  <si>
    <t>Servicio corporativo con permanencia contractual en el tiempo para externalizar el área de Cartera y Cobranza, además de:
1) Solventar la liquidez de Carteras Morosas
2) Reducir los sobre costos indirectos de operación
3) Mejorar el flujo de cada del ciclo operativo</t>
  </si>
  <si>
    <r>
      <t xml:space="preserve">El precio del servicio de calculó con base en el costo unitario, identificado todos los elementos del costo; y  adicionandole el márgen de rentabilidad esperado así;
</t>
    </r>
    <r>
      <rPr>
        <b/>
        <sz val="12"/>
        <color theme="1"/>
        <rFont val="Calibri"/>
        <family val="2"/>
      </rPr>
      <t xml:space="preserve">1) COSTO TOTAL MENSUAL (CT) </t>
    </r>
    <r>
      <rPr>
        <sz val="12"/>
        <color theme="1"/>
        <rFont val="Calibri"/>
        <family val="2"/>
      </rPr>
      <t>= MATERIAL DIRECTO + MANO DE OBRA DIRECTA + COSTOS INDIRECTOS FIJOS
*</t>
    </r>
    <r>
      <rPr>
        <b/>
        <sz val="12"/>
        <color theme="1"/>
        <rFont val="Calibri"/>
        <family val="2"/>
      </rPr>
      <t xml:space="preserve"> COSTO TOTAL MENSUAL (CT) = $ 4.000.000 + $ 20.000.000 + $ 32.174.000 = </t>
    </r>
    <r>
      <rPr>
        <b/>
        <u/>
        <sz val="12"/>
        <color theme="1"/>
        <rFont val="Calibri"/>
        <family val="2"/>
      </rPr>
      <t>$ 56.174.000 pesos</t>
    </r>
    <r>
      <rPr>
        <b/>
        <sz val="12"/>
        <color theme="1"/>
        <rFont val="Calibri"/>
        <family val="2"/>
      </rPr>
      <t xml:space="preserve">
2) COSTO UNITARIO DEL SERVICIO (CU</t>
    </r>
    <r>
      <rPr>
        <sz val="12"/>
        <color theme="1"/>
        <rFont val="Calibri"/>
        <family val="2"/>
      </rPr>
      <t xml:space="preserve">) = CT/(CAPACIDAD INDIVIDUAL * # TRABAJADORES * EFICIENCIA)
</t>
    </r>
    <r>
      <rPr>
        <b/>
        <sz val="12"/>
        <color theme="1"/>
        <rFont val="Calibri"/>
        <family val="2"/>
      </rPr>
      <t xml:space="preserve">* COSTO UNITARIO DEL SERVICIO (CU) = $56.174.000/[( 4,28 Servicios/Trabajador*mes) * 6 trabajadores * 70% eficiencia] = </t>
    </r>
    <r>
      <rPr>
        <b/>
        <u/>
        <sz val="12"/>
        <color theme="1"/>
        <rFont val="Calibri"/>
        <family val="2"/>
      </rPr>
      <t>$3.120.813 pesos</t>
    </r>
    <r>
      <rPr>
        <b/>
        <sz val="12"/>
        <color theme="1"/>
        <rFont val="Calibri"/>
        <family val="2"/>
      </rPr>
      <t xml:space="preserve">
3) PRECIO DE VENTA UNITARIO (PVU) </t>
    </r>
    <r>
      <rPr>
        <sz val="12"/>
        <color theme="1"/>
        <rFont val="Calibri"/>
        <family val="2"/>
      </rPr>
      <t xml:space="preserve">= PRECIO FIJO + PRECIO VARIABLE
</t>
    </r>
    <r>
      <rPr>
        <b/>
        <sz val="12"/>
        <color theme="1"/>
        <rFont val="Calibri"/>
        <family val="2"/>
      </rPr>
      <t>* PRECIO DE VENTA UNITARIO (PVU)</t>
    </r>
    <r>
      <rPr>
        <sz val="12"/>
        <color theme="1"/>
        <rFont val="Calibri"/>
        <family val="2"/>
      </rPr>
      <t xml:space="preserve"> =( CU/(1-% DE RENTABILIDAD) ) + ( MONTO PROMEDIO DE DEUDA ESPERADA * % MARGEN DE GANANCIA )
</t>
    </r>
    <r>
      <rPr>
        <b/>
        <sz val="12"/>
        <color theme="1"/>
        <rFont val="Calibri"/>
        <family val="2"/>
      </rPr>
      <t xml:space="preserve">* PRECIO DE VENTA UNITARIO (PVU) = ( $3.120.813/(1-16,8%)) + ($200.000.000 *  0,075%) = $ 3.751.017 + $150.000 = </t>
    </r>
    <r>
      <rPr>
        <b/>
        <u/>
        <sz val="12"/>
        <color theme="1"/>
        <rFont val="Calibri"/>
        <family val="2"/>
      </rPr>
      <t>$ 3.901.017 pesos</t>
    </r>
  </si>
  <si>
    <t>PRI Exacto</t>
  </si>
  <si>
    <t>Fondo de Inversión - ProMontería</t>
  </si>
  <si>
    <r>
      <t>Ingresos proyectados y crecimiento:</t>
    </r>
    <r>
      <rPr>
        <sz val="12"/>
        <color theme="1"/>
        <rFont val="Calibri"/>
        <family val="2"/>
      </rPr>
      <t xml:space="preserve"> Los ingresos proyectados muestran un crecimiento sostenido año tras año. Sin embargo, se observa que el crecimiento porcentual disminuye progresivamente, lo cual es común a medida que la empresa madura y el mercado se estabiliza.</t>
    </r>
    <r>
      <rPr>
        <b/>
        <sz val="12"/>
        <color theme="1"/>
        <rFont val="Calibri"/>
        <family val="2"/>
      </rPr>
      <t xml:space="preserve"> </t>
    </r>
    <r>
      <rPr>
        <sz val="12"/>
        <color theme="1"/>
        <rFont val="Calibri"/>
        <family val="2"/>
      </rPr>
      <t xml:space="preserve">El crecimiento más significativo se observa entre el primer y segundo año, con un aumento del 18.46%. Esto refleja un impulso inicial fuerte debido a la entrada al mercado y la captación de nuevos clientes.
Al final del quinto año, los ingresos proyectados alcanzan los $1.557.053.017 pesos , lo que representa un poco menos del doble de los ingresos del primer año. Este crecimiento es un indicador positivo de la demanda esperada para los servicios de SODECO y su capacidad para captar una cuota de mercado significativa.
</t>
    </r>
    <r>
      <rPr>
        <b/>
        <sz val="12"/>
        <color theme="1"/>
        <rFont val="Calibri"/>
        <family val="2"/>
      </rPr>
      <t xml:space="preserve">
Egresos proyectados: </t>
    </r>
    <r>
      <rPr>
        <sz val="12"/>
        <color theme="1"/>
        <rFont val="Calibri"/>
        <family val="2"/>
      </rPr>
      <t xml:space="preserve">El crecimiento de los costos y gastos anuales operativos proyectados es de 10,40% para el segundo año, de 8,92% para el tercer año, de 7,18% para el cuarto año y de 7,05% para el año 5. Al igual que los ingresos, los costos y gastos operacionales también aumentan cada año, pero a un ritmo decreciente. Este control sobre el incremento de costos es positivo, ya que permite una mayor posibilidad de incremento en los márgenes de ganancia.
Los datos financieros proyectados para SODECO muestran una tendencia positiva en términos de ingresos y utilidad bruta. La empresa está proyectando un crecimiento sólido en ingresos y una gestión eficiente de los costos, lo que resulta en un aumento en el margen de utilidad bruta. Esto sugiere que SODECO tiene un modelo de negocio viable y rentable en el mercado de servicios de cobranza en Montería.
</t>
    </r>
    <r>
      <rPr>
        <b/>
        <sz val="12"/>
        <color theme="1"/>
        <rFont val="Calibri"/>
        <family val="2"/>
      </rPr>
      <t xml:space="preserve">
Inversión inicial: </t>
    </r>
    <r>
      <rPr>
        <sz val="12"/>
        <color theme="1"/>
        <rFont val="Calibri"/>
        <family val="2"/>
      </rPr>
      <t xml:space="preserve">El año 1 es el año con la inversión más alta, lo cual es común en la fase de inicio de un negocio. Incluye gastos como la infraestructura, adquisición de equipos, tecnología, costos de establecimiento legal y administrativo, y otros gastos necesarios para comenzar operaciones. Así mismo, otra inversión significativa se pronostica realizar en el año 3, el cual esta relacionado con la expansión de operaciones y el incremento de la capacidad de servicio para atender una mayor demanda.
La tendencia de la inversión inicial de SODECO muestra una concentración significativa de capital en el primer año para establecer el negocio, seguido de un descenso en los años posteriores con un ligero repunte en el tercer año debido a planeación de expansiones y mejoras. La disminución en la inversión en los años posteriores sugiere que se espera que la empresa haya alcanzado una etapa de madurez y sostenibilidad para entonces. 
</t>
    </r>
    <r>
      <rPr>
        <b/>
        <sz val="12"/>
        <color theme="1"/>
        <rFont val="Calibri"/>
        <family val="2"/>
      </rPr>
      <t xml:space="preserve">Flujo de caja: </t>
    </r>
    <r>
      <rPr>
        <sz val="12"/>
        <color theme="1"/>
        <rFont val="Calibri"/>
        <family val="2"/>
      </rPr>
      <t xml:space="preserve">El análisis del flujo de caja neto operativo de SODECO muestra una tendencia positiva y creciente, lo que sugiere una buena gestión operativa y una respuesta favorable de su operación en el mercado. A pesar del flujo de caja neto muy bajo en el primer año por valor de $16.010.957, la empresa demuestra su capacidad para generar ingresos crecientes y controlar sus costos, lo que conduciría a la generación de un flujo de caja operativo positivo y en aumento en los años siguientes. Esta tendencia de comportamiento de los flujos indica un futuro prometedor para la empresa, con una sólida capacidad para generar efectivo y financiar sus operaciones y expansión.
El flujo de caja neto muy bajo en el primer año es de esperarse al ser una nueva empresa, ya que los costos iniciales y los gastos operativos suelen igualar los ingresos generados el primer año de operación, y en la mayoría de casos, hasta superarlos. 
Esto indica que SODECO estará en este primer momento en una fase de inversión y establecimiento, absorbiendo costos iniciales significativos, y poco a poco irá generando mayor flujo neto para recuperar la inversión inicial.
</t>
    </r>
    <r>
      <rPr>
        <b/>
        <sz val="12"/>
        <color theme="1"/>
        <rFont val="Calibri"/>
        <family val="2"/>
      </rPr>
      <t xml:space="preserve">Punto de equilibrio: </t>
    </r>
    <r>
      <rPr>
        <sz val="12"/>
        <color theme="1"/>
        <rFont val="Calibri"/>
        <family val="2"/>
      </rPr>
      <t xml:space="preserve">En su primer año, SODECO debe generar al menos $50.710.153 pesos en ingresos mensuales para cubrir sus costos operativos. Esto establece una meta de ventas mínima para asegurar que la empresa no opere con pérdidas. Para los próximos años el punto de equilibrio se espera que se mantenga igual en materia de servicios prestados aunque el monto total ascienda debido al impacto del incremento de los precios en los recursos operativos y el precio de venta, por la inflación.
En resumen, el análisis del punto de equilibrio de SODECO muestra un aumento gradual en los niveles de ingresos necesarios para cubrir los costos operativos. Esto es indicativo de un crecimiento en los gastos asociados con el incremento de los precios, la expansión y mejora de las operaciones. Es esencial que la empresa continúe anualmente aumentando sus ingresos por ventas para mantenerse por encima del punto de equilibrio y garantizar la rentabilidad. La planificación y gestión eficientes serán clave para manejar este crecimiento y asegurar el éxito financiero a largo plazo.
</t>
    </r>
    <r>
      <rPr>
        <b/>
        <sz val="12"/>
        <color theme="1"/>
        <rFont val="Calibri"/>
        <family val="2"/>
      </rPr>
      <t xml:space="preserve">Valor Presente Neto: </t>
    </r>
    <r>
      <rPr>
        <sz val="12"/>
        <color theme="1"/>
        <rFont val="Calibri"/>
        <family val="2"/>
      </rPr>
      <t xml:space="preserve">El VA del proyecto es positivo y asciende a un valor $ 115.423.966 pesos, lo que indica que el proyecto empresarial de SODECO es financieramente viable y rentable. Esto significa que, después de descontar todos los flujos de caja proyectados al presente con un costo de capital del 14,05%, el valor de estos flujos supera la inversión inicial en $ 115.423.966. En otras palabras, la empresa no solo recuperará su inversión inicial, sino que también generará una ganancia adicional de $115.423.966 pesos en términos de valor presente. Este resultado sugiere que, bajo las proyecciones y supuestos actuales, la inversión en el proyecto es atractiva. Además, al tener en cuenta un costo de capital relativamente alto (14,05%), el VA positivo demuestra que el proyecto no solo cubre sus costos de oportunidad, sino que también proporciona un retorno satisfactorio a los inversionistas.
</t>
    </r>
    <r>
      <rPr>
        <b/>
        <sz val="12"/>
        <color theme="1"/>
        <rFont val="Calibri"/>
        <family val="2"/>
      </rPr>
      <t xml:space="preserve">TIR: </t>
    </r>
    <r>
      <rPr>
        <sz val="12"/>
        <color theme="1"/>
        <rFont val="Calibri"/>
        <family val="2"/>
      </rPr>
      <t xml:space="preserve">La TIR de 25,31% indica que la inversión en el proyecto empresarial de SODECO generará un retorno anualizado del 25,31% sobre el capital invertido. Comparada con el costo de capital del proyecto (14,05%), la TIR es significativamente mayor. Esto sugiere que el proyecto es altamente rentable y ofrece un rendimiento que supera con creces el costo de oportunidad de los fondos invertidos.
En este sentido, el análisis de la TIR de SODECO muestra que el proyecto es financieramente atractivo, con una tasa de retorno sustancialmente mayor que el costo de capital. Una TIR del 25,31% implica que el proyecto tiene un buen potencial para generar ganancias significativas, lo cual es un indicador positivo para los inversionistas y la dirección de la empresa. Este resultado refuerza la decisión de llevar adelante el proyecto y respalda su viabilidad económica.
</t>
    </r>
    <r>
      <rPr>
        <b/>
        <sz val="12"/>
        <color theme="1"/>
        <rFont val="Calibri"/>
        <family val="2"/>
      </rPr>
      <t>Valor Presente de Ingresos y Egresos:</t>
    </r>
    <r>
      <rPr>
        <sz val="12"/>
        <color theme="1"/>
        <rFont val="Calibri"/>
        <family val="2"/>
      </rPr>
      <t xml:space="preserve"> El VPN de los egresos del proyecto de SODECO, siendo $3.392.291.710 pesos, muestra que los costos futuros proyectados son considerables, pero, dado que el VPN de los ingresos es superior, con un valor de $3.392.291.710, el proyecto sigue siendo financieramente atractivo. La diferencia entre el VPN de los ingresos y el VPN de los egresos, equivalente a $585.449.731 pesos, refuerza la rentabilidad del proyecto y su capacidad para generar un retorno positivo. Este análisis es esencial para evaluar la viabilidad financiera global del proyecto y para confirmar que los ingresos futuros justifican los costos esperados.
</t>
    </r>
    <r>
      <rPr>
        <b/>
        <sz val="12"/>
        <color theme="1"/>
        <rFont val="Calibri"/>
        <family val="2"/>
      </rPr>
      <t xml:space="preserve">Relación Costo-Beneficio: </t>
    </r>
    <r>
      <rPr>
        <sz val="12"/>
        <color theme="1"/>
        <rFont val="Calibri"/>
        <family val="2"/>
      </rPr>
      <t xml:space="preserve">Una relación costo-beneficio de 1,086 significa que, por cada peso invertido en el proyecto, se espera obtener un beneficio de aproximadamente 1,086 pesos. En otras palabras, el valor de los beneficios proyectados es aproximadamente un 8,6% mayor que el valor de los costos. Dado que la relación costo-beneficio es superior a 1, el proyecto de SODECO parece ser viable desde una perspectiva económica. Esto indica que el proyecto no solo recuperará la inversión inicial, sino que también generará beneficios adicionales.
La relación costo-beneficio complementa los otros indicadores financieros del proyecto, como el VPN ($115.423.966 ) y la TIR.(25,31%). En este caso, con un VPN positivo y una TIR superior al costo de capital, la relación costo-beneficio refuerza la viabilidad del proyecto al mostrar que los beneficios totales superan a los costos.
En resumen, el valor de la relación Costo-Beneficio refuerza la viabilidad financiera del proyecto y apoya la decisión de proceder con la inversión. La relación costo-beneficio, junto con otros indicadores financieros positivos, sugiere que SODECO tiene una sólida base económica para generar valor y alcanzar sus objetivos financieros.
</t>
    </r>
    <r>
      <rPr>
        <b/>
        <sz val="12"/>
        <color theme="1"/>
        <rFont val="Calibri"/>
        <family val="2"/>
      </rPr>
      <t xml:space="preserve">CONCLUSIÓN: </t>
    </r>
    <r>
      <rPr>
        <sz val="12"/>
        <color theme="1"/>
        <rFont val="Calibri"/>
        <family val="2"/>
      </rPr>
      <t xml:space="preserve">El análisis financiero del proyecto empresarial de SODECO demuestra que es una inversión sólida y viable. La empresa tiene el potencial de crecer y generar ingresos sostenibles a lo largo del tiempo. Con un retorno de inversión atractivo y una adecuada gestión de costos, SODECO está bien posicionada para cumplir sus objetivos financieros y proporcionar valor a todo su Grupo de Interés, en especial sus socios inversores. Los riesgos asociados son manejables, y los indicadores positivos respaldan una decisión favorable para la implementación del proyecto.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</si>
</sst>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 #,##0_-;_-* &quot;-&quot;_-;_-@_-"/>
    <numFmt numFmtId="44" formatCode="_-&quot;$&quot;\ * #,##0.00_-;\-&quot;$&quot;\ * #,##0.00_-;_-&quot;$&quot;\ * &quot;-&quot;??_-;_-@_-"/>
    <numFmt numFmtId="164" formatCode="_-[$$-240A]* #,##0.00_-;\-[$$-240A]* #,##0.00_-;_-[$$-240A]* &quot;-&quot;??_-;_-@"/>
    <numFmt numFmtId="165" formatCode="_-&quot;$&quot;* #,##0_-;\-&quot;$&quot;* #,##0_-;_-&quot;$&quot;* &quot;-&quot;_-;_-@"/>
    <numFmt numFmtId="166" formatCode="_-&quot;$&quot;* #,##0.00_-;\-&quot;$&quot;* #,##0.00_-;_-&quot;$&quot;* &quot;-&quot;_-;_-@"/>
    <numFmt numFmtId="167" formatCode="#,##0.0"/>
    <numFmt numFmtId="168" formatCode="0.0"/>
    <numFmt numFmtId="169" formatCode="_-&quot;$&quot;\ * #,##0_-;\-&quot;$&quot;\ * #,##0_-;_-&quot;$&quot;\ * &quot;-&quot;??_-;_-@"/>
    <numFmt numFmtId="170" formatCode="_-&quot;$&quot;\ * #,##0.00_-;\-&quot;$&quot;\ * #,##0.00_-;_-&quot;$&quot;\ * &quot;-&quot;??_-;_-@"/>
    <numFmt numFmtId="171" formatCode="_-* #,##0_-;\-* #,##0_-;_-* &quot;-&quot;_-;_-@"/>
    <numFmt numFmtId="172" formatCode="0.000%"/>
    <numFmt numFmtId="173" formatCode="#,##0.00_ ;\-#,##0.00\ "/>
    <numFmt numFmtId="174" formatCode="[$$-240A]\ #,##0"/>
    <numFmt numFmtId="175" formatCode="_-&quot;$&quot;\ * #,##0_-;\-&quot;$&quot;\ * #,##0_-;_-&quot;$&quot;\ * &quot;-&quot;??_-;_-@_-"/>
    <numFmt numFmtId="176" formatCode="[$$-240A]\ #,##0_ ;\-[$$-240A]\ #,##0\ "/>
    <numFmt numFmtId="177" formatCode="&quot;$&quot;\ #,##0"/>
    <numFmt numFmtId="178" formatCode="0.0%"/>
    <numFmt numFmtId="179" formatCode="0.000"/>
  </numFmts>
  <fonts count="104" x14ac:knownFonts="1">
    <font>
      <sz val="11"/>
      <color theme="1"/>
      <name val="Calibri"/>
      <family val="2"/>
      <scheme val="minor"/>
    </font>
    <font>
      <sz val="11"/>
      <color theme="1"/>
      <name val="Arial"/>
    </font>
    <font>
      <b/>
      <sz val="72"/>
      <color rgb="FFFF9900"/>
      <name val="Calibri"/>
      <family val="2"/>
    </font>
    <font>
      <sz val="11"/>
      <name val="Arial"/>
      <family val="2"/>
    </font>
    <font>
      <sz val="12"/>
      <color theme="1"/>
      <name val="Calibri"/>
      <family val="2"/>
    </font>
    <font>
      <b/>
      <sz val="18"/>
      <color rgb="FFFF9900"/>
      <name val="Calibri"/>
      <family val="2"/>
    </font>
    <font>
      <b/>
      <sz val="20"/>
      <color theme="1"/>
      <name val="Calibri"/>
      <family val="2"/>
    </font>
    <font>
      <sz val="12"/>
      <color theme="0"/>
      <name val="Calibri"/>
      <family val="2"/>
    </font>
    <font>
      <b/>
      <sz val="12"/>
      <color theme="1"/>
      <name val="Calibri"/>
      <family val="2"/>
    </font>
    <font>
      <u/>
      <sz val="12"/>
      <color theme="10"/>
      <name val="Calibri"/>
      <family val="2"/>
    </font>
    <font>
      <b/>
      <sz val="20"/>
      <name val="Calibri"/>
      <family val="2"/>
    </font>
    <font>
      <b/>
      <sz val="12"/>
      <color rgb="FF7F7F7F"/>
      <name val="Calibri"/>
      <family val="2"/>
    </font>
    <font>
      <b/>
      <sz val="12"/>
      <color rgb="FF000000"/>
      <name val="Calibri"/>
      <family val="2"/>
    </font>
    <font>
      <b/>
      <sz val="72"/>
      <color rgb="FFFF9933"/>
      <name val="Calibri"/>
      <family val="2"/>
    </font>
    <font>
      <b/>
      <sz val="16"/>
      <color theme="1"/>
      <name val="Calibri"/>
      <family val="2"/>
    </font>
    <font>
      <b/>
      <sz val="16"/>
      <name val="Calibri"/>
      <family val="2"/>
    </font>
    <font>
      <b/>
      <sz val="14"/>
      <color theme="1"/>
      <name val="Calibri"/>
      <family val="2"/>
    </font>
    <font>
      <b/>
      <sz val="14"/>
      <color rgb="FF211F1F"/>
      <name val="Calibri"/>
      <family val="2"/>
    </font>
    <font>
      <b/>
      <sz val="14"/>
      <color rgb="FFA5A5A5"/>
      <name val="Calibri"/>
      <family val="2"/>
    </font>
    <font>
      <sz val="12"/>
      <name val="Calibri"/>
      <family val="2"/>
    </font>
    <font>
      <sz val="12"/>
      <color rgb="FFFF0000"/>
      <name val="Calibri"/>
      <family val="2"/>
    </font>
    <font>
      <b/>
      <sz val="12"/>
      <color theme="0" tint="-0.499984740745262"/>
      <name val="Calibri"/>
      <family val="2"/>
    </font>
    <font>
      <b/>
      <sz val="16"/>
      <color rgb="FF211F1F"/>
      <name val="Calibri"/>
      <family val="2"/>
    </font>
    <font>
      <sz val="14"/>
      <color theme="0" tint="-0.499984740745262"/>
      <name val="Calibri"/>
      <family val="2"/>
    </font>
    <font>
      <sz val="14"/>
      <color theme="1"/>
      <name val="Calibri"/>
      <family val="2"/>
    </font>
    <font>
      <b/>
      <sz val="16"/>
      <color theme="0" tint="-0.499984740745262"/>
      <name val="Calibri"/>
      <family val="2"/>
    </font>
    <font>
      <b/>
      <sz val="12"/>
      <name val="Calibri"/>
      <family val="2"/>
    </font>
    <font>
      <b/>
      <i/>
      <sz val="12"/>
      <color theme="1"/>
      <name val="Calibri"/>
      <family val="2"/>
    </font>
    <font>
      <b/>
      <i/>
      <sz val="12"/>
      <name val="Calibri"/>
      <family val="2"/>
    </font>
    <font>
      <b/>
      <sz val="12"/>
      <color rgb="FFA5A5A5"/>
      <name val="Calibri"/>
      <family val="2"/>
    </font>
    <font>
      <sz val="16"/>
      <color theme="1"/>
      <name val="Calibri"/>
      <family val="2"/>
    </font>
    <font>
      <sz val="16"/>
      <color theme="0" tint="-0.499984740745262"/>
      <name val="Calibri"/>
      <family val="2"/>
    </font>
    <font>
      <b/>
      <i/>
      <u/>
      <sz val="12"/>
      <color theme="1"/>
      <name val="Calibri"/>
      <family val="2"/>
    </font>
    <font>
      <b/>
      <i/>
      <u/>
      <sz val="12"/>
      <name val="Calibri"/>
      <family val="2"/>
    </font>
    <font>
      <u/>
      <sz val="11"/>
      <color theme="10"/>
      <name val="Calibri"/>
      <family val="2"/>
      <scheme val="minor"/>
    </font>
    <font>
      <b/>
      <sz val="11"/>
      <color theme="1"/>
      <name val="Calibri"/>
      <family val="2"/>
      <scheme val="minor"/>
    </font>
    <font>
      <sz val="10"/>
      <name val="Segoe UI"/>
      <family val="2"/>
    </font>
    <font>
      <sz val="11"/>
      <color theme="1"/>
      <name val="Segoe UI"/>
      <family val="2"/>
    </font>
    <font>
      <sz val="9"/>
      <name val="Segoe UI"/>
      <family val="2"/>
    </font>
    <font>
      <b/>
      <sz val="14"/>
      <color theme="0"/>
      <name val="Segoe UI"/>
      <family val="2"/>
    </font>
    <font>
      <b/>
      <sz val="9"/>
      <name val="Segoe UI"/>
      <family val="2"/>
    </font>
    <font>
      <b/>
      <vertAlign val="superscript"/>
      <sz val="9"/>
      <name val="Segoe UI"/>
      <family val="2"/>
    </font>
    <font>
      <u/>
      <sz val="11"/>
      <color theme="10"/>
      <name val="Segoe UI"/>
      <family val="2"/>
    </font>
    <font>
      <b/>
      <sz val="9"/>
      <color theme="1"/>
      <name val="Segoe UI"/>
      <family val="2"/>
    </font>
    <font>
      <sz val="9"/>
      <color theme="1"/>
      <name val="Segoe UI"/>
      <family val="2"/>
    </font>
    <font>
      <b/>
      <sz val="10"/>
      <color theme="1"/>
      <name val="Segoe UI"/>
      <family val="2"/>
    </font>
    <font>
      <b/>
      <vertAlign val="superscript"/>
      <sz val="10"/>
      <color theme="1"/>
      <name val="Segoe UI"/>
      <family val="2"/>
    </font>
    <font>
      <sz val="10"/>
      <color theme="1"/>
      <name val="Segoe UI"/>
      <family val="2"/>
    </font>
    <font>
      <b/>
      <sz val="9"/>
      <color rgb="FFB6004B"/>
      <name val="Segoe UI"/>
      <family val="2"/>
    </font>
    <font>
      <b/>
      <i/>
      <sz val="9"/>
      <color theme="1"/>
      <name val="Segoe UI"/>
      <family val="2"/>
    </font>
    <font>
      <b/>
      <i/>
      <vertAlign val="superscript"/>
      <sz val="9"/>
      <color theme="1"/>
      <name val="Segoe UI"/>
      <family val="2"/>
    </font>
    <font>
      <sz val="8"/>
      <name val="Segoe UI"/>
      <family val="2"/>
    </font>
    <font>
      <b/>
      <sz val="8"/>
      <name val="Segoe UI"/>
      <family val="2"/>
    </font>
    <font>
      <b/>
      <vertAlign val="superscript"/>
      <sz val="8"/>
      <name val="Segoe UI"/>
      <family val="2"/>
    </font>
    <font>
      <i/>
      <sz val="9"/>
      <color theme="1"/>
      <name val="Segoe UI"/>
      <family val="2"/>
    </font>
    <font>
      <vertAlign val="superscript"/>
      <sz val="8"/>
      <name val="Segoe UI"/>
      <family val="2"/>
    </font>
    <font>
      <sz val="10"/>
      <name val="Arial"/>
      <family val="2"/>
    </font>
    <font>
      <b/>
      <sz val="14"/>
      <color indexed="9"/>
      <name val="Segoe UI"/>
      <family val="2"/>
    </font>
    <font>
      <b/>
      <sz val="9"/>
      <color indexed="8"/>
      <name val="Segoe UI"/>
      <family val="2"/>
    </font>
    <font>
      <b/>
      <sz val="12"/>
      <color indexed="8"/>
      <name val="Segoe UI"/>
      <family val="2"/>
    </font>
    <font>
      <b/>
      <sz val="10"/>
      <name val="Arial"/>
      <family val="2"/>
    </font>
    <font>
      <sz val="11"/>
      <color theme="1"/>
      <name val="Calibri"/>
      <family val="2"/>
      <scheme val="minor"/>
    </font>
    <font>
      <b/>
      <u/>
      <sz val="12"/>
      <color theme="1"/>
      <name val="Calibri"/>
      <family val="2"/>
    </font>
    <font>
      <b/>
      <u/>
      <sz val="12"/>
      <name val="Calibri"/>
      <family val="2"/>
    </font>
    <font>
      <b/>
      <i/>
      <sz val="14"/>
      <color theme="1"/>
      <name val="Calibri"/>
      <family val="2"/>
    </font>
    <font>
      <b/>
      <i/>
      <sz val="14"/>
      <name val="Calibri"/>
      <family val="2"/>
    </font>
    <font>
      <u/>
      <sz val="12"/>
      <color theme="1"/>
      <name val="Calibri"/>
      <family val="2"/>
    </font>
    <font>
      <sz val="11"/>
      <color theme="1"/>
      <name val="Calibri"/>
      <family val="2"/>
    </font>
    <font>
      <sz val="11"/>
      <color theme="1"/>
      <name val="Arial"/>
      <family val="2"/>
    </font>
    <font>
      <sz val="11"/>
      <name val="Calibri"/>
      <family val="2"/>
    </font>
    <font>
      <sz val="20"/>
      <color theme="1"/>
      <name val="Calibri"/>
      <family val="2"/>
    </font>
    <font>
      <b/>
      <sz val="12"/>
      <color rgb="FF262626"/>
      <name val="Calibri"/>
      <family val="2"/>
    </font>
    <font>
      <sz val="12"/>
      <color theme="0" tint="-0.499984740745262"/>
      <name val="Calibri"/>
      <family val="2"/>
    </font>
    <font>
      <sz val="11"/>
      <color theme="0" tint="-0.499984740745262"/>
      <name val="Calibri"/>
      <family val="2"/>
    </font>
    <font>
      <sz val="12"/>
      <color rgb="FF262626"/>
      <name val="Calibri"/>
      <family val="2"/>
    </font>
    <font>
      <b/>
      <sz val="11"/>
      <color rgb="FF7F7F7F"/>
      <name val="Calibri"/>
      <family val="2"/>
    </font>
    <font>
      <b/>
      <sz val="10"/>
      <color rgb="FFA5A5A5"/>
      <name val="Calibri"/>
      <family val="2"/>
    </font>
    <font>
      <b/>
      <sz val="10"/>
      <color rgb="FF7F7F7F"/>
      <name val="Calibri"/>
      <family val="2"/>
    </font>
    <font>
      <sz val="8"/>
      <color theme="1"/>
      <name val="Calibri"/>
      <family val="2"/>
    </font>
    <font>
      <b/>
      <sz val="14"/>
      <color theme="0" tint="-0.499984740745262"/>
      <name val="Calibri"/>
      <family val="2"/>
    </font>
    <font>
      <b/>
      <sz val="12"/>
      <color rgb="FF3A3838"/>
      <name val="Calibri"/>
      <family val="2"/>
    </font>
    <font>
      <b/>
      <sz val="12"/>
      <color rgb="FFFF6600"/>
      <name val="Calibri"/>
      <family val="2"/>
    </font>
    <font>
      <sz val="12"/>
      <color rgb="FFFF6600"/>
      <name val="Calibri"/>
      <family val="2"/>
    </font>
    <font>
      <sz val="20"/>
      <color theme="0" tint="-0.499984740745262"/>
      <name val="Calibri"/>
      <family val="2"/>
    </font>
    <font>
      <b/>
      <sz val="11"/>
      <name val="Calibri"/>
      <family val="2"/>
    </font>
    <font>
      <i/>
      <sz val="20"/>
      <color theme="1"/>
      <name val="Calibri"/>
      <family val="2"/>
    </font>
    <font>
      <sz val="11"/>
      <color theme="5" tint="0.79998168889431442"/>
      <name val="Calibri"/>
      <family val="2"/>
      <scheme val="minor"/>
    </font>
    <font>
      <b/>
      <sz val="26"/>
      <name val="Calibri"/>
      <family val="2"/>
    </font>
    <font>
      <b/>
      <sz val="26"/>
      <color rgb="FFFF6600"/>
      <name val="Calibri"/>
      <family val="2"/>
    </font>
    <font>
      <b/>
      <sz val="12"/>
      <color theme="0"/>
      <name val="Calibri"/>
      <family val="2"/>
    </font>
    <font>
      <sz val="10"/>
      <color theme="1"/>
      <name val="Calibri"/>
      <family val="2"/>
    </font>
    <font>
      <b/>
      <sz val="10"/>
      <color theme="0" tint="-0.499984740745262"/>
      <name val="Calibri"/>
      <family val="2"/>
    </font>
    <font>
      <b/>
      <sz val="12"/>
      <color theme="1" tint="0.14999847407452621"/>
      <name val="Calibri"/>
      <family val="2"/>
    </font>
    <font>
      <b/>
      <sz val="10"/>
      <color theme="1" tint="0.14999847407452621"/>
      <name val="Calibri"/>
      <family val="2"/>
    </font>
    <font>
      <b/>
      <sz val="12"/>
      <color theme="2" tint="-0.749992370372631"/>
      <name val="Calibri"/>
      <family val="2"/>
    </font>
    <font>
      <b/>
      <sz val="11"/>
      <color theme="1"/>
      <name val="Calibri"/>
      <family val="2"/>
    </font>
    <font>
      <b/>
      <sz val="48"/>
      <color rgb="FFFF6600"/>
      <name val="Calibri"/>
      <family val="2"/>
    </font>
    <font>
      <sz val="12"/>
      <color theme="1" tint="0.14999847407452621"/>
      <name val="Calibri"/>
      <family val="2"/>
    </font>
    <font>
      <b/>
      <sz val="12"/>
      <color theme="0" tint="-0.34998626667073579"/>
      <name val="Calibri"/>
      <family val="2"/>
    </font>
    <font>
      <b/>
      <sz val="12"/>
      <color rgb="FFFF0000"/>
      <name val="Calibri"/>
      <family val="2"/>
    </font>
    <font>
      <b/>
      <i/>
      <sz val="16"/>
      <name val="Calibri"/>
      <family val="2"/>
    </font>
    <font>
      <b/>
      <sz val="14"/>
      <color theme="1"/>
      <name val="Arial"/>
      <family val="2"/>
    </font>
    <font>
      <sz val="9"/>
      <color indexed="81"/>
      <name val="Tahoma"/>
      <charset val="1"/>
    </font>
    <font>
      <b/>
      <sz val="9"/>
      <color indexed="81"/>
      <name val="Tahoma"/>
      <charset val="1"/>
    </font>
  </fonts>
  <fills count="28">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bgColor rgb="FFD8D8D8"/>
      </patternFill>
    </fill>
    <fill>
      <patternFill patternType="solid">
        <fgColor rgb="FFFFCC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FF"/>
        <bgColor rgb="FF000000"/>
      </patternFill>
    </fill>
    <fill>
      <patternFill patternType="solid">
        <fgColor rgb="FFB6004B"/>
        <bgColor indexed="64"/>
      </patternFill>
    </fill>
    <fill>
      <patternFill patternType="solid">
        <fgColor theme="0" tint="-4.9989318521683403E-2"/>
        <bgColor indexed="64"/>
      </patternFill>
    </fill>
    <fill>
      <patternFill patternType="solid">
        <fgColor rgb="FFBFBFBF"/>
        <bgColor indexed="64"/>
      </patternFill>
    </fill>
    <fill>
      <patternFill patternType="solid">
        <fgColor rgb="FFF2F2F2"/>
        <bgColor indexed="64"/>
      </patternFill>
    </fill>
    <fill>
      <patternFill patternType="solid">
        <fgColor rgb="FFFFFFFF"/>
        <bgColor indexed="64"/>
      </patternFill>
    </fill>
    <fill>
      <patternFill patternType="solid">
        <fgColor theme="2" tint="-9.9978637043366805E-2"/>
        <bgColor indexed="64"/>
      </patternFill>
    </fill>
    <fill>
      <patternFill patternType="solid">
        <fgColor indexed="9"/>
        <bgColor indexed="64"/>
      </patternFill>
    </fill>
    <fill>
      <patternFill patternType="solid">
        <fgColor indexed="22"/>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rgb="FFFFFFFF"/>
      </patternFill>
    </fill>
    <fill>
      <patternFill patternType="solid">
        <fgColor theme="0"/>
        <bgColor rgb="FFFFFF00"/>
      </patternFill>
    </fill>
    <fill>
      <patternFill patternType="solid">
        <fgColor theme="0"/>
        <bgColor theme="0"/>
      </patternFill>
    </fill>
    <fill>
      <patternFill patternType="solid">
        <fgColor rgb="FFFFCCFF"/>
        <bgColor rgb="FFF9CB9C"/>
      </patternFill>
    </fill>
    <fill>
      <patternFill patternType="solid">
        <fgColor rgb="FFFFCCFF"/>
        <bgColor theme="0"/>
      </patternFill>
    </fill>
    <fill>
      <patternFill patternType="solid">
        <fgColor theme="0"/>
        <bgColor rgb="FFFF0000"/>
      </patternFill>
    </fill>
    <fill>
      <patternFill patternType="solid">
        <fgColor rgb="FFFF9933"/>
        <bgColor indexed="64"/>
      </patternFill>
    </fill>
    <fill>
      <patternFill patternType="solid">
        <fgColor theme="2"/>
        <bgColor indexed="64"/>
      </patternFill>
    </fill>
  </fills>
  <borders count="20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right style="thin">
        <color rgb="FF000000"/>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rgb="FF000000"/>
      </right>
      <top style="medium">
        <color indexed="64"/>
      </top>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right style="thin">
        <color rgb="FF000000"/>
      </right>
      <top/>
      <bottom style="medium">
        <color indexed="64"/>
      </bottom>
      <diagonal/>
    </border>
    <border>
      <left style="thin">
        <color rgb="FF000000"/>
      </left>
      <right/>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rgb="FF000000"/>
      </bottom>
      <diagonal/>
    </border>
    <border>
      <left style="medium">
        <color indexed="64"/>
      </left>
      <right style="thin">
        <color rgb="FF000000"/>
      </right>
      <top style="medium">
        <color indexed="64"/>
      </top>
      <bottom/>
      <diagonal/>
    </border>
    <border>
      <left style="medium">
        <color indexed="64"/>
      </left>
      <right style="thin">
        <color rgb="FF000000"/>
      </right>
      <top/>
      <bottom style="medium">
        <color indexed="64"/>
      </bottom>
      <diagonal/>
    </border>
    <border>
      <left style="medium">
        <color indexed="64"/>
      </left>
      <right/>
      <top style="thin">
        <color rgb="FF000000"/>
      </top>
      <bottom style="thick">
        <color indexed="64"/>
      </bottom>
      <diagonal/>
    </border>
    <border>
      <left/>
      <right/>
      <top style="thin">
        <color rgb="FF000000"/>
      </top>
      <bottom style="thick">
        <color indexed="64"/>
      </bottom>
      <diagonal/>
    </border>
    <border>
      <left/>
      <right style="thin">
        <color rgb="FF000000"/>
      </right>
      <top style="thin">
        <color rgb="FF000000"/>
      </top>
      <bottom style="thick">
        <color indexed="64"/>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thin">
        <color rgb="FF990033"/>
      </left>
      <right/>
      <top/>
      <bottom/>
      <diagonal/>
    </border>
    <border>
      <left/>
      <right style="thin">
        <color rgb="FF990033"/>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thin">
        <color auto="1"/>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auto="1"/>
      </right>
      <top style="thin">
        <color theme="0" tint="-0.499984740745262"/>
      </top>
      <bottom style="thin">
        <color theme="0" tint="-0.499984740745262"/>
      </bottom>
      <diagonal/>
    </border>
    <border>
      <left style="thin">
        <color auto="1"/>
      </left>
      <right/>
      <top/>
      <bottom style="thin">
        <color theme="0" tint="-0.499984740745262"/>
      </bottom>
      <diagonal/>
    </border>
    <border>
      <left/>
      <right/>
      <top/>
      <bottom style="thin">
        <color theme="0" tint="-0.499984740745262"/>
      </bottom>
      <diagonal/>
    </border>
    <border>
      <left/>
      <right style="thin">
        <color auto="1"/>
      </right>
      <top/>
      <bottom style="thin">
        <color theme="0" tint="-0.499984740745262"/>
      </bottom>
      <diagonal/>
    </border>
    <border>
      <left/>
      <right/>
      <top style="thin">
        <color theme="0" tint="-0.499984740745262"/>
      </top>
      <bottom/>
      <diagonal/>
    </border>
    <border>
      <left/>
      <right style="thin">
        <color auto="1"/>
      </right>
      <top style="thin">
        <color theme="0" tint="-0.499984740745262"/>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style="thin">
        <color rgb="FF000000"/>
      </top>
      <bottom style="medium">
        <color indexed="64"/>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right style="medium">
        <color indexed="64"/>
      </right>
      <top style="thin">
        <color rgb="FF000000"/>
      </top>
      <bottom/>
      <diagonal/>
    </border>
    <border>
      <left style="thin">
        <color rgb="FF000000"/>
      </left>
      <right/>
      <top/>
      <bottom/>
      <diagonal/>
    </border>
    <border>
      <left style="medium">
        <color indexed="64"/>
      </left>
      <right/>
      <top style="thin">
        <color rgb="FF000000"/>
      </top>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diagonal/>
    </border>
    <border>
      <left/>
      <right style="medium">
        <color rgb="FF000000"/>
      </right>
      <top/>
      <bottom/>
      <diagonal/>
    </border>
    <border>
      <left style="medium">
        <color rgb="FF000000"/>
      </left>
      <right/>
      <top style="thin">
        <color rgb="FF000000"/>
      </top>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medium">
        <color rgb="FF000000"/>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top style="medium">
        <color indexed="64"/>
      </top>
      <bottom style="medium">
        <color indexed="64"/>
      </bottom>
      <diagonal/>
    </border>
    <border>
      <left/>
      <right style="medium">
        <color indexed="64"/>
      </right>
      <top/>
      <bottom style="thin">
        <color rgb="FF000000"/>
      </bottom>
      <diagonal/>
    </border>
    <border>
      <left style="thin">
        <color rgb="FF000000"/>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indexed="64"/>
      </right>
      <top style="medium">
        <color indexed="64"/>
      </top>
      <bottom style="thin">
        <color indexed="64"/>
      </bottom>
      <diagonal/>
    </border>
    <border>
      <left style="thin">
        <color rgb="FF000000"/>
      </left>
      <right style="medium">
        <color indexed="64"/>
      </right>
      <top/>
      <bottom/>
      <diagonal/>
    </border>
    <border>
      <left style="medium">
        <color indexed="64"/>
      </left>
      <right/>
      <top/>
      <bottom style="medium">
        <color rgb="FF000000"/>
      </bottom>
      <diagonal/>
    </border>
    <border>
      <left style="thin">
        <color rgb="FF000000"/>
      </left>
      <right style="medium">
        <color indexed="64"/>
      </right>
      <top/>
      <bottom style="medium">
        <color rgb="FF000000"/>
      </bottom>
      <diagonal/>
    </border>
    <border>
      <left style="thin">
        <color rgb="FF000000"/>
      </left>
      <right style="medium">
        <color rgb="FF000000"/>
      </right>
      <top style="thin">
        <color rgb="FF000000"/>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thin">
        <color auto="1"/>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10">
    <xf numFmtId="0" fontId="0" fillId="0" borderId="0"/>
    <xf numFmtId="0" fontId="1" fillId="0" borderId="0"/>
    <xf numFmtId="0" fontId="34" fillId="0" borderId="0" applyNumberFormat="0" applyFill="0" applyBorder="0" applyAlignment="0" applyProtection="0"/>
    <xf numFmtId="0" fontId="56" fillId="0" borderId="0"/>
    <xf numFmtId="44" fontId="61" fillId="0" borderId="0" applyFont="0" applyFill="0" applyBorder="0" applyAlignment="0" applyProtection="0"/>
    <xf numFmtId="0" fontId="68" fillId="0" borderId="0"/>
    <xf numFmtId="41" fontId="68" fillId="0" borderId="0" applyFont="0" applyFill="0" applyBorder="0" applyAlignment="0" applyProtection="0"/>
    <xf numFmtId="44" fontId="68" fillId="0" borderId="0" applyFont="0" applyFill="0" applyBorder="0" applyAlignment="0" applyProtection="0"/>
    <xf numFmtId="9" fontId="68" fillId="0" borderId="0" applyFont="0" applyFill="0" applyBorder="0" applyAlignment="0" applyProtection="0"/>
    <xf numFmtId="9" fontId="61" fillId="0" borderId="0" applyFont="0" applyFill="0" applyBorder="0" applyAlignment="0" applyProtection="0"/>
  </cellStyleXfs>
  <cellXfs count="1960">
    <xf numFmtId="0" fontId="0" fillId="0" borderId="0" xfId="0"/>
    <xf numFmtId="0" fontId="4" fillId="3" borderId="0" xfId="1" applyFont="1" applyFill="1" applyProtection="1">
      <protection locked="0"/>
    </xf>
    <xf numFmtId="0" fontId="4" fillId="2" borderId="0" xfId="1" applyFont="1" applyFill="1" applyProtection="1">
      <protection locked="0"/>
    </xf>
    <xf numFmtId="0" fontId="1" fillId="2" borderId="0" xfId="1" applyFill="1" applyProtection="1">
      <protection locked="0"/>
    </xf>
    <xf numFmtId="0" fontId="1" fillId="3" borderId="0" xfId="1" applyFill="1" applyProtection="1">
      <protection locked="0"/>
    </xf>
    <xf numFmtId="0" fontId="5" fillId="3" borderId="0" xfId="1" applyFont="1" applyFill="1" applyAlignment="1" applyProtection="1">
      <alignment vertical="center"/>
      <protection locked="0"/>
    </xf>
    <xf numFmtId="0" fontId="7" fillId="3" borderId="0" xfId="1" applyFont="1" applyFill="1" applyProtection="1">
      <protection locked="0"/>
    </xf>
    <xf numFmtId="0" fontId="7" fillId="2" borderId="0" xfId="1" applyFont="1" applyFill="1" applyProtection="1">
      <protection locked="0"/>
    </xf>
    <xf numFmtId="0" fontId="5" fillId="3" borderId="0" xfId="1" applyFont="1" applyFill="1" applyAlignment="1" applyProtection="1">
      <alignment horizontal="center" vertical="center"/>
      <protection locked="0"/>
    </xf>
    <xf numFmtId="0" fontId="8" fillId="4" borderId="10" xfId="1" applyFont="1" applyFill="1" applyBorder="1" applyAlignment="1">
      <alignment horizontal="left" vertical="center"/>
    </xf>
    <xf numFmtId="0" fontId="8" fillId="4" borderId="14" xfId="1" applyFont="1" applyFill="1" applyBorder="1" applyAlignment="1">
      <alignment horizontal="left" vertical="center"/>
    </xf>
    <xf numFmtId="0" fontId="7" fillId="3" borderId="0" xfId="1" applyFont="1" applyFill="1" applyAlignment="1" applyProtection="1">
      <alignment vertical="center"/>
      <protection locked="0"/>
    </xf>
    <xf numFmtId="0" fontId="7" fillId="2" borderId="0" xfId="1" applyFont="1" applyFill="1" applyAlignment="1" applyProtection="1">
      <alignment vertical="center"/>
      <protection locked="0"/>
    </xf>
    <xf numFmtId="0" fontId="4" fillId="2" borderId="0" xfId="1" applyFont="1" applyFill="1" applyAlignment="1" applyProtection="1">
      <alignment vertical="center"/>
      <protection locked="0"/>
    </xf>
    <xf numFmtId="0" fontId="4" fillId="2" borderId="0" xfId="1" applyFont="1" applyFill="1" applyAlignment="1" applyProtection="1">
      <alignment horizontal="center" vertical="center"/>
      <protection locked="0"/>
    </xf>
    <xf numFmtId="0" fontId="8" fillId="4" borderId="18" xfId="1" applyFont="1" applyFill="1" applyBorder="1" applyAlignment="1">
      <alignment horizontal="left" vertical="center"/>
    </xf>
    <xf numFmtId="0" fontId="8" fillId="4" borderId="22" xfId="1" applyFont="1" applyFill="1" applyBorder="1" applyAlignment="1">
      <alignment horizontal="left" vertical="center"/>
    </xf>
    <xf numFmtId="0" fontId="8" fillId="4" borderId="19" xfId="1" applyFont="1" applyFill="1" applyBorder="1" applyAlignment="1">
      <alignment horizontal="left" vertical="center"/>
    </xf>
    <xf numFmtId="0" fontId="4" fillId="3" borderId="0" xfId="1" applyFont="1" applyFill="1" applyAlignment="1" applyProtection="1">
      <alignment vertical="center"/>
      <protection locked="0"/>
    </xf>
    <xf numFmtId="0" fontId="8" fillId="4" borderId="23" xfId="1" applyFont="1" applyFill="1" applyBorder="1" applyAlignment="1">
      <alignment horizontal="left" vertical="center"/>
    </xf>
    <xf numFmtId="0" fontId="8" fillId="4" borderId="27" xfId="1" applyFont="1" applyFill="1" applyBorder="1" applyAlignment="1">
      <alignment horizontal="left" vertical="center"/>
    </xf>
    <xf numFmtId="0" fontId="1" fillId="3" borderId="0" xfId="1" applyFill="1"/>
    <xf numFmtId="0" fontId="8" fillId="4" borderId="10" xfId="1" applyFont="1" applyFill="1" applyBorder="1" applyAlignment="1">
      <alignment vertical="center"/>
    </xf>
    <xf numFmtId="0" fontId="8" fillId="4" borderId="18" xfId="1" applyFont="1" applyFill="1" applyBorder="1" applyAlignment="1">
      <alignment vertical="center"/>
    </xf>
    <xf numFmtId="0" fontId="8" fillId="4" borderId="23" xfId="1" applyFont="1" applyFill="1" applyBorder="1" applyAlignment="1">
      <alignment vertical="center"/>
    </xf>
    <xf numFmtId="0" fontId="8" fillId="4" borderId="10" xfId="1" applyFont="1" applyFill="1" applyBorder="1" applyAlignment="1">
      <alignment vertical="center" wrapText="1"/>
    </xf>
    <xf numFmtId="0" fontId="8" fillId="4" borderId="18" xfId="1" applyFont="1" applyFill="1" applyBorder="1" applyAlignment="1">
      <alignment vertical="center" wrapText="1"/>
    </xf>
    <xf numFmtId="0" fontId="8" fillId="4" borderId="22" xfId="1" applyFont="1" applyFill="1" applyBorder="1" applyAlignment="1">
      <alignment horizontal="center" vertical="center"/>
    </xf>
    <xf numFmtId="9" fontId="8" fillId="2" borderId="22" xfId="1" applyNumberFormat="1" applyFont="1" applyFill="1" applyBorder="1" applyAlignment="1" applyProtection="1">
      <alignment horizontal="center" vertical="center"/>
      <protection locked="0"/>
    </xf>
    <xf numFmtId="0" fontId="8" fillId="2" borderId="22" xfId="1" applyFont="1" applyFill="1" applyBorder="1" applyAlignment="1" applyProtection="1">
      <alignment horizontal="center" vertical="center"/>
      <protection locked="0"/>
    </xf>
    <xf numFmtId="0" fontId="8" fillId="2" borderId="19" xfId="1" applyFont="1" applyFill="1" applyBorder="1" applyAlignment="1" applyProtection="1">
      <alignment horizontal="center" vertical="center"/>
      <protection locked="0"/>
    </xf>
    <xf numFmtId="0" fontId="8" fillId="4" borderId="31" xfId="1" applyFont="1" applyFill="1" applyBorder="1" applyAlignment="1">
      <alignment horizontal="center" vertical="center"/>
    </xf>
    <xf numFmtId="0" fontId="8" fillId="2" borderId="31" xfId="1" applyFont="1" applyFill="1" applyBorder="1" applyAlignment="1" applyProtection="1">
      <alignment horizontal="center" vertical="center"/>
      <protection locked="0"/>
    </xf>
    <xf numFmtId="0" fontId="4" fillId="2" borderId="22" xfId="1" applyFont="1" applyFill="1" applyBorder="1" applyAlignment="1" applyProtection="1">
      <alignment horizontal="left" vertical="center"/>
      <protection locked="0"/>
    </xf>
    <xf numFmtId="0" fontId="4" fillId="2" borderId="27" xfId="1" applyFont="1" applyFill="1" applyBorder="1" applyAlignment="1" applyProtection="1">
      <alignment horizontal="left" vertical="center"/>
      <protection locked="0"/>
    </xf>
    <xf numFmtId="0" fontId="8" fillId="2" borderId="27" xfId="1" applyFont="1" applyFill="1" applyBorder="1" applyAlignment="1" applyProtection="1">
      <alignment horizontal="center" vertical="center"/>
      <protection locked="0"/>
    </xf>
    <xf numFmtId="0" fontId="8" fillId="4" borderId="36" xfId="1" applyFont="1" applyFill="1" applyBorder="1" applyAlignment="1">
      <alignment vertical="center" wrapText="1"/>
    </xf>
    <xf numFmtId="0" fontId="8" fillId="3" borderId="0" xfId="1" applyFont="1" applyFill="1" applyAlignment="1" applyProtection="1">
      <alignment vertical="center" wrapText="1"/>
      <protection locked="0"/>
    </xf>
    <xf numFmtId="0" fontId="8" fillId="3" borderId="0" xfId="1" applyFont="1" applyFill="1" applyAlignment="1" applyProtection="1">
      <alignment horizontal="center" vertical="center"/>
      <protection locked="0"/>
    </xf>
    <xf numFmtId="0" fontId="8" fillId="2" borderId="0" xfId="1" applyFont="1" applyFill="1" applyAlignment="1" applyProtection="1">
      <alignment horizontal="center" vertical="center"/>
      <protection locked="0"/>
    </xf>
    <xf numFmtId="0" fontId="12" fillId="2" borderId="0" xfId="1" applyFont="1" applyFill="1" applyAlignment="1" applyProtection="1">
      <alignment vertical="center" wrapText="1"/>
      <protection locked="0"/>
    </xf>
    <xf numFmtId="164" fontId="4" fillId="2" borderId="0" xfId="1" applyNumberFormat="1" applyFont="1" applyFill="1" applyProtection="1">
      <protection locked="0"/>
    </xf>
    <xf numFmtId="0" fontId="4" fillId="3" borderId="37" xfId="1" applyFont="1" applyFill="1" applyBorder="1"/>
    <xf numFmtId="0" fontId="4" fillId="3" borderId="0" xfId="1" applyFont="1" applyFill="1"/>
    <xf numFmtId="0" fontId="4" fillId="2" borderId="0" xfId="1" applyFont="1" applyFill="1"/>
    <xf numFmtId="0" fontId="5" fillId="3" borderId="0" xfId="1" applyFont="1" applyFill="1" applyAlignment="1">
      <alignment vertical="center"/>
    </xf>
    <xf numFmtId="0" fontId="1" fillId="2" borderId="0" xfId="1" applyFill="1"/>
    <xf numFmtId="0" fontId="4" fillId="3" borderId="38" xfId="1" applyFont="1" applyFill="1" applyBorder="1"/>
    <xf numFmtId="0" fontId="4" fillId="3" borderId="0" xfId="1" applyFont="1" applyFill="1" applyAlignment="1">
      <alignment horizontal="center" vertical="center"/>
    </xf>
    <xf numFmtId="0" fontId="8" fillId="2" borderId="47" xfId="1" applyFont="1" applyFill="1" applyBorder="1" applyAlignment="1">
      <alignment horizontal="center" vertical="center"/>
    </xf>
    <xf numFmtId="0" fontId="8" fillId="2" borderId="48" xfId="1" applyFont="1" applyFill="1" applyBorder="1" applyAlignment="1">
      <alignment horizontal="center" vertical="center"/>
    </xf>
    <xf numFmtId="0" fontId="4" fillId="3" borderId="0" xfId="1" applyFont="1" applyFill="1" applyAlignment="1">
      <alignment vertical="center"/>
    </xf>
    <xf numFmtId="0" fontId="8" fillId="2" borderId="49" xfId="1" applyFont="1" applyFill="1" applyBorder="1" applyAlignment="1">
      <alignment horizontal="center" vertical="center"/>
    </xf>
    <xf numFmtId="0" fontId="8" fillId="2" borderId="50" xfId="1" applyFont="1" applyFill="1" applyBorder="1" applyAlignment="1">
      <alignment horizontal="center" vertical="center"/>
    </xf>
    <xf numFmtId="0" fontId="8" fillId="2" borderId="51" xfId="1" applyFont="1" applyFill="1" applyBorder="1" applyAlignment="1">
      <alignment horizontal="center" vertical="center"/>
    </xf>
    <xf numFmtId="0" fontId="4" fillId="3" borderId="38" xfId="1" applyFont="1" applyFill="1" applyBorder="1" applyAlignment="1">
      <alignment horizontal="center"/>
    </xf>
    <xf numFmtId="0" fontId="4" fillId="3" borderId="0" xfId="1" applyFont="1" applyFill="1" applyAlignment="1">
      <alignment horizontal="center"/>
    </xf>
    <xf numFmtId="0" fontId="4" fillId="2" borderId="0" xfId="1" applyFont="1" applyFill="1" applyAlignment="1">
      <alignment horizontal="center"/>
    </xf>
    <xf numFmtId="0" fontId="19" fillId="3" borderId="0" xfId="1" applyFont="1" applyFill="1"/>
    <xf numFmtId="0" fontId="8" fillId="2" borderId="0" xfId="1" applyFont="1" applyFill="1" applyAlignment="1">
      <alignment horizontal="left" vertical="center"/>
    </xf>
    <xf numFmtId="0" fontId="8" fillId="2" borderId="58" xfId="1" applyFont="1" applyFill="1" applyBorder="1" applyAlignment="1">
      <alignment horizontal="center" vertical="center"/>
    </xf>
    <xf numFmtId="0" fontId="4" fillId="3" borderId="0" xfId="1" applyFont="1" applyFill="1" applyAlignment="1">
      <alignment horizontal="left" vertical="center"/>
    </xf>
    <xf numFmtId="0" fontId="4" fillId="2" borderId="0" xfId="1" applyFont="1" applyFill="1" applyAlignment="1">
      <alignment horizontal="left" vertical="center"/>
    </xf>
    <xf numFmtId="0" fontId="4" fillId="2" borderId="0" xfId="1" applyFont="1" applyFill="1" applyAlignment="1">
      <alignment horizontal="left" vertical="center" wrapText="1"/>
    </xf>
    <xf numFmtId="0" fontId="4" fillId="2" borderId="0" xfId="1" applyFont="1" applyFill="1" applyAlignment="1">
      <alignment vertical="center"/>
    </xf>
    <xf numFmtId="0" fontId="1" fillId="6" borderId="0" xfId="1" applyFill="1"/>
    <xf numFmtId="0" fontId="4" fillId="6" borderId="0" xfId="1" applyFont="1" applyFill="1"/>
    <xf numFmtId="0" fontId="26" fillId="2" borderId="50" xfId="1" applyFont="1" applyFill="1" applyBorder="1" applyAlignment="1">
      <alignment horizontal="center" vertical="center"/>
    </xf>
    <xf numFmtId="0" fontId="8" fillId="2" borderId="22" xfId="1" applyFont="1" applyFill="1" applyBorder="1" applyAlignment="1">
      <alignment horizontal="center" vertical="center"/>
    </xf>
    <xf numFmtId="0" fontId="4" fillId="2" borderId="22" xfId="1" applyFont="1" applyFill="1" applyBorder="1" applyAlignment="1">
      <alignment horizontal="left" vertical="center"/>
    </xf>
    <xf numFmtId="0" fontId="8" fillId="3" borderId="0" xfId="1" applyFont="1" applyFill="1" applyAlignment="1">
      <alignment horizontal="left" vertical="center"/>
    </xf>
    <xf numFmtId="0" fontId="8" fillId="2" borderId="51" xfId="1" applyFont="1" applyFill="1" applyBorder="1" applyAlignment="1">
      <alignment horizontal="center"/>
    </xf>
    <xf numFmtId="0" fontId="8" fillId="2" borderId="48" xfId="1" applyFont="1" applyFill="1" applyBorder="1" applyAlignment="1">
      <alignment horizontal="center"/>
    </xf>
    <xf numFmtId="0" fontId="14" fillId="3" borderId="0" xfId="1" applyFont="1" applyFill="1" applyAlignment="1">
      <alignment horizontal="left" vertical="center"/>
    </xf>
    <xf numFmtId="0" fontId="8" fillId="2" borderId="47" xfId="1" applyFont="1" applyFill="1" applyBorder="1" applyAlignment="1">
      <alignment horizontal="center"/>
    </xf>
    <xf numFmtId="165" fontId="4" fillId="2" borderId="22" xfId="1" applyNumberFormat="1" applyFont="1" applyFill="1" applyBorder="1"/>
    <xf numFmtId="166" fontId="4" fillId="2" borderId="22" xfId="1" applyNumberFormat="1" applyFont="1" applyFill="1" applyBorder="1"/>
    <xf numFmtId="166" fontId="4" fillId="2" borderId="76" xfId="1" applyNumberFormat="1" applyFont="1" applyFill="1" applyBorder="1"/>
    <xf numFmtId="165" fontId="8" fillId="2" borderId="22" xfId="1" applyNumberFormat="1" applyFont="1" applyFill="1" applyBorder="1"/>
    <xf numFmtId="165" fontId="8" fillId="2" borderId="76" xfId="1" applyNumberFormat="1" applyFont="1" applyFill="1" applyBorder="1"/>
    <xf numFmtId="165" fontId="4" fillId="5" borderId="22" xfId="1" applyNumberFormat="1" applyFont="1" applyFill="1" applyBorder="1"/>
    <xf numFmtId="165" fontId="8" fillId="2" borderId="92" xfId="1" applyNumberFormat="1" applyFont="1" applyFill="1" applyBorder="1"/>
    <xf numFmtId="165" fontId="8" fillId="2" borderId="93" xfId="1" applyNumberFormat="1" applyFont="1" applyFill="1" applyBorder="1"/>
    <xf numFmtId="165" fontId="8" fillId="2" borderId="97" xfId="1" applyNumberFormat="1" applyFont="1" applyFill="1" applyBorder="1"/>
    <xf numFmtId="165" fontId="8" fillId="2" borderId="98" xfId="1" applyNumberFormat="1" applyFont="1" applyFill="1" applyBorder="1"/>
    <xf numFmtId="0" fontId="4" fillId="2" borderId="14" xfId="1" applyFont="1" applyFill="1" applyBorder="1" applyAlignment="1" applyProtection="1">
      <alignment horizontal="center" vertical="center"/>
      <protection locked="0"/>
    </xf>
    <xf numFmtId="0" fontId="4" fillId="2" borderId="22" xfId="1" applyFont="1" applyFill="1" applyBorder="1" applyAlignment="1" applyProtection="1">
      <alignment horizontal="center" vertical="center"/>
      <protection locked="0"/>
    </xf>
    <xf numFmtId="0" fontId="4" fillId="2" borderId="27" xfId="1" applyFont="1" applyFill="1" applyBorder="1" applyAlignment="1" applyProtection="1">
      <alignment horizontal="center" vertical="center"/>
      <protection locked="0"/>
    </xf>
    <xf numFmtId="10" fontId="4" fillId="5" borderId="55" xfId="1" applyNumberFormat="1" applyFont="1" applyFill="1" applyBorder="1" applyAlignment="1">
      <alignment horizontal="center" vertical="center"/>
    </xf>
    <xf numFmtId="10" fontId="4" fillId="5" borderId="56" xfId="1" applyNumberFormat="1" applyFont="1" applyFill="1" applyBorder="1" applyAlignment="1">
      <alignment horizontal="center" vertical="center"/>
    </xf>
    <xf numFmtId="10" fontId="4" fillId="5" borderId="57" xfId="1" applyNumberFormat="1" applyFont="1" applyFill="1" applyBorder="1" applyAlignment="1">
      <alignment horizontal="center" vertical="center"/>
    </xf>
    <xf numFmtId="10" fontId="4" fillId="5" borderId="52" xfId="1" applyNumberFormat="1" applyFont="1" applyFill="1" applyBorder="1" applyAlignment="1">
      <alignment horizontal="center" vertical="center"/>
    </xf>
    <xf numFmtId="10" fontId="4" fillId="5" borderId="53" xfId="1" applyNumberFormat="1" applyFont="1" applyFill="1" applyBorder="1" applyAlignment="1">
      <alignment horizontal="center" vertical="center"/>
    </xf>
    <xf numFmtId="10" fontId="4" fillId="5" borderId="54" xfId="1" applyNumberFormat="1" applyFont="1" applyFill="1" applyBorder="1" applyAlignment="1">
      <alignment horizontal="center" vertical="center"/>
    </xf>
    <xf numFmtId="0" fontId="36" fillId="8" borderId="0" xfId="0" applyFont="1" applyFill="1"/>
    <xf numFmtId="0" fontId="37" fillId="2" borderId="0" xfId="0" applyFont="1" applyFill="1"/>
    <xf numFmtId="0" fontId="38" fillId="2" borderId="0" xfId="0" applyFont="1" applyFill="1"/>
    <xf numFmtId="0" fontId="38" fillId="0" borderId="0" xfId="0" applyFont="1"/>
    <xf numFmtId="0" fontId="40" fillId="10" borderId="0" xfId="0" applyFont="1" applyFill="1" applyAlignment="1">
      <alignment vertical="center"/>
    </xf>
    <xf numFmtId="0" fontId="40" fillId="10" borderId="0" xfId="0" applyFont="1" applyFill="1" applyAlignment="1">
      <alignment vertical="center" wrapText="1"/>
    </xf>
    <xf numFmtId="0" fontId="40" fillId="10" borderId="101" xfId="0" applyFont="1" applyFill="1" applyBorder="1" applyAlignment="1">
      <alignment vertical="center" wrapText="1"/>
    </xf>
    <xf numFmtId="0" fontId="40" fillId="10" borderId="102" xfId="0" applyFont="1" applyFill="1" applyBorder="1" applyAlignment="1">
      <alignment vertical="center"/>
    </xf>
    <xf numFmtId="0" fontId="40" fillId="10" borderId="102" xfId="0" applyFont="1" applyFill="1" applyBorder="1" applyAlignment="1">
      <alignment vertical="center" wrapText="1"/>
    </xf>
    <xf numFmtId="0" fontId="40" fillId="10" borderId="103" xfId="0" applyFont="1" applyFill="1" applyBorder="1" applyAlignment="1">
      <alignment vertical="center" wrapText="1"/>
    </xf>
    <xf numFmtId="0" fontId="42" fillId="0" borderId="0" xfId="2" applyFont="1" applyFill="1" applyBorder="1" applyAlignment="1">
      <alignment horizontal="right"/>
    </xf>
    <xf numFmtId="0" fontId="43" fillId="0" borderId="0" xfId="0" applyFont="1" applyAlignment="1">
      <alignment horizontal="center" vertical="center" wrapText="1"/>
    </xf>
    <xf numFmtId="0" fontId="44" fillId="0" borderId="0" xfId="0" applyFont="1" applyAlignment="1">
      <alignment wrapText="1"/>
    </xf>
    <xf numFmtId="0" fontId="44" fillId="0" borderId="0" xfId="0" applyFont="1"/>
    <xf numFmtId="0" fontId="45" fillId="11" borderId="104" xfId="0" applyFont="1" applyFill="1" applyBorder="1" applyAlignment="1">
      <alignment horizontal="center" vertical="center" wrapText="1"/>
    </xf>
    <xf numFmtId="0" fontId="45" fillId="11" borderId="105" xfId="0" applyFont="1" applyFill="1" applyBorder="1" applyAlignment="1">
      <alignment horizontal="center" vertical="center" wrapText="1"/>
    </xf>
    <xf numFmtId="0" fontId="45" fillId="11" borderId="106" xfId="0" applyFont="1" applyFill="1" applyBorder="1" applyAlignment="1">
      <alignment horizontal="center" vertical="center" wrapText="1"/>
    </xf>
    <xf numFmtId="0" fontId="44" fillId="0" borderId="107" xfId="0" applyFont="1" applyBorder="1"/>
    <xf numFmtId="0" fontId="44" fillId="0" borderId="101" xfId="0" applyFont="1" applyBorder="1"/>
    <xf numFmtId="0" fontId="47" fillId="7" borderId="109" xfId="0" applyFont="1" applyFill="1" applyBorder="1"/>
    <xf numFmtId="0" fontId="47" fillId="7" borderId="110" xfId="0" applyFont="1" applyFill="1" applyBorder="1"/>
    <xf numFmtId="0" fontId="47" fillId="0" borderId="0" xfId="0" applyFont="1"/>
    <xf numFmtId="0" fontId="43" fillId="0" borderId="107" xfId="0" applyFont="1" applyBorder="1" applyAlignment="1">
      <alignment horizontal="center"/>
    </xf>
    <xf numFmtId="0" fontId="43" fillId="0" borderId="0" xfId="0" applyFont="1" applyAlignment="1">
      <alignment horizontal="center"/>
    </xf>
    <xf numFmtId="0" fontId="43" fillId="0" borderId="0" xfId="0" applyFont="1" applyAlignment="1">
      <alignment horizontal="center" wrapText="1"/>
    </xf>
    <xf numFmtId="0" fontId="48" fillId="12" borderId="107" xfId="0" applyFont="1" applyFill="1" applyBorder="1" applyAlignment="1">
      <alignment vertical="center"/>
    </xf>
    <xf numFmtId="0" fontId="48" fillId="12" borderId="0" xfId="0" applyFont="1" applyFill="1" applyAlignment="1">
      <alignment vertical="center"/>
    </xf>
    <xf numFmtId="0" fontId="48" fillId="12" borderId="0" xfId="0" applyFont="1" applyFill="1" applyAlignment="1">
      <alignment vertical="center" wrapText="1"/>
    </xf>
    <xf numFmtId="3" fontId="43" fillId="12" borderId="0" xfId="0" applyNumberFormat="1" applyFont="1" applyFill="1" applyAlignment="1">
      <alignment vertical="center"/>
    </xf>
    <xf numFmtId="3" fontId="43" fillId="12" borderId="101" xfId="0" applyNumberFormat="1" applyFont="1" applyFill="1" applyBorder="1" applyAlignment="1">
      <alignment vertical="center"/>
    </xf>
    <xf numFmtId="0" fontId="44" fillId="13" borderId="107" xfId="0" applyFont="1" applyFill="1" applyBorder="1" applyAlignment="1">
      <alignment vertical="center"/>
    </xf>
    <xf numFmtId="0" fontId="44" fillId="13" borderId="0" xfId="0" applyFont="1" applyFill="1" applyAlignment="1">
      <alignment vertical="center"/>
    </xf>
    <xf numFmtId="0" fontId="43" fillId="13" borderId="0" xfId="0" applyFont="1" applyFill="1" applyAlignment="1">
      <alignment vertical="center"/>
    </xf>
    <xf numFmtId="0" fontId="49" fillId="13" borderId="0" xfId="0" applyFont="1" applyFill="1" applyAlignment="1">
      <alignment horizontal="left" vertical="center" wrapText="1" indent="1"/>
    </xf>
    <xf numFmtId="3" fontId="49" fillId="13" borderId="0" xfId="0" applyNumberFormat="1" applyFont="1" applyFill="1" applyAlignment="1">
      <alignment vertical="center"/>
    </xf>
    <xf numFmtId="3" fontId="49" fillId="13" borderId="101" xfId="0" applyNumberFormat="1" applyFont="1" applyFill="1" applyBorder="1" applyAlignment="1">
      <alignment vertical="center"/>
    </xf>
    <xf numFmtId="0" fontId="44" fillId="12" borderId="107" xfId="0" applyFont="1" applyFill="1" applyBorder="1" applyAlignment="1">
      <alignment vertical="center"/>
    </xf>
    <xf numFmtId="0" fontId="44" fillId="12" borderId="0" xfId="0" applyFont="1" applyFill="1" applyAlignment="1">
      <alignment vertical="center"/>
    </xf>
    <xf numFmtId="0" fontId="43" fillId="12" borderId="0" xfId="0" applyFont="1" applyFill="1" applyAlignment="1">
      <alignment vertical="center"/>
    </xf>
    <xf numFmtId="0" fontId="44" fillId="12" borderId="0" xfId="0" quotePrefix="1" applyFont="1" applyFill="1" applyAlignment="1">
      <alignment vertical="center"/>
    </xf>
    <xf numFmtId="0" fontId="44" fillId="12" borderId="0" xfId="0" applyFont="1" applyFill="1" applyAlignment="1">
      <alignment horizontal="left" vertical="center" wrapText="1" indent="2"/>
    </xf>
    <xf numFmtId="3" fontId="44" fillId="12" borderId="0" xfId="0" applyNumberFormat="1" applyFont="1" applyFill="1" applyAlignment="1">
      <alignment vertical="center"/>
    </xf>
    <xf numFmtId="3" fontId="49" fillId="12" borderId="0" xfId="0" applyNumberFormat="1" applyFont="1" applyFill="1" applyAlignment="1">
      <alignment vertical="center"/>
    </xf>
    <xf numFmtId="3" fontId="49" fillId="12" borderId="101" xfId="0" applyNumberFormat="1" applyFont="1" applyFill="1" applyBorder="1" applyAlignment="1">
      <alignment vertical="center"/>
    </xf>
    <xf numFmtId="0" fontId="44" fillId="13" borderId="0" xfId="0" applyFont="1" applyFill="1" applyAlignment="1">
      <alignment vertical="center" wrapText="1"/>
    </xf>
    <xf numFmtId="0" fontId="44" fillId="13" borderId="0" xfId="0" applyFont="1" applyFill="1" applyAlignment="1">
      <alignment horizontal="left" vertical="center" wrapText="1" indent="2"/>
    </xf>
    <xf numFmtId="3" fontId="44" fillId="13" borderId="0" xfId="0" applyNumberFormat="1" applyFont="1" applyFill="1" applyAlignment="1">
      <alignment vertical="center"/>
    </xf>
    <xf numFmtId="3" fontId="44" fillId="13" borderId="101" xfId="0" applyNumberFormat="1" applyFont="1" applyFill="1" applyBorder="1" applyAlignment="1">
      <alignment vertical="center"/>
    </xf>
    <xf numFmtId="0" fontId="44" fillId="12" borderId="0" xfId="0" applyFont="1" applyFill="1" applyAlignment="1">
      <alignment vertical="center" wrapText="1"/>
    </xf>
    <xf numFmtId="3" fontId="44" fillId="12" borderId="101" xfId="0" applyNumberFormat="1" applyFont="1" applyFill="1" applyBorder="1" applyAlignment="1">
      <alignment vertical="center"/>
    </xf>
    <xf numFmtId="0" fontId="48" fillId="13" borderId="107" xfId="0" applyFont="1" applyFill="1" applyBorder="1" applyAlignment="1">
      <alignment vertical="center"/>
    </xf>
    <xf numFmtId="0" fontId="48" fillId="13" borderId="0" xfId="0" applyFont="1" applyFill="1" applyAlignment="1">
      <alignment vertical="center"/>
    </xf>
    <xf numFmtId="0" fontId="48" fillId="13" borderId="0" xfId="0" applyFont="1" applyFill="1" applyAlignment="1">
      <alignment vertical="center" wrapText="1"/>
    </xf>
    <xf numFmtId="3" fontId="43" fillId="13" borderId="0" xfId="0" applyNumberFormat="1" applyFont="1" applyFill="1" applyAlignment="1">
      <alignment vertical="center"/>
    </xf>
    <xf numFmtId="3" fontId="43" fillId="13" borderId="101" xfId="0" applyNumberFormat="1" applyFont="1" applyFill="1" applyBorder="1" applyAlignment="1">
      <alignment vertical="center"/>
    </xf>
    <xf numFmtId="0" fontId="43" fillId="12" borderId="107" xfId="0" applyFont="1" applyFill="1" applyBorder="1" applyAlignment="1">
      <alignment vertical="center"/>
    </xf>
    <xf numFmtId="0" fontId="49" fillId="12" borderId="0" xfId="0" applyFont="1" applyFill="1" applyAlignment="1">
      <alignment horizontal="left" vertical="center" wrapText="1" indent="1"/>
    </xf>
    <xf numFmtId="0" fontId="43" fillId="13" borderId="107" xfId="0" applyFont="1" applyFill="1" applyBorder="1" applyAlignment="1">
      <alignment vertical="center"/>
    </xf>
    <xf numFmtId="0" fontId="44" fillId="13" borderId="0" xfId="0" applyFont="1" applyFill="1" applyAlignment="1">
      <alignment horizontal="left" vertical="center" wrapText="1" indent="1"/>
    </xf>
    <xf numFmtId="0" fontId="44" fillId="12" borderId="0" xfId="0" applyFont="1" applyFill="1" applyAlignment="1">
      <alignment horizontal="left" vertical="center" wrapText="1" indent="1"/>
    </xf>
    <xf numFmtId="0" fontId="48" fillId="14" borderId="107" xfId="0" applyFont="1" applyFill="1" applyBorder="1" applyAlignment="1">
      <alignment vertical="center"/>
    </xf>
    <xf numFmtId="0" fontId="48" fillId="14" borderId="0" xfId="0" applyFont="1" applyFill="1" applyAlignment="1">
      <alignment vertical="center"/>
    </xf>
    <xf numFmtId="0" fontId="48" fillId="14" borderId="0" xfId="0" applyFont="1" applyFill="1" applyAlignment="1">
      <alignment vertical="center" wrapText="1"/>
    </xf>
    <xf numFmtId="3" fontId="43" fillId="14" borderId="0" xfId="0" applyNumberFormat="1" applyFont="1" applyFill="1" applyAlignment="1">
      <alignment vertical="center"/>
    </xf>
    <xf numFmtId="3" fontId="43" fillId="14" borderId="101" xfId="0" applyNumberFormat="1" applyFont="1" applyFill="1" applyBorder="1" applyAlignment="1">
      <alignment vertical="center"/>
    </xf>
    <xf numFmtId="0" fontId="44" fillId="14" borderId="0" xfId="0" applyFont="1" applyFill="1"/>
    <xf numFmtId="0" fontId="43" fillId="12" borderId="107" xfId="0" applyFont="1" applyFill="1" applyBorder="1"/>
    <xf numFmtId="0" fontId="43" fillId="12" borderId="0" xfId="0" applyFont="1" applyFill="1"/>
    <xf numFmtId="0" fontId="43" fillId="12" borderId="0" xfId="0" applyFont="1" applyFill="1" applyAlignment="1">
      <alignment vertical="center" wrapText="1"/>
    </xf>
    <xf numFmtId="0" fontId="44" fillId="12" borderId="0" xfId="0" applyFont="1" applyFill="1"/>
    <xf numFmtId="3" fontId="43" fillId="12" borderId="0" xfId="0" applyNumberFormat="1" applyFont="1" applyFill="1"/>
    <xf numFmtId="3" fontId="43" fillId="12" borderId="101" xfId="0" applyNumberFormat="1" applyFont="1" applyFill="1" applyBorder="1"/>
    <xf numFmtId="0" fontId="44" fillId="13" borderId="107" xfId="0" applyFont="1" applyFill="1" applyBorder="1" applyAlignment="1">
      <alignment vertical="center" wrapText="1"/>
    </xf>
    <xf numFmtId="0" fontId="44" fillId="13" borderId="0" xfId="0" applyFont="1" applyFill="1"/>
    <xf numFmtId="3" fontId="44" fillId="13" borderId="0" xfId="0" applyNumberFormat="1" applyFont="1" applyFill="1"/>
    <xf numFmtId="3" fontId="44" fillId="13" borderId="101" xfId="0" applyNumberFormat="1" applyFont="1" applyFill="1" applyBorder="1"/>
    <xf numFmtId="0" fontId="43" fillId="12" borderId="111" xfId="0" applyFont="1" applyFill="1" applyBorder="1" applyAlignment="1">
      <alignment vertical="center" wrapText="1"/>
    </xf>
    <xf numFmtId="0" fontId="43" fillId="12" borderId="112" xfId="0" applyFont="1" applyFill="1" applyBorder="1" applyAlignment="1">
      <alignment vertical="center" wrapText="1"/>
    </xf>
    <xf numFmtId="0" fontId="44" fillId="12" borderId="112" xfId="0" applyFont="1" applyFill="1" applyBorder="1"/>
    <xf numFmtId="3" fontId="43" fillId="12" borderId="112" xfId="0" applyNumberFormat="1" applyFont="1" applyFill="1" applyBorder="1"/>
    <xf numFmtId="3" fontId="43" fillId="12" borderId="113" xfId="0" applyNumberFormat="1" applyFont="1" applyFill="1" applyBorder="1"/>
    <xf numFmtId="3" fontId="44" fillId="0" borderId="0" xfId="0" applyNumberFormat="1" applyFont="1"/>
    <xf numFmtId="3" fontId="44" fillId="0" borderId="112" xfId="0" applyNumberFormat="1" applyFont="1" applyBorder="1"/>
    <xf numFmtId="3" fontId="44" fillId="0" borderId="114" xfId="0" applyNumberFormat="1" applyFont="1" applyBorder="1"/>
    <xf numFmtId="3" fontId="44" fillId="0" borderId="115" xfId="0" applyNumberFormat="1" applyFont="1" applyBorder="1"/>
    <xf numFmtId="3" fontId="47" fillId="7" borderId="109" xfId="0" applyNumberFormat="1" applyFont="1" applyFill="1" applyBorder="1"/>
    <xf numFmtId="3" fontId="47" fillId="7" borderId="110" xfId="0" applyNumberFormat="1" applyFont="1" applyFill="1" applyBorder="1"/>
    <xf numFmtId="3" fontId="44" fillId="0" borderId="101" xfId="0" applyNumberFormat="1" applyFont="1" applyBorder="1"/>
    <xf numFmtId="0" fontId="43" fillId="12" borderId="0" xfId="0" applyFont="1" applyFill="1" applyAlignment="1">
      <alignment wrapText="1"/>
    </xf>
    <xf numFmtId="0" fontId="49" fillId="0" borderId="107" xfId="0" applyFont="1" applyBorder="1" applyAlignment="1">
      <alignment horizontal="left" vertical="center" indent="1"/>
    </xf>
    <xf numFmtId="0" fontId="49" fillId="0" borderId="0" xfId="0" applyFont="1"/>
    <xf numFmtId="0" fontId="49" fillId="0" borderId="0" xfId="0" applyFont="1" applyAlignment="1">
      <alignment horizontal="left" indent="1"/>
    </xf>
    <xf numFmtId="0" fontId="49" fillId="0" borderId="0" xfId="0" applyFont="1" applyAlignment="1">
      <alignment horizontal="left" wrapText="1" indent="1"/>
    </xf>
    <xf numFmtId="3" fontId="49" fillId="0" borderId="0" xfId="0" applyNumberFormat="1" applyFont="1"/>
    <xf numFmtId="3" fontId="49" fillId="0" borderId="101" xfId="0" applyNumberFormat="1" applyFont="1" applyBorder="1"/>
    <xf numFmtId="0" fontId="44" fillId="12" borderId="107" xfId="0" applyFont="1" applyFill="1" applyBorder="1" applyAlignment="1">
      <alignment horizontal="left" vertical="center" indent="2"/>
    </xf>
    <xf numFmtId="0" fontId="44" fillId="12" borderId="0" xfId="0" applyFont="1" applyFill="1" applyAlignment="1">
      <alignment horizontal="left" indent="1"/>
    </xf>
    <xf numFmtId="0" fontId="44" fillId="12" borderId="0" xfId="0" applyFont="1" applyFill="1" applyAlignment="1">
      <alignment horizontal="left" indent="2"/>
    </xf>
    <xf numFmtId="0" fontId="44" fillId="12" borderId="0" xfId="0" applyFont="1" applyFill="1" applyAlignment="1">
      <alignment horizontal="left" wrapText="1" indent="2"/>
    </xf>
    <xf numFmtId="3" fontId="44" fillId="12" borderId="0" xfId="0" applyNumberFormat="1" applyFont="1" applyFill="1"/>
    <xf numFmtId="3" fontId="44" fillId="12" borderId="0" xfId="0" applyNumberFormat="1" applyFont="1" applyFill="1" applyAlignment="1">
      <alignment horizontal="right"/>
    </xf>
    <xf numFmtId="3" fontId="44" fillId="12" borderId="101" xfId="0" applyNumberFormat="1" applyFont="1" applyFill="1" applyBorder="1" applyAlignment="1">
      <alignment horizontal="right"/>
    </xf>
    <xf numFmtId="0" fontId="44" fillId="0" borderId="107" xfId="0" applyFont="1" applyBorder="1" applyAlignment="1">
      <alignment horizontal="left" vertical="center" indent="2"/>
    </xf>
    <xf numFmtId="0" fontId="44" fillId="0" borderId="0" xfId="0" applyFont="1" applyAlignment="1">
      <alignment horizontal="left" indent="1"/>
    </xf>
    <xf numFmtId="0" fontId="44" fillId="0" borderId="0" xfId="0" applyFont="1" applyAlignment="1">
      <alignment horizontal="left" indent="2"/>
    </xf>
    <xf numFmtId="0" fontId="44" fillId="0" borderId="0" xfId="0" applyFont="1" applyAlignment="1">
      <alignment horizontal="left" wrapText="1" indent="2"/>
    </xf>
    <xf numFmtId="3" fontId="44" fillId="0" borderId="0" xfId="0" applyNumberFormat="1" applyFont="1" applyAlignment="1">
      <alignment horizontal="right"/>
    </xf>
    <xf numFmtId="3" fontId="44" fillId="0" borderId="101" xfId="0" applyNumberFormat="1" applyFont="1" applyBorder="1" applyAlignment="1">
      <alignment horizontal="right"/>
    </xf>
    <xf numFmtId="0" fontId="49" fillId="12" borderId="107" xfId="0" applyFont="1" applyFill="1" applyBorder="1" applyAlignment="1">
      <alignment horizontal="left" indent="1"/>
    </xf>
    <xf numFmtId="0" fontId="49" fillId="12" borderId="0" xfId="0" applyFont="1" applyFill="1" applyAlignment="1">
      <alignment horizontal="left"/>
    </xf>
    <xf numFmtId="0" fontId="49" fillId="12" borderId="0" xfId="0" applyFont="1" applyFill="1" applyAlignment="1">
      <alignment horizontal="left" indent="1"/>
    </xf>
    <xf numFmtId="0" fontId="49" fillId="12" borderId="0" xfId="0" applyFont="1" applyFill="1" applyAlignment="1">
      <alignment horizontal="left" wrapText="1" indent="1"/>
    </xf>
    <xf numFmtId="3" fontId="49" fillId="12" borderId="0" xfId="0" applyNumberFormat="1" applyFont="1" applyFill="1"/>
    <xf numFmtId="3" fontId="49" fillId="12" borderId="101" xfId="0" applyNumberFormat="1" applyFont="1" applyFill="1" applyBorder="1"/>
    <xf numFmtId="0" fontId="44" fillId="0" borderId="107" xfId="0" applyFont="1" applyBorder="1" applyAlignment="1">
      <alignment horizontal="left" vertical="center" indent="1"/>
    </xf>
    <xf numFmtId="0" fontId="44" fillId="0" borderId="0" xfId="0" applyFont="1" applyAlignment="1">
      <alignment horizontal="left" wrapText="1"/>
    </xf>
    <xf numFmtId="0" fontId="44" fillId="0" borderId="107" xfId="0" applyFont="1" applyBorder="1" applyAlignment="1">
      <alignment horizontal="left" indent="1"/>
    </xf>
    <xf numFmtId="0" fontId="44" fillId="0" borderId="0" xfId="0" applyFont="1" applyAlignment="1">
      <alignment horizontal="left" wrapText="1" indent="1"/>
    </xf>
    <xf numFmtId="0" fontId="44" fillId="12" borderId="107" xfId="0" applyFont="1" applyFill="1" applyBorder="1" applyAlignment="1">
      <alignment horizontal="left" indent="2"/>
    </xf>
    <xf numFmtId="0" fontId="44" fillId="0" borderId="107" xfId="0" applyFont="1" applyBorder="1" applyAlignment="1">
      <alignment horizontal="left" indent="2"/>
    </xf>
    <xf numFmtId="0" fontId="44" fillId="12" borderId="107" xfId="0" applyFont="1" applyFill="1" applyBorder="1" applyAlignment="1">
      <alignment horizontal="left" indent="1"/>
    </xf>
    <xf numFmtId="0" fontId="44" fillId="12" borderId="0" xfId="0" applyFont="1" applyFill="1" applyAlignment="1">
      <alignment horizontal="left" wrapText="1" indent="1"/>
    </xf>
    <xf numFmtId="0" fontId="43" fillId="0" borderId="107" xfId="0" applyFont="1" applyBorder="1"/>
    <xf numFmtId="0" fontId="43" fillId="0" borderId="0" xfId="0" applyFont="1"/>
    <xf numFmtId="0" fontId="43" fillId="0" borderId="0" xfId="0" applyFont="1" applyAlignment="1">
      <alignment wrapText="1"/>
    </xf>
    <xf numFmtId="3" fontId="43" fillId="0" borderId="0" xfId="0" applyNumberFormat="1" applyFont="1"/>
    <xf numFmtId="3" fontId="43" fillId="0" borderId="101" xfId="0" applyNumberFormat="1" applyFont="1" applyBorder="1"/>
    <xf numFmtId="0" fontId="43" fillId="0" borderId="111" xfId="0" applyFont="1" applyBorder="1" applyAlignment="1">
      <alignment vertical="center" wrapText="1"/>
    </xf>
    <xf numFmtId="0" fontId="44" fillId="0" borderId="112" xfId="0" applyFont="1" applyBorder="1"/>
    <xf numFmtId="0" fontId="43" fillId="0" borderId="112" xfId="0" applyFont="1" applyBorder="1"/>
    <xf numFmtId="0" fontId="43" fillId="0" borderId="112" xfId="0" applyFont="1" applyBorder="1" applyAlignment="1">
      <alignment wrapText="1"/>
    </xf>
    <xf numFmtId="3" fontId="43" fillId="0" borderId="112" xfId="0" applyNumberFormat="1" applyFont="1" applyBorder="1"/>
    <xf numFmtId="3" fontId="43" fillId="0" borderId="113" xfId="0" applyNumberFormat="1" applyFont="1" applyBorder="1"/>
    <xf numFmtId="167" fontId="44" fillId="0" borderId="0" xfId="0" applyNumberFormat="1" applyFont="1"/>
    <xf numFmtId="167" fontId="44" fillId="0" borderId="114" xfId="0" applyNumberFormat="1" applyFont="1" applyBorder="1"/>
    <xf numFmtId="167" fontId="44" fillId="0" borderId="115" xfId="0" applyNumberFormat="1" applyFont="1" applyBorder="1"/>
    <xf numFmtId="0" fontId="44" fillId="12" borderId="107" xfId="0" applyFont="1" applyFill="1" applyBorder="1" applyAlignment="1">
      <alignment horizontal="left"/>
    </xf>
    <xf numFmtId="0" fontId="44" fillId="12" borderId="0" xfId="0" applyFont="1" applyFill="1" applyAlignment="1">
      <alignment horizontal="left"/>
    </xf>
    <xf numFmtId="0" fontId="44" fillId="12" borderId="0" xfId="0" applyFont="1" applyFill="1" applyAlignment="1">
      <alignment horizontal="left" wrapText="1"/>
    </xf>
    <xf numFmtId="0" fontId="44" fillId="0" borderId="107" xfId="0" applyFont="1" applyBorder="1" applyAlignment="1">
      <alignment vertical="center"/>
    </xf>
    <xf numFmtId="3" fontId="43" fillId="0" borderId="112" xfId="0" applyNumberFormat="1" applyFont="1" applyBorder="1" applyAlignment="1">
      <alignment horizontal="right"/>
    </xf>
    <xf numFmtId="3" fontId="43" fillId="0" borderId="113" xfId="0" applyNumberFormat="1" applyFont="1" applyBorder="1" applyAlignment="1">
      <alignment horizontal="right"/>
    </xf>
    <xf numFmtId="0" fontId="44" fillId="12" borderId="116" xfId="0" applyFont="1" applyFill="1" applyBorder="1"/>
    <xf numFmtId="0" fontId="44" fillId="12" borderId="102" xfId="0" applyFont="1" applyFill="1" applyBorder="1"/>
    <xf numFmtId="0" fontId="43" fillId="12" borderId="102" xfId="0" applyFont="1" applyFill="1" applyBorder="1"/>
    <xf numFmtId="0" fontId="43" fillId="12" borderId="102" xfId="0" applyFont="1" applyFill="1" applyBorder="1" applyAlignment="1">
      <alignment wrapText="1"/>
    </xf>
    <xf numFmtId="3" fontId="43" fillId="12" borderId="102" xfId="0" applyNumberFormat="1" applyFont="1" applyFill="1" applyBorder="1"/>
    <xf numFmtId="3" fontId="43" fillId="12" borderId="103" xfId="0" applyNumberFormat="1" applyFont="1" applyFill="1" applyBorder="1"/>
    <xf numFmtId="0" fontId="38" fillId="0" borderId="0" xfId="0" applyFont="1" applyAlignment="1">
      <alignment wrapText="1"/>
    </xf>
    <xf numFmtId="0" fontId="51" fillId="0" borderId="117" xfId="0" applyFont="1" applyBorder="1" applyAlignment="1">
      <alignment vertical="center"/>
    </xf>
    <xf numFmtId="0" fontId="51" fillId="0" borderId="118" xfId="0" applyFont="1" applyBorder="1" applyAlignment="1">
      <alignment vertical="center"/>
    </xf>
    <xf numFmtId="0" fontId="51" fillId="0" borderId="118" xfId="0" applyFont="1" applyBorder="1" applyAlignment="1">
      <alignment vertical="center" wrapText="1"/>
    </xf>
    <xf numFmtId="0" fontId="38" fillId="0" borderId="118" xfId="0" applyFont="1" applyBorder="1" applyAlignment="1">
      <alignment vertical="center"/>
    </xf>
    <xf numFmtId="0" fontId="38" fillId="0" borderId="119" xfId="0" applyFont="1" applyBorder="1" applyAlignment="1">
      <alignment vertical="center"/>
    </xf>
    <xf numFmtId="0" fontId="38" fillId="0" borderId="0" xfId="0" applyFont="1" applyAlignment="1">
      <alignment vertical="center"/>
    </xf>
    <xf numFmtId="0" fontId="51" fillId="0" borderId="107" xfId="0" applyFont="1" applyBorder="1" applyAlignment="1">
      <alignment vertical="center"/>
    </xf>
    <xf numFmtId="0" fontId="51" fillId="0" borderId="0" xfId="0" applyFont="1" applyAlignment="1">
      <alignment vertical="center" wrapText="1"/>
    </xf>
    <xf numFmtId="0" fontId="38" fillId="0" borderId="101" xfId="0" applyFont="1" applyBorder="1" applyAlignment="1">
      <alignment vertical="center"/>
    </xf>
    <xf numFmtId="3" fontId="51" fillId="0" borderId="107" xfId="0" applyNumberFormat="1" applyFont="1" applyBorder="1" applyAlignment="1">
      <alignment vertical="center"/>
    </xf>
    <xf numFmtId="3" fontId="52" fillId="0" borderId="116" xfId="0" applyNumberFormat="1" applyFont="1" applyBorder="1" applyAlignment="1">
      <alignment vertical="center"/>
    </xf>
    <xf numFmtId="3" fontId="52" fillId="0" borderId="102" xfId="0" applyNumberFormat="1" applyFont="1" applyBorder="1" applyAlignment="1">
      <alignment vertical="center"/>
    </xf>
    <xf numFmtId="3" fontId="52" fillId="0" borderId="102" xfId="0" applyNumberFormat="1" applyFont="1" applyBorder="1" applyAlignment="1">
      <alignment vertical="center" wrapText="1"/>
    </xf>
    <xf numFmtId="0" fontId="38" fillId="0" borderId="102" xfId="0" applyFont="1" applyBorder="1" applyAlignment="1">
      <alignment vertical="center"/>
    </xf>
    <xf numFmtId="0" fontId="38" fillId="0" borderId="103" xfId="0" applyFont="1" applyBorder="1" applyAlignment="1">
      <alignment vertical="center"/>
    </xf>
    <xf numFmtId="0" fontId="44" fillId="0" borderId="0" xfId="0" applyFont="1" applyAlignment="1">
      <alignment vertical="center"/>
    </xf>
    <xf numFmtId="167" fontId="43" fillId="12" borderId="0" xfId="0" applyNumberFormat="1" applyFont="1" applyFill="1" applyAlignment="1">
      <alignment vertical="center"/>
    </xf>
    <xf numFmtId="167" fontId="43" fillId="12" borderId="101" xfId="0" applyNumberFormat="1" applyFont="1" applyFill="1" applyBorder="1" applyAlignment="1">
      <alignment vertical="center"/>
    </xf>
    <xf numFmtId="167" fontId="49" fillId="13" borderId="0" xfId="0" applyNumberFormat="1" applyFont="1" applyFill="1" applyAlignment="1">
      <alignment vertical="center"/>
    </xf>
    <xf numFmtId="167" fontId="49" fillId="13" borderId="101" xfId="0" applyNumberFormat="1" applyFont="1" applyFill="1" applyBorder="1" applyAlignment="1">
      <alignment vertical="center"/>
    </xf>
    <xf numFmtId="167" fontId="44" fillId="12" borderId="0" xfId="0" applyNumberFormat="1" applyFont="1" applyFill="1" applyAlignment="1">
      <alignment vertical="center"/>
    </xf>
    <xf numFmtId="167" fontId="49" fillId="12" borderId="0" xfId="0" applyNumberFormat="1" applyFont="1" applyFill="1" applyAlignment="1">
      <alignment vertical="center"/>
    </xf>
    <xf numFmtId="167" fontId="49" fillId="12" borderId="101" xfId="0" applyNumberFormat="1" applyFont="1" applyFill="1" applyBorder="1" applyAlignment="1">
      <alignment vertical="center"/>
    </xf>
    <xf numFmtId="167" fontId="44" fillId="13" borderId="0" xfId="0" applyNumberFormat="1" applyFont="1" applyFill="1" applyAlignment="1">
      <alignment vertical="center"/>
    </xf>
    <xf numFmtId="167" fontId="44" fillId="13" borderId="101" xfId="0" applyNumberFormat="1" applyFont="1" applyFill="1" applyBorder="1" applyAlignment="1">
      <alignment vertical="center"/>
    </xf>
    <xf numFmtId="167" fontId="44" fillId="12" borderId="101" xfId="0" applyNumberFormat="1" applyFont="1" applyFill="1" applyBorder="1" applyAlignment="1">
      <alignment vertical="center"/>
    </xf>
    <xf numFmtId="167" fontId="43" fillId="13" borderId="0" xfId="0" applyNumberFormat="1" applyFont="1" applyFill="1" applyAlignment="1">
      <alignment vertical="center"/>
    </xf>
    <xf numFmtId="167" fontId="43" fillId="13" borderId="101" xfId="0" applyNumberFormat="1" applyFont="1" applyFill="1" applyBorder="1" applyAlignment="1">
      <alignment vertical="center"/>
    </xf>
    <xf numFmtId="167" fontId="43" fillId="14" borderId="0" xfId="0" applyNumberFormat="1" applyFont="1" applyFill="1" applyAlignment="1">
      <alignment vertical="center"/>
    </xf>
    <xf numFmtId="167" fontId="43" fillId="14" borderId="101" xfId="0" applyNumberFormat="1" applyFont="1" applyFill="1" applyBorder="1" applyAlignment="1">
      <alignment vertical="center"/>
    </xf>
    <xf numFmtId="167" fontId="43" fillId="12" borderId="0" xfId="0" applyNumberFormat="1" applyFont="1" applyFill="1"/>
    <xf numFmtId="167" fontId="43" fillId="12" borderId="101" xfId="0" applyNumberFormat="1" applyFont="1" applyFill="1" applyBorder="1"/>
    <xf numFmtId="167" fontId="44" fillId="13" borderId="0" xfId="0" applyNumberFormat="1" applyFont="1" applyFill="1"/>
    <xf numFmtId="167" fontId="44" fillId="13" borderId="101" xfId="0" applyNumberFormat="1" applyFont="1" applyFill="1" applyBorder="1"/>
    <xf numFmtId="167" fontId="43" fillId="12" borderId="112" xfId="0" applyNumberFormat="1" applyFont="1" applyFill="1" applyBorder="1"/>
    <xf numFmtId="167" fontId="43" fillId="12" borderId="113" xfId="0" applyNumberFormat="1" applyFont="1" applyFill="1" applyBorder="1"/>
    <xf numFmtId="168" fontId="44" fillId="0" borderId="0" xfId="0" applyNumberFormat="1" applyFont="1"/>
    <xf numFmtId="168" fontId="44" fillId="0" borderId="101" xfId="0" applyNumberFormat="1" applyFont="1" applyBorder="1"/>
    <xf numFmtId="168" fontId="47" fillId="7" borderId="109" xfId="0" applyNumberFormat="1" applyFont="1" applyFill="1" applyBorder="1"/>
    <xf numFmtId="168" fontId="47" fillId="7" borderId="110" xfId="0" applyNumberFormat="1" applyFont="1" applyFill="1" applyBorder="1"/>
    <xf numFmtId="168" fontId="43" fillId="12" borderId="0" xfId="0" applyNumberFormat="1" applyFont="1" applyFill="1"/>
    <xf numFmtId="168" fontId="43" fillId="12" borderId="101" xfId="0" applyNumberFormat="1" applyFont="1" applyFill="1" applyBorder="1"/>
    <xf numFmtId="168" fontId="43" fillId="0" borderId="0" xfId="0" applyNumberFormat="1" applyFont="1"/>
    <xf numFmtId="168" fontId="49" fillId="0" borderId="0" xfId="0" applyNumberFormat="1" applyFont="1"/>
    <xf numFmtId="168" fontId="49" fillId="0" borderId="101" xfId="0" applyNumberFormat="1" applyFont="1" applyBorder="1"/>
    <xf numFmtId="168" fontId="44" fillId="12" borderId="0" xfId="0" applyNumberFormat="1" applyFont="1" applyFill="1"/>
    <xf numFmtId="168" fontId="44" fillId="12" borderId="0" xfId="0" applyNumberFormat="1" applyFont="1" applyFill="1" applyAlignment="1">
      <alignment horizontal="right"/>
    </xf>
    <xf numFmtId="168" fontId="44" fillId="12" borderId="101" xfId="0" applyNumberFormat="1" applyFont="1" applyFill="1" applyBorder="1" applyAlignment="1">
      <alignment horizontal="right"/>
    </xf>
    <xf numFmtId="168" fontId="44" fillId="0" borderId="0" xfId="0" applyNumberFormat="1" applyFont="1" applyAlignment="1">
      <alignment horizontal="right"/>
    </xf>
    <xf numFmtId="168" fontId="44" fillId="0" borderId="101" xfId="0" applyNumberFormat="1" applyFont="1" applyBorder="1" applyAlignment="1">
      <alignment horizontal="right"/>
    </xf>
    <xf numFmtId="168" fontId="49" fillId="12" borderId="0" xfId="0" applyNumberFormat="1" applyFont="1" applyFill="1"/>
    <xf numFmtId="168" fontId="49" fillId="12" borderId="101" xfId="0" applyNumberFormat="1" applyFont="1" applyFill="1" applyBorder="1"/>
    <xf numFmtId="0" fontId="49" fillId="0" borderId="107" xfId="0" applyFont="1" applyBorder="1" applyAlignment="1">
      <alignment horizontal="left" indent="1"/>
    </xf>
    <xf numFmtId="167" fontId="49" fillId="0" borderId="0" xfId="0" applyNumberFormat="1" applyFont="1"/>
    <xf numFmtId="167" fontId="49" fillId="0" borderId="101" xfId="0" applyNumberFormat="1" applyFont="1" applyBorder="1"/>
    <xf numFmtId="167" fontId="44" fillId="12" borderId="0" xfId="0" applyNumberFormat="1" applyFont="1" applyFill="1"/>
    <xf numFmtId="3" fontId="54" fillId="0" borderId="0" xfId="0" quotePrefix="1" applyNumberFormat="1" applyFont="1" applyAlignment="1">
      <alignment horizontal="right"/>
    </xf>
    <xf numFmtId="3" fontId="54" fillId="0" borderId="101" xfId="0" quotePrefix="1" applyNumberFormat="1" applyFont="1" applyBorder="1" applyAlignment="1">
      <alignment horizontal="right"/>
    </xf>
    <xf numFmtId="0" fontId="49" fillId="12" borderId="0" xfId="0" applyFont="1" applyFill="1"/>
    <xf numFmtId="167" fontId="49" fillId="12" borderId="0" xfId="0" applyNumberFormat="1" applyFont="1" applyFill="1"/>
    <xf numFmtId="168" fontId="49" fillId="12" borderId="0" xfId="0" applyNumberFormat="1" applyFont="1" applyFill="1" applyAlignment="1">
      <alignment horizontal="right"/>
    </xf>
    <xf numFmtId="168" fontId="49" fillId="12" borderId="101" xfId="0" applyNumberFormat="1" applyFont="1" applyFill="1" applyBorder="1" applyAlignment="1">
      <alignment horizontal="right"/>
    </xf>
    <xf numFmtId="168" fontId="43" fillId="0" borderId="101" xfId="0" applyNumberFormat="1" applyFont="1" applyBorder="1"/>
    <xf numFmtId="168" fontId="43" fillId="0" borderId="112" xfId="0" applyNumberFormat="1" applyFont="1" applyBorder="1"/>
    <xf numFmtId="168" fontId="43" fillId="0" borderId="113" xfId="0" applyNumberFormat="1" applyFont="1" applyBorder="1"/>
    <xf numFmtId="0" fontId="44" fillId="12" borderId="107" xfId="0" applyFont="1" applyFill="1" applyBorder="1"/>
    <xf numFmtId="0" fontId="44" fillId="12" borderId="0" xfId="0" applyFont="1" applyFill="1" applyAlignment="1">
      <alignment wrapText="1"/>
    </xf>
    <xf numFmtId="0" fontId="43" fillId="0" borderId="111" xfId="0" applyFont="1" applyBorder="1" applyAlignment="1">
      <alignment horizontal="left"/>
    </xf>
    <xf numFmtId="0" fontId="43" fillId="0" borderId="112" xfId="0" applyFont="1" applyBorder="1" applyAlignment="1">
      <alignment horizontal="left"/>
    </xf>
    <xf numFmtId="0" fontId="43" fillId="0" borderId="112" xfId="0" applyFont="1" applyBorder="1" applyAlignment="1">
      <alignment horizontal="left" wrapText="1"/>
    </xf>
    <xf numFmtId="168" fontId="43" fillId="0" borderId="112" xfId="0" applyNumberFormat="1" applyFont="1" applyBorder="1" applyAlignment="1">
      <alignment horizontal="right"/>
    </xf>
    <xf numFmtId="168" fontId="43" fillId="0" borderId="113" xfId="0" applyNumberFormat="1" applyFont="1" applyBorder="1" applyAlignment="1">
      <alignment horizontal="right"/>
    </xf>
    <xf numFmtId="168" fontId="44" fillId="12" borderId="102" xfId="0" applyNumberFormat="1" applyFont="1" applyFill="1" applyBorder="1"/>
    <xf numFmtId="168" fontId="43" fillId="12" borderId="102" xfId="0" applyNumberFormat="1" applyFont="1" applyFill="1" applyBorder="1"/>
    <xf numFmtId="168" fontId="43" fillId="12" borderId="103" xfId="0" applyNumberFormat="1" applyFont="1" applyFill="1" applyBorder="1"/>
    <xf numFmtId="168" fontId="38" fillId="0" borderId="0" xfId="0" applyNumberFormat="1" applyFont="1"/>
    <xf numFmtId="168" fontId="51" fillId="0" borderId="118" xfId="0" applyNumberFormat="1" applyFont="1" applyBorder="1" applyAlignment="1">
      <alignment vertical="center"/>
    </xf>
    <xf numFmtId="168" fontId="38" fillId="0" borderId="118" xfId="0" applyNumberFormat="1" applyFont="1" applyBorder="1" applyAlignment="1">
      <alignment vertical="center"/>
    </xf>
    <xf numFmtId="168" fontId="51" fillId="0" borderId="0" xfId="0" applyNumberFormat="1" applyFont="1" applyAlignment="1">
      <alignment vertical="center" wrapText="1"/>
    </xf>
    <xf numFmtId="168" fontId="38" fillId="0" borderId="0" xfId="0" applyNumberFormat="1" applyFont="1" applyAlignment="1">
      <alignment vertical="center"/>
    </xf>
    <xf numFmtId="0" fontId="55" fillId="0" borderId="107" xfId="0" applyFont="1" applyBorder="1" applyAlignment="1">
      <alignment vertical="center"/>
    </xf>
    <xf numFmtId="168" fontId="52" fillId="0" borderId="102" xfId="0" applyNumberFormat="1" applyFont="1" applyBorder="1" applyAlignment="1">
      <alignment vertical="center"/>
    </xf>
    <xf numFmtId="168" fontId="38" fillId="0" borderId="102" xfId="0" applyNumberFormat="1" applyFont="1" applyBorder="1" applyAlignment="1">
      <alignment vertical="center"/>
    </xf>
    <xf numFmtId="0" fontId="35" fillId="0" borderId="0" xfId="0" applyFont="1"/>
    <xf numFmtId="167" fontId="0" fillId="0" borderId="0" xfId="0" applyNumberFormat="1"/>
    <xf numFmtId="0" fontId="35" fillId="0" borderId="61" xfId="0" applyFont="1" applyBorder="1" applyAlignment="1">
      <alignment horizontal="center"/>
    </xf>
    <xf numFmtId="0" fontId="35" fillId="0" borderId="61" xfId="0" applyFont="1" applyBorder="1"/>
    <xf numFmtId="3" fontId="43" fillId="0" borderId="61" xfId="0" applyNumberFormat="1" applyFont="1" applyBorder="1" applyAlignment="1">
      <alignment vertical="center"/>
    </xf>
    <xf numFmtId="0" fontId="45" fillId="0" borderId="61" xfId="0" applyFont="1" applyBorder="1" applyAlignment="1">
      <alignment horizontal="center" vertical="center" wrapText="1"/>
    </xf>
    <xf numFmtId="167" fontId="43" fillId="0" borderId="61" xfId="0" applyNumberFormat="1" applyFont="1" applyBorder="1" applyAlignment="1">
      <alignment vertical="center"/>
    </xf>
    <xf numFmtId="0" fontId="0" fillId="14" borderId="61" xfId="0" applyFill="1" applyBorder="1"/>
    <xf numFmtId="0" fontId="38" fillId="0" borderId="0" xfId="3" applyFont="1"/>
    <xf numFmtId="0" fontId="38" fillId="0" borderId="0" xfId="3" applyFont="1" applyAlignment="1">
      <alignment horizontal="left"/>
    </xf>
    <xf numFmtId="0" fontId="36" fillId="0" borderId="0" xfId="3" applyFont="1"/>
    <xf numFmtId="0" fontId="38" fillId="15" borderId="0" xfId="3" applyFont="1" applyFill="1"/>
    <xf numFmtId="0" fontId="40" fillId="15" borderId="105" xfId="3" applyFont="1" applyFill="1" applyBorder="1" applyAlignment="1">
      <alignment horizontal="center"/>
    </xf>
    <xf numFmtId="0" fontId="40" fillId="15" borderId="106" xfId="3" applyFont="1" applyFill="1" applyBorder="1" applyAlignment="1">
      <alignment horizontal="center"/>
    </xf>
    <xf numFmtId="0" fontId="38" fillId="0" borderId="0" xfId="3" applyFont="1" applyAlignment="1">
      <alignment horizontal="center" vertical="center"/>
    </xf>
    <xf numFmtId="0" fontId="38" fillId="0" borderId="0" xfId="3" applyFont="1" applyAlignment="1">
      <alignment horizontal="left" vertical="center"/>
    </xf>
    <xf numFmtId="2" fontId="38" fillId="0" borderId="0" xfId="3" applyNumberFormat="1" applyFont="1" applyAlignment="1">
      <alignment horizontal="center" vertical="center"/>
    </xf>
    <xf numFmtId="0" fontId="38" fillId="12" borderId="0" xfId="3" applyFont="1" applyFill="1" applyAlignment="1">
      <alignment horizontal="center" vertical="center"/>
    </xf>
    <xf numFmtId="0" fontId="38" fillId="12" borderId="0" xfId="3" applyFont="1" applyFill="1" applyAlignment="1">
      <alignment horizontal="left" vertical="center"/>
    </xf>
    <xf numFmtId="2" fontId="38" fillId="12" borderId="0" xfId="3" applyNumberFormat="1" applyFont="1" applyFill="1" applyAlignment="1">
      <alignment horizontal="center" vertical="center"/>
    </xf>
    <xf numFmtId="0" fontId="38" fillId="0" borderId="0" xfId="3" applyFont="1" applyAlignment="1">
      <alignment horizontal="left" vertical="center" wrapText="1"/>
    </xf>
    <xf numFmtId="2" fontId="38" fillId="0" borderId="0" xfId="3" applyNumberFormat="1" applyFont="1" applyAlignment="1">
      <alignment horizontal="center" vertical="center" wrapText="1"/>
    </xf>
    <xf numFmtId="0" fontId="40" fillId="15" borderId="0" xfId="3" applyFont="1" applyFill="1"/>
    <xf numFmtId="0" fontId="38" fillId="2" borderId="0" xfId="3" applyFont="1" applyFill="1" applyAlignment="1">
      <alignment horizontal="center" vertical="center"/>
    </xf>
    <xf numFmtId="0" fontId="38" fillId="2" borderId="0" xfId="3" applyFont="1" applyFill="1" applyAlignment="1">
      <alignment horizontal="left" vertical="center"/>
    </xf>
    <xf numFmtId="2" fontId="38" fillId="2" borderId="0" xfId="3" applyNumberFormat="1" applyFont="1" applyFill="1" applyAlignment="1">
      <alignment horizontal="center" vertical="center"/>
    </xf>
    <xf numFmtId="0" fontId="56" fillId="0" borderId="0" xfId="3"/>
    <xf numFmtId="0" fontId="60" fillId="0" borderId="0" xfId="3" applyFont="1"/>
    <xf numFmtId="0" fontId="40" fillId="12" borderId="102" xfId="3" applyFont="1" applyFill="1" applyBorder="1" applyAlignment="1">
      <alignment horizontal="center" vertical="center"/>
    </xf>
    <xf numFmtId="0" fontId="40" fillId="12" borderId="102" xfId="3" applyFont="1" applyFill="1" applyBorder="1" applyAlignment="1">
      <alignment horizontal="left" vertical="center"/>
    </xf>
    <xf numFmtId="2" fontId="40" fillId="12" borderId="102" xfId="3" applyNumberFormat="1" applyFont="1" applyFill="1" applyBorder="1" applyAlignment="1">
      <alignment horizontal="center" vertical="center"/>
    </xf>
    <xf numFmtId="0" fontId="40" fillId="2" borderId="0" xfId="3" applyFont="1" applyFill="1" applyAlignment="1">
      <alignment horizontal="center" vertical="center"/>
    </xf>
    <xf numFmtId="0" fontId="40" fillId="2" borderId="0" xfId="3" applyFont="1" applyFill="1" applyAlignment="1">
      <alignment horizontal="left" vertical="center"/>
    </xf>
    <xf numFmtId="2" fontId="40" fillId="2" borderId="0" xfId="3" applyNumberFormat="1" applyFont="1" applyFill="1" applyAlignment="1">
      <alignment horizontal="center" vertical="center"/>
    </xf>
    <xf numFmtId="0" fontId="60" fillId="2" borderId="0" xfId="3" applyFont="1" applyFill="1"/>
    <xf numFmtId="0" fontId="51" fillId="0" borderId="0" xfId="3" applyFont="1"/>
    <xf numFmtId="2" fontId="38" fillId="0" borderId="0" xfId="3" applyNumberFormat="1" applyFont="1"/>
    <xf numFmtId="2" fontId="38" fillId="15" borderId="0" xfId="3" applyNumberFormat="1" applyFont="1" applyFill="1"/>
    <xf numFmtId="4" fontId="43" fillId="0" borderId="61" xfId="0" applyNumberFormat="1" applyFont="1" applyBorder="1" applyAlignment="1">
      <alignment vertical="center"/>
    </xf>
    <xf numFmtId="0" fontId="0" fillId="18" borderId="0" xfId="0" applyFill="1"/>
    <xf numFmtId="0" fontId="0" fillId="19" borderId="0" xfId="0" applyFill="1"/>
    <xf numFmtId="44" fontId="4" fillId="2" borderId="0" xfId="1" applyNumberFormat="1" applyFont="1" applyFill="1"/>
    <xf numFmtId="4" fontId="43" fillId="14" borderId="61" xfId="0" applyNumberFormat="1" applyFont="1" applyFill="1" applyBorder="1" applyAlignment="1">
      <alignment vertical="center"/>
    </xf>
    <xf numFmtId="0" fontId="4" fillId="2" borderId="0" xfId="1" applyFont="1" applyFill="1" applyAlignment="1">
      <alignment horizontal="left"/>
    </xf>
    <xf numFmtId="0" fontId="24" fillId="2" borderId="0" xfId="1" applyFont="1" applyFill="1"/>
    <xf numFmtId="0" fontId="4" fillId="3" borderId="0" xfId="1" applyFont="1" applyFill="1" applyAlignment="1">
      <alignment wrapText="1"/>
    </xf>
    <xf numFmtId="0" fontId="4" fillId="3" borderId="0" xfId="1" applyFont="1" applyFill="1" applyAlignment="1">
      <alignment horizontal="left"/>
    </xf>
    <xf numFmtId="0" fontId="4" fillId="3" borderId="38" xfId="1" applyFont="1" applyFill="1" applyBorder="1" applyAlignment="1">
      <alignment horizontal="left"/>
    </xf>
    <xf numFmtId="0" fontId="19" fillId="2" borderId="61" xfId="1" applyFont="1" applyFill="1" applyBorder="1" applyAlignment="1">
      <alignment horizontal="center" vertical="center" wrapText="1"/>
    </xf>
    <xf numFmtId="0" fontId="19" fillId="2" borderId="56" xfId="1" applyFont="1" applyFill="1" applyBorder="1" applyAlignment="1">
      <alignment horizontal="center" vertical="center" wrapText="1"/>
    </xf>
    <xf numFmtId="0" fontId="8" fillId="2" borderId="22" xfId="1" applyFont="1" applyFill="1" applyBorder="1" applyAlignment="1">
      <alignment horizontal="center" vertical="center" wrapText="1"/>
    </xf>
    <xf numFmtId="0" fontId="4" fillId="2" borderId="22" xfId="1" applyFont="1" applyFill="1" applyBorder="1" applyAlignment="1">
      <alignment horizontal="center" vertical="center" wrapText="1"/>
    </xf>
    <xf numFmtId="44" fontId="4" fillId="2" borderId="76" xfId="4" applyFont="1" applyFill="1" applyBorder="1" applyAlignment="1">
      <alignment horizontal="center" vertical="center" wrapText="1"/>
    </xf>
    <xf numFmtId="0" fontId="4" fillId="2" borderId="53" xfId="1" applyFont="1" applyFill="1" applyBorder="1" applyAlignment="1">
      <alignment horizontal="center" vertical="center" wrapText="1"/>
    </xf>
    <xf numFmtId="44" fontId="4" fillId="2" borderId="54" xfId="4" applyFont="1" applyFill="1" applyBorder="1" applyAlignment="1">
      <alignment horizontal="center" vertical="center" wrapText="1"/>
    </xf>
    <xf numFmtId="0" fontId="8" fillId="2" borderId="53" xfId="1" applyFont="1" applyFill="1" applyBorder="1" applyAlignment="1">
      <alignment horizontal="center" vertical="center" wrapText="1"/>
    </xf>
    <xf numFmtId="44" fontId="4" fillId="2" borderId="0" xfId="4" applyFont="1" applyFill="1"/>
    <xf numFmtId="165" fontId="4" fillId="2" borderId="62" xfId="1" applyNumberFormat="1" applyFont="1" applyFill="1" applyBorder="1" applyAlignment="1">
      <alignment vertical="center" wrapText="1"/>
    </xf>
    <xf numFmtId="165" fontId="4" fillId="2" borderId="57" xfId="1" applyNumberFormat="1" applyFont="1" applyFill="1" applyBorder="1" applyAlignment="1">
      <alignment vertical="center" wrapText="1"/>
    </xf>
    <xf numFmtId="3" fontId="43" fillId="14" borderId="61" xfId="0" applyNumberFormat="1" applyFont="1" applyFill="1" applyBorder="1" applyAlignment="1">
      <alignment vertical="center"/>
    </xf>
    <xf numFmtId="165" fontId="4" fillId="2" borderId="76" xfId="1" applyNumberFormat="1" applyFont="1" applyFill="1" applyBorder="1" applyAlignment="1">
      <alignment vertical="center" wrapText="1"/>
    </xf>
    <xf numFmtId="165" fontId="4" fillId="2" borderId="54" xfId="1" applyNumberFormat="1" applyFont="1" applyFill="1" applyBorder="1" applyAlignment="1">
      <alignment vertical="center" wrapText="1"/>
    </xf>
    <xf numFmtId="0" fontId="4" fillId="3" borderId="0" xfId="5" applyFont="1" applyFill="1"/>
    <xf numFmtId="0" fontId="4" fillId="2" borderId="0" xfId="5" applyFont="1" applyFill="1"/>
    <xf numFmtId="0" fontId="67" fillId="2" borderId="0" xfId="5" applyFont="1" applyFill="1"/>
    <xf numFmtId="0" fontId="67" fillId="3" borderId="0" xfId="5" applyFont="1" applyFill="1"/>
    <xf numFmtId="0" fontId="4" fillId="3" borderId="0" xfId="5" applyFont="1" applyFill="1" applyAlignment="1">
      <alignment vertical="center"/>
    </xf>
    <xf numFmtId="0" fontId="4" fillId="2" borderId="0" xfId="5" applyFont="1" applyFill="1" applyAlignment="1">
      <alignment vertical="center"/>
    </xf>
    <xf numFmtId="0" fontId="69" fillId="2" borderId="25" xfId="5" applyFont="1" applyFill="1" applyBorder="1"/>
    <xf numFmtId="0" fontId="69" fillId="2" borderId="20" xfId="5" applyFont="1" applyFill="1" applyBorder="1"/>
    <xf numFmtId="0" fontId="4" fillId="2" borderId="28" xfId="5" applyFont="1" applyFill="1" applyBorder="1" applyAlignment="1">
      <alignment vertical="center"/>
    </xf>
    <xf numFmtId="0" fontId="4" fillId="2" borderId="29" xfId="5" applyFont="1" applyFill="1" applyBorder="1" applyAlignment="1">
      <alignment vertical="center"/>
    </xf>
    <xf numFmtId="0" fontId="4" fillId="2" borderId="30" xfId="5" applyFont="1" applyFill="1" applyBorder="1" applyAlignment="1">
      <alignment vertical="center"/>
    </xf>
    <xf numFmtId="0" fontId="8" fillId="4" borderId="149" xfId="5" applyFont="1" applyFill="1" applyBorder="1" applyAlignment="1">
      <alignment horizontal="center" vertical="center"/>
    </xf>
    <xf numFmtId="169" fontId="4" fillId="2" borderId="152" xfId="5" applyNumberFormat="1" applyFont="1" applyFill="1" applyBorder="1" applyAlignment="1">
      <alignment horizontal="center"/>
    </xf>
    <xf numFmtId="169" fontId="4" fillId="3" borderId="0" xfId="5" applyNumberFormat="1" applyFont="1" applyFill="1"/>
    <xf numFmtId="169" fontId="4" fillId="2" borderId="31" xfId="5" applyNumberFormat="1" applyFont="1" applyFill="1" applyBorder="1" applyAlignment="1">
      <alignment horizontal="center"/>
    </xf>
    <xf numFmtId="169" fontId="4" fillId="2" borderId="24" xfId="5" applyNumberFormat="1" applyFont="1" applyFill="1" applyBorder="1" applyAlignment="1">
      <alignment horizontal="center"/>
    </xf>
    <xf numFmtId="169" fontId="4" fillId="2" borderId="153" xfId="5" applyNumberFormat="1" applyFont="1" applyFill="1" applyBorder="1" applyAlignment="1">
      <alignment horizontal="center"/>
    </xf>
    <xf numFmtId="0" fontId="30" fillId="3" borderId="0" xfId="5" applyFont="1" applyFill="1"/>
    <xf numFmtId="0" fontId="8" fillId="4" borderId="154" xfId="5" applyFont="1" applyFill="1" applyBorder="1" applyAlignment="1">
      <alignment horizontal="center" vertical="center"/>
    </xf>
    <xf numFmtId="0" fontId="4" fillId="2" borderId="0" xfId="5" applyFont="1" applyFill="1" applyAlignment="1">
      <alignment horizontal="center" vertical="center"/>
    </xf>
    <xf numFmtId="0" fontId="78" fillId="2" borderId="22" xfId="5" applyFont="1" applyFill="1" applyBorder="1" applyAlignment="1">
      <alignment horizontal="center" vertical="center" wrapText="1"/>
    </xf>
    <xf numFmtId="10" fontId="4" fillId="5" borderId="22" xfId="5" applyNumberFormat="1" applyFont="1" applyFill="1" applyBorder="1"/>
    <xf numFmtId="0" fontId="8" fillId="3" borderId="0" xfId="5" applyFont="1" applyFill="1" applyAlignment="1">
      <alignment horizontal="left" vertical="center"/>
    </xf>
    <xf numFmtId="1" fontId="8" fillId="2" borderId="157" xfId="5" applyNumberFormat="1" applyFont="1" applyFill="1" applyBorder="1" applyAlignment="1">
      <alignment horizontal="center"/>
    </xf>
    <xf numFmtId="1" fontId="8" fillId="2" borderId="158" xfId="5" applyNumberFormat="1" applyFont="1" applyFill="1" applyBorder="1" applyAlignment="1">
      <alignment horizontal="center"/>
    </xf>
    <xf numFmtId="1" fontId="8" fillId="2" borderId="159" xfId="5" applyNumberFormat="1" applyFont="1" applyFill="1" applyBorder="1" applyAlignment="1">
      <alignment horizontal="center"/>
    </xf>
    <xf numFmtId="10" fontId="4" fillId="22" borderId="74" xfId="5" applyNumberFormat="1" applyFont="1" applyFill="1" applyBorder="1" applyAlignment="1">
      <alignment horizontal="center"/>
    </xf>
    <xf numFmtId="10" fontId="8" fillId="22" borderId="54" xfId="5" applyNumberFormat="1" applyFont="1" applyFill="1" applyBorder="1" applyAlignment="1">
      <alignment horizontal="center"/>
    </xf>
    <xf numFmtId="0" fontId="8" fillId="3" borderId="0" xfId="5" applyFont="1" applyFill="1"/>
    <xf numFmtId="0" fontId="8" fillId="2" borderId="0" xfId="5" applyFont="1" applyFill="1"/>
    <xf numFmtId="0" fontId="8" fillId="4" borderId="42" xfId="5" applyFont="1" applyFill="1" applyBorder="1" applyAlignment="1">
      <alignment horizontal="center" vertical="center" wrapText="1"/>
    </xf>
    <xf numFmtId="169" fontId="4" fillId="2" borderId="165" xfId="5" applyNumberFormat="1" applyFont="1" applyFill="1" applyBorder="1"/>
    <xf numFmtId="170" fontId="4" fillId="2" borderId="0" xfId="5" applyNumberFormat="1" applyFont="1" applyFill="1"/>
    <xf numFmtId="172" fontId="4" fillId="2" borderId="0" xfId="5" applyNumberFormat="1" applyFont="1" applyFill="1" applyAlignment="1">
      <alignment horizontal="center"/>
    </xf>
    <xf numFmtId="0" fontId="4" fillId="2" borderId="0" xfId="5" applyFont="1" applyFill="1" applyAlignment="1">
      <alignment horizontal="center"/>
    </xf>
    <xf numFmtId="0" fontId="4" fillId="24" borderId="61" xfId="5" applyFont="1" applyFill="1" applyBorder="1" applyAlignment="1">
      <alignment horizontal="center"/>
    </xf>
    <xf numFmtId="169" fontId="4" fillId="2" borderId="61" xfId="5" applyNumberFormat="1" applyFont="1" applyFill="1" applyBorder="1"/>
    <xf numFmtId="169" fontId="8" fillId="22" borderId="56" xfId="5" applyNumberFormat="1" applyFont="1" applyFill="1" applyBorder="1"/>
    <xf numFmtId="0" fontId="24" fillId="3" borderId="0" xfId="5" applyFont="1" applyFill="1"/>
    <xf numFmtId="0" fontId="8" fillId="25" borderId="50" xfId="5" applyFont="1" applyFill="1" applyBorder="1" applyAlignment="1">
      <alignment horizontal="center" vertical="center" wrapText="1"/>
    </xf>
    <xf numFmtId="0" fontId="8" fillId="25" borderId="51" xfId="5" applyFont="1" applyFill="1" applyBorder="1" applyAlignment="1">
      <alignment horizontal="center" vertical="center" wrapText="1"/>
    </xf>
    <xf numFmtId="0" fontId="8" fillId="4" borderId="50" xfId="5" applyFont="1" applyFill="1" applyBorder="1" applyAlignment="1">
      <alignment horizontal="center" vertical="center" wrapText="1"/>
    </xf>
    <xf numFmtId="169" fontId="4" fillId="22" borderId="61" xfId="5" applyNumberFormat="1" applyFont="1" applyFill="1" applyBorder="1"/>
    <xf numFmtId="0" fontId="8" fillId="22" borderId="56" xfId="5" applyFont="1" applyFill="1" applyBorder="1"/>
    <xf numFmtId="0" fontId="11" fillId="3" borderId="0" xfId="5" applyFont="1" applyFill="1" applyAlignment="1">
      <alignment vertical="center"/>
    </xf>
    <xf numFmtId="0" fontId="11" fillId="2" borderId="0" xfId="5" applyFont="1" applyFill="1" applyAlignment="1">
      <alignment vertical="center"/>
    </xf>
    <xf numFmtId="0" fontId="8" fillId="3" borderId="0" xfId="5" applyFont="1" applyFill="1" applyAlignment="1">
      <alignment horizontal="left"/>
    </xf>
    <xf numFmtId="0" fontId="8" fillId="2" borderId="42" xfId="5" applyFont="1" applyFill="1" applyBorder="1" applyAlignment="1">
      <alignment horizontal="center" vertical="center" wrapText="1"/>
    </xf>
    <xf numFmtId="0" fontId="4" fillId="5" borderId="165" xfId="5" applyFont="1" applyFill="1" applyBorder="1" applyAlignment="1">
      <alignment horizontal="center"/>
    </xf>
    <xf numFmtId="0" fontId="8" fillId="2" borderId="50" xfId="5" applyFont="1" applyFill="1" applyBorder="1" applyAlignment="1">
      <alignment horizontal="center" vertical="center" wrapText="1"/>
    </xf>
    <xf numFmtId="0" fontId="8" fillId="2" borderId="51" xfId="5" applyFont="1" applyFill="1" applyBorder="1" applyAlignment="1">
      <alignment horizontal="center" vertical="center" wrapText="1"/>
    </xf>
    <xf numFmtId="0" fontId="4" fillId="5" borderId="61" xfId="5" applyFont="1" applyFill="1" applyBorder="1" applyAlignment="1">
      <alignment horizontal="center"/>
    </xf>
    <xf numFmtId="0" fontId="8" fillId="2" borderId="62" xfId="5" applyFont="1" applyFill="1" applyBorder="1" applyAlignment="1">
      <alignment horizontal="center" wrapText="1"/>
    </xf>
    <xf numFmtId="9" fontId="4" fillId="5" borderId="62" xfId="5" applyNumberFormat="1" applyFont="1" applyFill="1" applyBorder="1" applyAlignment="1">
      <alignment horizontal="center"/>
    </xf>
    <xf numFmtId="9" fontId="8" fillId="2" borderId="57" xfId="5" applyNumberFormat="1" applyFont="1" applyFill="1" applyBorder="1" applyAlignment="1">
      <alignment horizontal="center"/>
    </xf>
    <xf numFmtId="0" fontId="8" fillId="2" borderId="56" xfId="5" applyFont="1" applyFill="1" applyBorder="1" applyAlignment="1">
      <alignment horizontal="center"/>
    </xf>
    <xf numFmtId="0" fontId="81" fillId="3" borderId="0" xfId="5" applyFont="1" applyFill="1" applyAlignment="1">
      <alignment horizontal="center" vertical="center" wrapText="1"/>
    </xf>
    <xf numFmtId="9" fontId="4" fillId="3" borderId="0" xfId="5" applyNumberFormat="1" applyFont="1" applyFill="1" applyAlignment="1">
      <alignment horizontal="center" vertical="center" wrapText="1"/>
    </xf>
    <xf numFmtId="0" fontId="82" fillId="3" borderId="0" xfId="5" applyFont="1" applyFill="1"/>
    <xf numFmtId="0" fontId="8" fillId="4" borderId="177" xfId="5" applyFont="1" applyFill="1" applyBorder="1" applyAlignment="1">
      <alignment horizontal="center" vertical="center"/>
    </xf>
    <xf numFmtId="0" fontId="8" fillId="4" borderId="178" xfId="5" applyFont="1" applyFill="1" applyBorder="1" applyAlignment="1">
      <alignment horizontal="center" vertical="center"/>
    </xf>
    <xf numFmtId="0" fontId="8" fillId="2" borderId="22" xfId="5" applyFont="1" applyFill="1" applyBorder="1" applyAlignment="1">
      <alignment horizontal="center" vertical="center"/>
    </xf>
    <xf numFmtId="9" fontId="8" fillId="2" borderId="22" xfId="5" applyNumberFormat="1" applyFont="1" applyFill="1" applyBorder="1" applyAlignment="1">
      <alignment horizontal="center" vertical="center"/>
    </xf>
    <xf numFmtId="169" fontId="4" fillId="2" borderId="22" xfId="5" applyNumberFormat="1" applyFont="1" applyFill="1" applyBorder="1"/>
    <xf numFmtId="169" fontId="4" fillId="2" borderId="31" xfId="5" applyNumberFormat="1" applyFont="1" applyFill="1" applyBorder="1"/>
    <xf numFmtId="0" fontId="4" fillId="2" borderId="22" xfId="5" applyFont="1" applyFill="1" applyBorder="1"/>
    <xf numFmtId="10" fontId="4" fillId="2" borderId="22" xfId="5" applyNumberFormat="1" applyFont="1" applyFill="1" applyBorder="1"/>
    <xf numFmtId="169" fontId="8" fillId="2" borderId="19" xfId="5" applyNumberFormat="1" applyFont="1" applyFill="1" applyBorder="1"/>
    <xf numFmtId="169" fontId="8" fillId="10" borderId="22" xfId="5" applyNumberFormat="1" applyFont="1" applyFill="1" applyBorder="1" applyAlignment="1">
      <alignment horizontal="center"/>
    </xf>
    <xf numFmtId="169" fontId="8" fillId="10" borderId="31" xfId="5" applyNumberFormat="1" applyFont="1" applyFill="1" applyBorder="1" applyAlignment="1">
      <alignment horizontal="center"/>
    </xf>
    <xf numFmtId="169" fontId="8" fillId="2" borderId="24" xfId="5" applyNumberFormat="1" applyFont="1" applyFill="1" applyBorder="1"/>
    <xf numFmtId="169" fontId="8" fillId="7" borderId="27" xfId="5" applyNumberFormat="1" applyFont="1" applyFill="1" applyBorder="1"/>
    <xf numFmtId="169" fontId="8" fillId="7" borderId="153" xfId="5" applyNumberFormat="1" applyFont="1" applyFill="1" applyBorder="1"/>
    <xf numFmtId="169" fontId="4" fillId="2" borderId="14" xfId="5" applyNumberFormat="1" applyFont="1" applyFill="1" applyBorder="1"/>
    <xf numFmtId="169" fontId="4" fillId="2" borderId="152" xfId="5" applyNumberFormat="1" applyFont="1" applyFill="1" applyBorder="1"/>
    <xf numFmtId="9" fontId="4" fillId="2" borderId="0" xfId="5" applyNumberFormat="1" applyFont="1" applyFill="1"/>
    <xf numFmtId="10" fontId="4" fillId="2" borderId="0" xfId="5" applyNumberFormat="1" applyFont="1" applyFill="1"/>
    <xf numFmtId="169" fontId="26" fillId="10" borderId="22" xfId="5" applyNumberFormat="1" applyFont="1" applyFill="1" applyBorder="1" applyAlignment="1">
      <alignment horizontal="center"/>
    </xf>
    <xf numFmtId="169" fontId="26" fillId="10" borderId="31" xfId="5" applyNumberFormat="1" applyFont="1" applyFill="1" applyBorder="1" applyAlignment="1">
      <alignment horizontal="center"/>
    </xf>
    <xf numFmtId="0" fontId="4" fillId="2" borderId="76" xfId="5" applyFont="1" applyFill="1" applyBorder="1" applyAlignment="1">
      <alignment horizontal="center" vertical="center" wrapText="1"/>
    </xf>
    <xf numFmtId="0" fontId="4" fillId="2" borderId="54" xfId="5" applyFont="1" applyFill="1" applyBorder="1" applyAlignment="1">
      <alignment horizontal="center" vertical="center" wrapText="1"/>
    </xf>
    <xf numFmtId="169" fontId="4" fillId="2" borderId="183" xfId="5" applyNumberFormat="1" applyFont="1" applyFill="1" applyBorder="1" applyAlignment="1">
      <alignment horizontal="center" wrapText="1"/>
    </xf>
    <xf numFmtId="1" fontId="4" fillId="2" borderId="14" xfId="5" applyNumberFormat="1" applyFont="1" applyFill="1" applyBorder="1" applyAlignment="1">
      <alignment horizontal="center" vertical="center"/>
    </xf>
    <xf numFmtId="1" fontId="4" fillId="2" borderId="152" xfId="5" applyNumberFormat="1" applyFont="1" applyFill="1" applyBorder="1" applyAlignment="1">
      <alignment horizontal="center" vertical="center"/>
    </xf>
    <xf numFmtId="1" fontId="4" fillId="2" borderId="73" xfId="5" applyNumberFormat="1" applyFont="1" applyFill="1" applyBorder="1" applyAlignment="1">
      <alignment horizontal="center" vertical="center"/>
    </xf>
    <xf numFmtId="1" fontId="4" fillId="2" borderId="155" xfId="5" applyNumberFormat="1" applyFont="1" applyFill="1" applyBorder="1" applyAlignment="1">
      <alignment horizontal="center" vertical="center"/>
    </xf>
    <xf numFmtId="1" fontId="4" fillId="2" borderId="156" xfId="5" applyNumberFormat="1" applyFont="1" applyFill="1" applyBorder="1" applyAlignment="1">
      <alignment horizontal="center" vertical="center"/>
    </xf>
    <xf numFmtId="1" fontId="4" fillId="2" borderId="148" xfId="5" applyNumberFormat="1" applyFont="1" applyFill="1" applyBorder="1" applyAlignment="1">
      <alignment horizontal="center" vertical="center"/>
    </xf>
    <xf numFmtId="10" fontId="4" fillId="22" borderId="76" xfId="5" applyNumberFormat="1" applyFont="1" applyFill="1" applyBorder="1" applyAlignment="1">
      <alignment horizontal="center"/>
    </xf>
    <xf numFmtId="0" fontId="26" fillId="2" borderId="50" xfId="1" applyFont="1" applyFill="1" applyBorder="1" applyAlignment="1">
      <alignment horizontal="center"/>
    </xf>
    <xf numFmtId="0" fontId="8" fillId="2" borderId="61" xfId="1" applyFont="1" applyFill="1" applyBorder="1" applyAlignment="1">
      <alignment horizontal="center" vertical="center"/>
    </xf>
    <xf numFmtId="0" fontId="26" fillId="2" borderId="51" xfId="1" applyFont="1" applyFill="1" applyBorder="1" applyAlignment="1">
      <alignment horizontal="center" vertical="center"/>
    </xf>
    <xf numFmtId="10" fontId="43" fillId="0" borderId="61" xfId="0" applyNumberFormat="1" applyFont="1" applyBorder="1" applyAlignment="1">
      <alignment horizontal="center" vertical="center"/>
    </xf>
    <xf numFmtId="167" fontId="43" fillId="0" borderId="61" xfId="0" applyNumberFormat="1" applyFont="1" applyBorder="1" applyAlignment="1">
      <alignment horizontal="center" vertical="center"/>
    </xf>
    <xf numFmtId="10" fontId="35" fillId="14" borderId="61" xfId="0" applyNumberFormat="1" applyFont="1" applyFill="1" applyBorder="1" applyAlignment="1">
      <alignment horizontal="center"/>
    </xf>
    <xf numFmtId="10" fontId="35" fillId="0" borderId="0" xfId="0" applyNumberFormat="1" applyFont="1" applyAlignment="1">
      <alignment horizontal="center"/>
    </xf>
    <xf numFmtId="10" fontId="8" fillId="25" borderId="56" xfId="5" applyNumberFormat="1" applyFont="1" applyFill="1" applyBorder="1" applyAlignment="1">
      <alignment horizontal="center" vertical="center" wrapText="1"/>
    </xf>
    <xf numFmtId="10" fontId="8" fillId="25" borderId="57" xfId="5" applyNumberFormat="1" applyFont="1" applyFill="1" applyBorder="1" applyAlignment="1">
      <alignment horizontal="center" vertical="center" wrapText="1"/>
    </xf>
    <xf numFmtId="0" fontId="86" fillId="19" borderId="0" xfId="0" applyFont="1" applyFill="1"/>
    <xf numFmtId="2" fontId="35" fillId="14" borderId="61" xfId="0" applyNumberFormat="1" applyFont="1" applyFill="1" applyBorder="1"/>
    <xf numFmtId="0" fontId="87" fillId="3" borderId="0" xfId="1" applyFont="1" applyFill="1" applyAlignment="1">
      <alignment vertical="center"/>
    </xf>
    <xf numFmtId="0" fontId="26" fillId="3" borderId="0" xfId="1" applyFont="1" applyFill="1" applyAlignment="1">
      <alignment horizontal="left"/>
    </xf>
    <xf numFmtId="0" fontId="8" fillId="3" borderId="118" xfId="1" applyFont="1" applyFill="1" applyBorder="1" applyAlignment="1">
      <alignment horizontal="left" vertical="center" wrapText="1"/>
    </xf>
    <xf numFmtId="0" fontId="4" fillId="3" borderId="118" xfId="1" applyFont="1" applyFill="1" applyBorder="1" applyAlignment="1">
      <alignment vertical="center"/>
    </xf>
    <xf numFmtId="0" fontId="4" fillId="3" borderId="118" xfId="1" applyFont="1" applyFill="1" applyBorder="1"/>
    <xf numFmtId="0" fontId="8" fillId="3" borderId="118" xfId="1" applyFont="1" applyFill="1" applyBorder="1" applyAlignment="1">
      <alignment wrapText="1"/>
    </xf>
    <xf numFmtId="0" fontId="4" fillId="3" borderId="118" xfId="1" applyFont="1" applyFill="1" applyBorder="1" applyAlignment="1">
      <alignment horizontal="center"/>
    </xf>
    <xf numFmtId="0" fontId="89" fillId="3" borderId="0" xfId="1" applyFont="1" applyFill="1" applyAlignment="1">
      <alignment horizontal="left"/>
    </xf>
    <xf numFmtId="0" fontId="67" fillId="3" borderId="0" xfId="1" applyFont="1" applyFill="1"/>
    <xf numFmtId="0" fontId="4" fillId="2" borderId="61" xfId="1" applyFont="1" applyFill="1" applyBorder="1"/>
    <xf numFmtId="0" fontId="67" fillId="2" borderId="0" xfId="1" applyFont="1" applyFill="1"/>
    <xf numFmtId="0" fontId="67" fillId="0" borderId="0" xfId="1" applyFont="1"/>
    <xf numFmtId="0" fontId="8" fillId="2" borderId="107" xfId="1" applyFont="1" applyFill="1" applyBorder="1" applyAlignment="1">
      <alignment horizontal="left"/>
    </xf>
    <xf numFmtId="0" fontId="8" fillId="2" borderId="0" xfId="1" applyFont="1" applyFill="1" applyAlignment="1">
      <alignment horizontal="left"/>
    </xf>
    <xf numFmtId="0" fontId="8" fillId="2" borderId="101" xfId="1" applyFont="1" applyFill="1" applyBorder="1" applyAlignment="1">
      <alignment horizontal="left"/>
    </xf>
    <xf numFmtId="0" fontId="8" fillId="3" borderId="0" xfId="1" applyFont="1" applyFill="1" applyAlignment="1">
      <alignment horizontal="left" vertical="center" wrapText="1"/>
    </xf>
    <xf numFmtId="0" fontId="8" fillId="3" borderId="0" xfId="1" applyFont="1" applyFill="1" applyAlignment="1">
      <alignment wrapText="1"/>
    </xf>
    <xf numFmtId="0" fontId="4" fillId="3" borderId="0" xfId="1" applyFont="1" applyFill="1" applyAlignment="1">
      <alignment vertical="center" wrapText="1"/>
    </xf>
    <xf numFmtId="0" fontId="4" fillId="3" borderId="0" xfId="1" applyFont="1" applyFill="1" applyAlignment="1">
      <alignment horizontal="left" vertical="center" wrapText="1"/>
    </xf>
    <xf numFmtId="0" fontId="8" fillId="2" borderId="49" xfId="1" applyFont="1" applyFill="1" applyBorder="1" applyAlignment="1">
      <alignment vertical="center"/>
    </xf>
    <xf numFmtId="0" fontId="8" fillId="2" borderId="60" xfId="1" applyFont="1" applyFill="1" applyBorder="1" applyAlignment="1">
      <alignment vertical="center"/>
    </xf>
    <xf numFmtId="0" fontId="4" fillId="2" borderId="61" xfId="1" applyFont="1" applyFill="1" applyBorder="1" applyAlignment="1">
      <alignment horizontal="center"/>
    </xf>
    <xf numFmtId="0" fontId="8" fillId="2" borderId="55" xfId="1" applyFont="1" applyFill="1" applyBorder="1" applyAlignment="1">
      <alignment vertical="center"/>
    </xf>
    <xf numFmtId="0" fontId="26" fillId="3" borderId="0" xfId="1" applyFont="1" applyFill="1"/>
    <xf numFmtId="0" fontId="8" fillId="3" borderId="0" xfId="1" applyFont="1" applyFill="1"/>
    <xf numFmtId="0" fontId="4" fillId="3" borderId="102" xfId="1" applyFont="1" applyFill="1" applyBorder="1"/>
    <xf numFmtId="0" fontId="8" fillId="3" borderId="0" xfId="1" applyFont="1" applyFill="1" applyAlignment="1">
      <alignment horizontal="left" vertical="top" wrapText="1"/>
    </xf>
    <xf numFmtId="0" fontId="4" fillId="3" borderId="0" xfId="1" applyFont="1" applyFill="1" applyAlignment="1">
      <alignment horizontal="left" vertical="top" wrapText="1"/>
    </xf>
    <xf numFmtId="41" fontId="26" fillId="2" borderId="60" xfId="6" applyFont="1" applyFill="1" applyBorder="1" applyAlignment="1" applyProtection="1">
      <alignment vertical="center"/>
      <protection locked="0"/>
    </xf>
    <xf numFmtId="41" fontId="19" fillId="5" borderId="62" xfId="6" applyFont="1" applyFill="1" applyBorder="1" applyAlignment="1" applyProtection="1">
      <alignment horizontal="center" vertical="center"/>
      <protection locked="0"/>
    </xf>
    <xf numFmtId="41" fontId="26" fillId="2" borderId="55" xfId="6" applyFont="1" applyFill="1" applyBorder="1" applyAlignment="1" applyProtection="1">
      <alignment vertical="center"/>
      <protection locked="0"/>
    </xf>
    <xf numFmtId="41" fontId="19" fillId="5" borderId="57" xfId="6" applyFont="1" applyFill="1" applyBorder="1" applyAlignment="1" applyProtection="1">
      <alignment horizontal="center" vertical="center"/>
      <protection locked="0"/>
    </xf>
    <xf numFmtId="0" fontId="26" fillId="2" borderId="50" xfId="1" applyFont="1" applyFill="1" applyBorder="1" applyAlignment="1">
      <alignment horizontal="center" vertical="center" wrapText="1"/>
    </xf>
    <xf numFmtId="41" fontId="26" fillId="3" borderId="0" xfId="6" applyFont="1" applyFill="1" applyBorder="1" applyAlignment="1" applyProtection="1">
      <alignment horizontal="left" vertical="center"/>
      <protection locked="0"/>
    </xf>
    <xf numFmtId="0" fontId="26" fillId="2" borderId="49" xfId="1" applyFont="1" applyFill="1" applyBorder="1" applyAlignment="1">
      <alignment horizontal="center" vertical="center"/>
    </xf>
    <xf numFmtId="10" fontId="19" fillId="2" borderId="62" xfId="1" applyNumberFormat="1" applyFont="1" applyFill="1" applyBorder="1"/>
    <xf numFmtId="0" fontId="19" fillId="2" borderId="60" xfId="1" applyFont="1" applyFill="1" applyBorder="1"/>
    <xf numFmtId="9" fontId="19" fillId="2" borderId="62" xfId="1" applyNumberFormat="1" applyFont="1" applyFill="1" applyBorder="1"/>
    <xf numFmtId="10" fontId="26" fillId="2" borderId="57" xfId="1" applyNumberFormat="1" applyFont="1" applyFill="1" applyBorder="1"/>
    <xf numFmtId="0" fontId="26" fillId="2" borderId="55" xfId="1" applyFont="1" applyFill="1" applyBorder="1"/>
    <xf numFmtId="0" fontId="26" fillId="2" borderId="49" xfId="1" applyFont="1" applyFill="1" applyBorder="1" applyAlignment="1" applyProtection="1">
      <alignment horizontal="center"/>
      <protection locked="0"/>
    </xf>
    <xf numFmtId="0" fontId="26" fillId="2" borderId="50" xfId="1" applyFont="1" applyFill="1" applyBorder="1" applyAlignment="1" applyProtection="1">
      <alignment horizontal="center"/>
      <protection locked="0"/>
    </xf>
    <xf numFmtId="0" fontId="19" fillId="2" borderId="60" xfId="1" applyFont="1" applyFill="1" applyBorder="1" applyAlignment="1" applyProtection="1">
      <alignment horizontal="center"/>
      <protection locked="0"/>
    </xf>
    <xf numFmtId="172" fontId="19" fillId="2" borderId="61" xfId="1" applyNumberFormat="1" applyFont="1" applyFill="1" applyBorder="1" applyAlignment="1">
      <alignment horizontal="center"/>
    </xf>
    <xf numFmtId="10" fontId="19" fillId="2" borderId="61" xfId="1" applyNumberFormat="1" applyFont="1" applyFill="1" applyBorder="1" applyAlignment="1">
      <alignment horizontal="center"/>
    </xf>
    <xf numFmtId="0" fontId="19" fillId="2" borderId="55" xfId="1" applyFont="1" applyFill="1" applyBorder="1" applyAlignment="1" applyProtection="1">
      <alignment horizontal="center"/>
      <protection locked="0"/>
    </xf>
    <xf numFmtId="172" fontId="19" fillId="2" borderId="56" xfId="1" applyNumberFormat="1" applyFont="1" applyFill="1" applyBorder="1" applyAlignment="1">
      <alignment horizontal="center"/>
    </xf>
    <xf numFmtId="41" fontId="94" fillId="3" borderId="0" xfId="6" applyFont="1" applyFill="1" applyBorder="1" applyAlignment="1" applyProtection="1">
      <alignment horizontal="left" vertical="center"/>
      <protection locked="0"/>
    </xf>
    <xf numFmtId="41" fontId="4" fillId="3" borderId="0" xfId="6" applyFont="1" applyFill="1" applyBorder="1" applyAlignment="1" applyProtection="1">
      <alignment horizontal="center" vertical="center"/>
      <protection locked="0"/>
    </xf>
    <xf numFmtId="0" fontId="26" fillId="2" borderId="49" xfId="1" applyFont="1" applyFill="1" applyBorder="1" applyAlignment="1" applyProtection="1">
      <alignment horizontal="center" vertical="center" wrapText="1"/>
      <protection locked="0"/>
    </xf>
    <xf numFmtId="0" fontId="26" fillId="2" borderId="51" xfId="1" applyFont="1" applyFill="1" applyBorder="1" applyAlignment="1">
      <alignment horizontal="center" vertical="center" wrapText="1"/>
    </xf>
    <xf numFmtId="0" fontId="7" fillId="2" borderId="0" xfId="1" applyFont="1" applyFill="1" applyAlignment="1">
      <alignment horizontal="center" vertical="center" wrapText="1"/>
    </xf>
    <xf numFmtId="0" fontId="89" fillId="2" borderId="61" xfId="1" applyFont="1" applyFill="1" applyBorder="1" applyAlignment="1">
      <alignment horizontal="center" vertical="center" wrapText="1"/>
    </xf>
    <xf numFmtId="0" fontId="19" fillId="5" borderId="60" xfId="1" applyFont="1" applyFill="1" applyBorder="1" applyAlignment="1" applyProtection="1">
      <alignment horizontal="center"/>
      <protection locked="0"/>
    </xf>
    <xf numFmtId="0" fontId="19" fillId="5" borderId="61" xfId="1" applyFont="1" applyFill="1" applyBorder="1" applyAlignment="1">
      <alignment horizontal="center"/>
    </xf>
    <xf numFmtId="0" fontId="19" fillId="5" borderId="61" xfId="1" applyFont="1" applyFill="1" applyBorder="1" applyAlignment="1" applyProtection="1">
      <alignment horizontal="center"/>
      <protection locked="0"/>
    </xf>
    <xf numFmtId="175" fontId="19" fillId="5" borderId="61" xfId="7" applyNumberFormat="1" applyFont="1" applyFill="1" applyBorder="1"/>
    <xf numFmtId="175" fontId="19" fillId="2" borderId="61" xfId="7" applyNumberFormat="1" applyFont="1" applyFill="1" applyBorder="1"/>
    <xf numFmtId="175" fontId="19" fillId="2" borderId="62" xfId="7" applyNumberFormat="1" applyFont="1" applyFill="1" applyBorder="1"/>
    <xf numFmtId="44" fontId="4" fillId="2" borderId="0" xfId="7" applyFont="1" applyFill="1" applyBorder="1"/>
    <xf numFmtId="172" fontId="4" fillId="2" borderId="0" xfId="1" applyNumberFormat="1" applyFont="1" applyFill="1" applyAlignment="1">
      <alignment horizontal="center"/>
    </xf>
    <xf numFmtId="0" fontId="19" fillId="5" borderId="60" xfId="1" applyFont="1" applyFill="1" applyBorder="1" applyAlignment="1">
      <alignment horizontal="center"/>
    </xf>
    <xf numFmtId="0" fontId="26" fillId="2" borderId="55" xfId="1" applyFont="1" applyFill="1" applyBorder="1" applyAlignment="1">
      <alignment horizontal="center"/>
    </xf>
    <xf numFmtId="0" fontId="26" fillId="2" borderId="56" xfId="1" applyFont="1" applyFill="1" applyBorder="1" applyAlignment="1">
      <alignment horizontal="center"/>
    </xf>
    <xf numFmtId="0" fontId="26" fillId="2" borderId="56" xfId="1" applyFont="1" applyFill="1" applyBorder="1"/>
    <xf numFmtId="175" fontId="26" fillId="2" borderId="56" xfId="7" applyNumberFormat="1" applyFont="1" applyFill="1" applyBorder="1"/>
    <xf numFmtId="175" fontId="26" fillId="2" borderId="57" xfId="7" applyNumberFormat="1" applyFont="1" applyFill="1" applyBorder="1"/>
    <xf numFmtId="0" fontId="26" fillId="2" borderId="50" xfId="1" applyFont="1" applyFill="1" applyBorder="1" applyAlignment="1" applyProtection="1">
      <alignment horizontal="center" vertical="center" wrapText="1"/>
      <protection locked="0"/>
    </xf>
    <xf numFmtId="0" fontId="26" fillId="2" borderId="51" xfId="1" applyFont="1" applyFill="1" applyBorder="1" applyAlignment="1" applyProtection="1">
      <alignment horizontal="center" vertical="center" wrapText="1"/>
      <protection locked="0"/>
    </xf>
    <xf numFmtId="175" fontId="4" fillId="3" borderId="0" xfId="1" applyNumberFormat="1" applyFont="1" applyFill="1"/>
    <xf numFmtId="175" fontId="4" fillId="2" borderId="61" xfId="7" applyNumberFormat="1" applyFont="1" applyFill="1" applyBorder="1"/>
    <xf numFmtId="175" fontId="4" fillId="2" borderId="62" xfId="7" applyNumberFormat="1" applyFont="1" applyFill="1" applyBorder="1"/>
    <xf numFmtId="0" fontId="8" fillId="2" borderId="56" xfId="1" applyFont="1" applyFill="1" applyBorder="1"/>
    <xf numFmtId="175" fontId="8" fillId="2" borderId="56" xfId="7" applyNumberFormat="1" applyFont="1" applyFill="1" applyBorder="1"/>
    <xf numFmtId="175" fontId="8" fillId="2" borderId="57" xfId="7" applyNumberFormat="1" applyFont="1" applyFill="1" applyBorder="1"/>
    <xf numFmtId="0" fontId="19" fillId="5" borderId="61" xfId="1" applyFont="1" applyFill="1" applyBorder="1" applyAlignment="1">
      <alignment horizontal="left" vertical="center"/>
    </xf>
    <xf numFmtId="0" fontId="26" fillId="2" borderId="50" xfId="1" applyFont="1" applyFill="1" applyBorder="1" applyAlignment="1">
      <alignment horizontal="center" wrapText="1"/>
    </xf>
    <xf numFmtId="0" fontId="26" fillId="2" borderId="62" xfId="1" applyFont="1" applyFill="1" applyBorder="1" applyAlignment="1">
      <alignment horizontal="center" wrapText="1"/>
    </xf>
    <xf numFmtId="9" fontId="19" fillId="5" borderId="62" xfId="8" applyFont="1" applyFill="1" applyBorder="1" applyAlignment="1">
      <alignment horizontal="center"/>
    </xf>
    <xf numFmtId="9" fontId="26" fillId="2" borderId="57" xfId="1" applyNumberFormat="1" applyFont="1" applyFill="1" applyBorder="1" applyAlignment="1">
      <alignment horizontal="center"/>
    </xf>
    <xf numFmtId="0" fontId="26" fillId="2" borderId="0" xfId="1" applyFont="1" applyFill="1" applyAlignment="1">
      <alignment horizontal="left"/>
    </xf>
    <xf numFmtId="0" fontId="26" fillId="3" borderId="0" xfId="1" applyFont="1" applyFill="1" applyAlignment="1">
      <alignment horizontal="left" vertical="center"/>
    </xf>
    <xf numFmtId="0" fontId="8" fillId="3" borderId="0" xfId="1" applyFont="1" applyFill="1" applyAlignment="1">
      <alignment vertical="center"/>
    </xf>
    <xf numFmtId="0" fontId="26" fillId="2" borderId="193" xfId="1" applyFont="1" applyFill="1" applyBorder="1" applyAlignment="1">
      <alignment horizontal="center"/>
    </xf>
    <xf numFmtId="0" fontId="26" fillId="2" borderId="194" xfId="1" applyFont="1" applyFill="1" applyBorder="1" applyAlignment="1">
      <alignment horizontal="center"/>
    </xf>
    <xf numFmtId="0" fontId="26" fillId="2" borderId="196" xfId="1" applyFont="1" applyFill="1" applyBorder="1" applyAlignment="1">
      <alignment horizontal="center"/>
    </xf>
    <xf numFmtId="175" fontId="19" fillId="5" borderId="164" xfId="7" applyNumberFormat="1" applyFont="1" applyFill="1" applyBorder="1"/>
    <xf numFmtId="175" fontId="19" fillId="0" borderId="173" xfId="7" applyNumberFormat="1" applyFont="1" applyFill="1" applyBorder="1"/>
    <xf numFmtId="175" fontId="19" fillId="2" borderId="164" xfId="7" applyNumberFormat="1" applyFont="1" applyFill="1" applyBorder="1"/>
    <xf numFmtId="175" fontId="19" fillId="2" borderId="103" xfId="7" applyNumberFormat="1" applyFont="1" applyFill="1" applyBorder="1"/>
    <xf numFmtId="175" fontId="19" fillId="2" borderId="197" xfId="7" applyNumberFormat="1" applyFont="1" applyFill="1" applyBorder="1"/>
    <xf numFmtId="175" fontId="19" fillId="5" borderId="60" xfId="7" applyNumberFormat="1" applyFont="1" applyFill="1" applyBorder="1"/>
    <xf numFmtId="175" fontId="19" fillId="5" borderId="62" xfId="7" applyNumberFormat="1" applyFont="1" applyFill="1" applyBorder="1"/>
    <xf numFmtId="175" fontId="19" fillId="5" borderId="198" xfId="7" applyNumberFormat="1" applyFont="1" applyFill="1" applyBorder="1"/>
    <xf numFmtId="175" fontId="19" fillId="5" borderId="199" xfId="7" applyNumberFormat="1" applyFont="1" applyFill="1" applyBorder="1"/>
    <xf numFmtId="175" fontId="19" fillId="2" borderId="193" xfId="7" applyNumberFormat="1" applyFont="1" applyFill="1" applyBorder="1"/>
    <xf numFmtId="175" fontId="19" fillId="2" borderId="189" xfId="7" applyNumberFormat="1" applyFont="1" applyFill="1" applyBorder="1"/>
    <xf numFmtId="175" fontId="19" fillId="2" borderId="9" xfId="7" applyNumberFormat="1" applyFont="1" applyFill="1" applyBorder="1"/>
    <xf numFmtId="175" fontId="26" fillId="2" borderId="41" xfId="7" applyNumberFormat="1" applyFont="1" applyFill="1" applyBorder="1"/>
    <xf numFmtId="175" fontId="26" fillId="2" borderId="43" xfId="7" applyNumberFormat="1" applyFont="1" applyFill="1" applyBorder="1"/>
    <xf numFmtId="0" fontId="14" fillId="2" borderId="0" xfId="1" applyFont="1" applyFill="1"/>
    <xf numFmtId="0" fontId="26" fillId="2" borderId="51" xfId="1" applyFont="1" applyFill="1" applyBorder="1" applyAlignment="1">
      <alignment horizontal="center"/>
    </xf>
    <xf numFmtId="0" fontId="8" fillId="3" borderId="0" xfId="1" applyFont="1" applyFill="1" applyAlignment="1">
      <alignment horizontal="left"/>
    </xf>
    <xf numFmtId="0" fontId="81" fillId="2" borderId="61" xfId="1" applyFont="1" applyFill="1" applyBorder="1"/>
    <xf numFmtId="0" fontId="81" fillId="2" borderId="61" xfId="1" applyFont="1" applyFill="1" applyBorder="1" applyAlignment="1">
      <alignment horizontal="center"/>
    </xf>
    <xf numFmtId="9" fontId="19" fillId="2" borderId="61" xfId="8" applyFont="1" applyFill="1" applyBorder="1"/>
    <xf numFmtId="1" fontId="4" fillId="2" borderId="61" xfId="1" applyNumberFormat="1" applyFont="1" applyFill="1" applyBorder="1"/>
    <xf numFmtId="9" fontId="4" fillId="2" borderId="61" xfId="8" applyFont="1" applyFill="1" applyBorder="1"/>
    <xf numFmtId="9" fontId="26" fillId="2" borderId="56" xfId="8" applyFont="1" applyFill="1" applyBorder="1"/>
    <xf numFmtId="1" fontId="81" fillId="2" borderId="61" xfId="1" applyNumberFormat="1" applyFont="1" applyFill="1" applyBorder="1"/>
    <xf numFmtId="9" fontId="81" fillId="2" borderId="61" xfId="8" applyFont="1" applyFill="1" applyBorder="1"/>
    <xf numFmtId="0" fontId="8" fillId="2" borderId="61" xfId="1" applyFont="1" applyFill="1" applyBorder="1" applyAlignment="1">
      <alignment horizontal="center"/>
    </xf>
    <xf numFmtId="0" fontId="8" fillId="5" borderId="62" xfId="1" applyFont="1" applyFill="1" applyBorder="1" applyAlignment="1">
      <alignment horizontal="center" wrapText="1"/>
    </xf>
    <xf numFmtId="0" fontId="8" fillId="5" borderId="57" xfId="1" applyFont="1" applyFill="1" applyBorder="1" applyAlignment="1">
      <alignment horizontal="center" wrapText="1"/>
    </xf>
    <xf numFmtId="0" fontId="8" fillId="2" borderId="50" xfId="1" applyFont="1" applyFill="1" applyBorder="1" applyAlignment="1">
      <alignment horizontal="center"/>
    </xf>
    <xf numFmtId="0" fontId="4" fillId="2" borderId="0" xfId="1" applyFont="1" applyFill="1" applyAlignment="1">
      <alignment wrapText="1"/>
    </xf>
    <xf numFmtId="0" fontId="4" fillId="2" borderId="60" xfId="1" applyFont="1" applyFill="1" applyBorder="1" applyAlignment="1">
      <alignment horizontal="center"/>
    </xf>
    <xf numFmtId="0" fontId="8" fillId="2" borderId="49" xfId="1" applyFont="1" applyFill="1" applyBorder="1" applyAlignment="1">
      <alignment horizontal="center" vertical="center" wrapText="1"/>
    </xf>
    <xf numFmtId="0" fontId="8" fillId="2" borderId="50" xfId="1" applyFont="1" applyFill="1" applyBorder="1" applyAlignment="1">
      <alignment horizontal="center" vertical="center" wrapText="1"/>
    </xf>
    <xf numFmtId="0" fontId="8" fillId="2" borderId="51" xfId="1" applyFont="1" applyFill="1" applyBorder="1" applyAlignment="1">
      <alignment horizontal="center" vertical="center" wrapText="1"/>
    </xf>
    <xf numFmtId="0" fontId="8" fillId="2" borderId="106" xfId="1" applyFont="1" applyFill="1" applyBorder="1" applyAlignment="1">
      <alignment horizontal="center"/>
    </xf>
    <xf numFmtId="10" fontId="4" fillId="22" borderId="74" xfId="5" applyNumberFormat="1" applyFont="1" applyFill="1" applyBorder="1" applyAlignment="1">
      <alignment horizontal="right"/>
    </xf>
    <xf numFmtId="10" fontId="4" fillId="22" borderId="76" xfId="5" applyNumberFormat="1" applyFont="1" applyFill="1" applyBorder="1" applyAlignment="1">
      <alignment horizontal="right"/>
    </xf>
    <xf numFmtId="10" fontId="26" fillId="2" borderId="57" xfId="1" applyNumberFormat="1" applyFont="1" applyFill="1" applyBorder="1" applyAlignment="1">
      <alignment horizontal="right"/>
    </xf>
    <xf numFmtId="0" fontId="1" fillId="0" borderId="0" xfId="1"/>
    <xf numFmtId="0" fontId="4" fillId="0" borderId="0" xfId="1" applyFont="1"/>
    <xf numFmtId="10" fontId="4" fillId="2" borderId="56" xfId="5" applyNumberFormat="1" applyFont="1" applyFill="1" applyBorder="1" applyAlignment="1">
      <alignment horizontal="center" vertical="center" wrapText="1"/>
    </xf>
    <xf numFmtId="10" fontId="4" fillId="2" borderId="57" xfId="5" applyNumberFormat="1" applyFont="1" applyFill="1" applyBorder="1" applyAlignment="1">
      <alignment horizontal="center" vertical="center" wrapText="1"/>
    </xf>
    <xf numFmtId="10" fontId="19" fillId="2" borderId="56" xfId="8" applyNumberFormat="1" applyFont="1" applyFill="1" applyBorder="1" applyAlignment="1">
      <alignment horizontal="center" vertical="center" wrapText="1"/>
    </xf>
    <xf numFmtId="10" fontId="19" fillId="2" borderId="57" xfId="8" applyNumberFormat="1" applyFont="1" applyFill="1" applyBorder="1" applyAlignment="1">
      <alignment horizontal="center" vertical="center" wrapText="1"/>
    </xf>
    <xf numFmtId="44" fontId="4" fillId="2" borderId="61" xfId="4" applyFont="1" applyFill="1" applyBorder="1"/>
    <xf numFmtId="44" fontId="81" fillId="2" borderId="61" xfId="4" applyFont="1" applyFill="1" applyBorder="1"/>
    <xf numFmtId="0" fontId="96" fillId="3" borderId="0" xfId="1" applyFont="1" applyFill="1" applyAlignment="1">
      <alignment vertical="center"/>
    </xf>
    <xf numFmtId="0" fontId="96" fillId="2" borderId="0" xfId="1" applyFont="1" applyFill="1" applyAlignment="1">
      <alignment vertical="center"/>
    </xf>
    <xf numFmtId="0" fontId="96" fillId="3" borderId="0" xfId="1" applyFont="1" applyFill="1" applyAlignment="1">
      <alignment horizontal="center" vertical="center"/>
    </xf>
    <xf numFmtId="0" fontId="6" fillId="3" borderId="0" xfId="1" applyFont="1" applyFill="1"/>
    <xf numFmtId="0" fontId="8" fillId="2" borderId="42" xfId="1" applyFont="1" applyFill="1" applyBorder="1" applyAlignment="1">
      <alignment horizontal="center" vertical="center"/>
    </xf>
    <xf numFmtId="0" fontId="8" fillId="2" borderId="41" xfId="1" applyFont="1" applyFill="1" applyBorder="1" applyAlignment="1">
      <alignment horizontal="center" vertical="center"/>
    </xf>
    <xf numFmtId="0" fontId="8" fillId="2" borderId="43" xfId="1" applyFont="1" applyFill="1" applyBorder="1" applyAlignment="1">
      <alignment horizontal="center" vertical="center"/>
    </xf>
    <xf numFmtId="0" fontId="8" fillId="2" borderId="193" xfId="1" applyFont="1" applyFill="1" applyBorder="1" applyAlignment="1">
      <alignment horizontal="center" vertical="center"/>
    </xf>
    <xf numFmtId="0" fontId="8" fillId="2" borderId="194" xfId="1" applyFont="1" applyFill="1" applyBorder="1" applyAlignment="1">
      <alignment horizontal="center" vertical="center"/>
    </xf>
    <xf numFmtId="0" fontId="8" fillId="2" borderId="196" xfId="1" applyFont="1" applyFill="1" applyBorder="1" applyAlignment="1">
      <alignment horizontal="center" vertical="center"/>
    </xf>
    <xf numFmtId="0" fontId="8" fillId="2" borderId="202" xfId="1" applyFont="1" applyFill="1" applyBorder="1" applyAlignment="1">
      <alignment horizontal="center" vertical="center"/>
    </xf>
    <xf numFmtId="9" fontId="4" fillId="5" borderId="164" xfId="8" applyFont="1" applyFill="1" applyBorder="1" applyAlignment="1" applyProtection="1">
      <alignment horizontal="center"/>
      <protection locked="0"/>
    </xf>
    <xf numFmtId="9" fontId="4" fillId="5" borderId="165" xfId="8" applyFont="1" applyFill="1" applyBorder="1" applyAlignment="1" applyProtection="1">
      <alignment horizontal="center"/>
      <protection locked="0"/>
    </xf>
    <xf numFmtId="9" fontId="4" fillId="5" borderId="173" xfId="8" applyFont="1" applyFill="1" applyBorder="1" applyAlignment="1" applyProtection="1">
      <alignment horizontal="center"/>
      <protection locked="0"/>
    </xf>
    <xf numFmtId="0" fontId="4" fillId="2" borderId="106" xfId="1" applyFont="1" applyFill="1" applyBorder="1" applyAlignment="1">
      <alignment horizontal="center"/>
    </xf>
    <xf numFmtId="175" fontId="4" fillId="2" borderId="61" xfId="7" applyNumberFormat="1" applyFont="1" applyFill="1" applyBorder="1" applyProtection="1"/>
    <xf numFmtId="44" fontId="4" fillId="2" borderId="61" xfId="7" applyFont="1" applyFill="1" applyBorder="1" applyProtection="1"/>
    <xf numFmtId="0" fontId="8" fillId="2" borderId="204" xfId="1" applyFont="1" applyFill="1" applyBorder="1" applyAlignment="1">
      <alignment horizontal="center" vertical="center"/>
    </xf>
    <xf numFmtId="0" fontId="4" fillId="2" borderId="202" xfId="1" applyFont="1" applyFill="1" applyBorder="1" applyAlignment="1">
      <alignment horizontal="center" vertical="center"/>
    </xf>
    <xf numFmtId="9" fontId="4" fillId="3" borderId="0" xfId="1" applyNumberFormat="1" applyFont="1" applyFill="1"/>
    <xf numFmtId="0" fontId="4" fillId="2" borderId="205" xfId="1" applyFont="1" applyFill="1" applyBorder="1" applyAlignment="1">
      <alignment horizontal="center" vertical="center"/>
    </xf>
    <xf numFmtId="0" fontId="4" fillId="2" borderId="106" xfId="1" applyFont="1" applyFill="1" applyBorder="1"/>
    <xf numFmtId="0" fontId="8" fillId="2" borderId="61" xfId="1" applyFont="1" applyFill="1" applyBorder="1"/>
    <xf numFmtId="44" fontId="8" fillId="2" borderId="61" xfId="1" applyNumberFormat="1" applyFont="1" applyFill="1" applyBorder="1"/>
    <xf numFmtId="0" fontId="4" fillId="2" borderId="206" xfId="1" applyFont="1" applyFill="1" applyBorder="1" applyAlignment="1">
      <alignment horizontal="center" vertical="center"/>
    </xf>
    <xf numFmtId="175" fontId="4" fillId="5" borderId="198" xfId="7" applyNumberFormat="1" applyFont="1" applyFill="1" applyBorder="1" applyAlignment="1" applyProtection="1">
      <alignment horizontal="center"/>
      <protection locked="0"/>
    </xf>
    <xf numFmtId="175" fontId="4" fillId="5" borderId="186" xfId="7" applyNumberFormat="1" applyFont="1" applyFill="1" applyBorder="1" applyAlignment="1" applyProtection="1">
      <alignment horizontal="center"/>
      <protection locked="0"/>
    </xf>
    <xf numFmtId="175" fontId="4" fillId="5" borderId="186" xfId="7" applyNumberFormat="1" applyFont="1" applyFill="1" applyBorder="1" applyProtection="1">
      <protection locked="0"/>
    </xf>
    <xf numFmtId="175" fontId="4" fillId="5" borderId="199" xfId="7" applyNumberFormat="1" applyFont="1" applyFill="1" applyBorder="1" applyProtection="1">
      <protection locked="0"/>
    </xf>
    <xf numFmtId="175" fontId="8" fillId="10" borderId="41" xfId="7" applyNumberFormat="1" applyFont="1" applyFill="1" applyBorder="1" applyAlignment="1" applyProtection="1">
      <alignment horizontal="center"/>
    </xf>
    <xf numFmtId="175" fontId="8" fillId="10" borderId="41" xfId="7" applyNumberFormat="1" applyFont="1" applyFill="1" applyBorder="1" applyProtection="1"/>
    <xf numFmtId="175" fontId="8" fillId="10" borderId="204" xfId="7" applyNumberFormat="1" applyFont="1" applyFill="1" applyBorder="1" applyProtection="1"/>
    <xf numFmtId="0" fontId="8" fillId="3" borderId="0" xfId="1" applyFont="1" applyFill="1" applyAlignment="1">
      <alignment horizontal="center" vertical="center"/>
    </xf>
    <xf numFmtId="1" fontId="8" fillId="5" borderId="204" xfId="1" applyNumberFormat="1" applyFont="1" applyFill="1" applyBorder="1" applyAlignment="1" applyProtection="1">
      <alignment horizontal="center"/>
      <protection locked="0"/>
    </xf>
    <xf numFmtId="175" fontId="8" fillId="2" borderId="41" xfId="1" applyNumberFormat="1" applyFont="1" applyFill="1" applyBorder="1" applyAlignment="1">
      <alignment horizontal="center"/>
    </xf>
    <xf numFmtId="175" fontId="8" fillId="2" borderId="41" xfId="1" applyNumberFormat="1" applyFont="1" applyFill="1" applyBorder="1"/>
    <xf numFmtId="0" fontId="97" fillId="3" borderId="0" xfId="1" applyFont="1" applyFill="1" applyAlignment="1">
      <alignment horizontal="center" vertical="top" wrapText="1"/>
    </xf>
    <xf numFmtId="0" fontId="97" fillId="3" borderId="0" xfId="1" applyFont="1" applyFill="1" applyAlignment="1">
      <alignment vertical="top" wrapText="1"/>
    </xf>
    <xf numFmtId="0" fontId="92" fillId="2" borderId="50" xfId="1" applyFont="1" applyFill="1" applyBorder="1" applyAlignment="1">
      <alignment horizontal="center" vertical="center" wrapText="1"/>
    </xf>
    <xf numFmtId="0" fontId="26" fillId="2" borderId="50" xfId="1" applyFont="1" applyFill="1" applyBorder="1" applyAlignment="1">
      <alignment horizontal="center" vertical="center" wrapText="1" readingOrder="1"/>
    </xf>
    <xf numFmtId="0" fontId="92" fillId="2" borderId="51" xfId="1" applyFont="1" applyFill="1" applyBorder="1" applyAlignment="1">
      <alignment horizontal="center" vertical="center" wrapText="1"/>
    </xf>
    <xf numFmtId="176" fontId="4" fillId="2" borderId="61" xfId="7" applyNumberFormat="1" applyFont="1" applyFill="1" applyBorder="1" applyAlignment="1" applyProtection="1">
      <alignment horizontal="right"/>
    </xf>
    <xf numFmtId="176" fontId="4" fillId="2" borderId="62" xfId="7" applyNumberFormat="1" applyFont="1" applyFill="1" applyBorder="1" applyAlignment="1" applyProtection="1">
      <alignment horizontal="right"/>
    </xf>
    <xf numFmtId="176" fontId="19" fillId="2" borderId="61" xfId="7" applyNumberFormat="1" applyFont="1" applyFill="1" applyBorder="1" applyAlignment="1" applyProtection="1">
      <alignment horizontal="right" vertical="center" wrapText="1" readingOrder="1"/>
    </xf>
    <xf numFmtId="176" fontId="97" fillId="2" borderId="61" xfId="7" applyNumberFormat="1" applyFont="1" applyFill="1" applyBorder="1" applyAlignment="1" applyProtection="1">
      <alignment horizontal="right" vertical="top" wrapText="1"/>
    </xf>
    <xf numFmtId="176" fontId="92" fillId="2" borderId="56" xfId="7" applyNumberFormat="1" applyFont="1" applyFill="1" applyBorder="1" applyAlignment="1" applyProtection="1">
      <alignment horizontal="right" vertical="top" wrapText="1"/>
    </xf>
    <xf numFmtId="176" fontId="92" fillId="2" borderId="57" xfId="7" applyNumberFormat="1" applyFont="1" applyFill="1" applyBorder="1" applyAlignment="1" applyProtection="1">
      <alignment horizontal="right" vertical="top" wrapText="1"/>
    </xf>
    <xf numFmtId="177" fontId="8" fillId="2" borderId="43" xfId="1" applyNumberFormat="1" applyFont="1" applyFill="1" applyBorder="1" applyAlignment="1">
      <alignment horizontal="center"/>
    </xf>
    <xf numFmtId="177" fontId="4" fillId="3" borderId="0" xfId="1" applyNumberFormat="1" applyFont="1" applyFill="1" applyAlignment="1">
      <alignment horizontal="center"/>
    </xf>
    <xf numFmtId="175" fontId="4" fillId="3" borderId="0" xfId="1" applyNumberFormat="1" applyFont="1" applyFill="1" applyAlignment="1">
      <alignment horizontal="center"/>
    </xf>
    <xf numFmtId="0" fontId="8" fillId="3" borderId="0" xfId="1" applyFont="1" applyFill="1" applyAlignment="1">
      <alignment horizontal="center" vertical="center" wrapText="1"/>
    </xf>
    <xf numFmtId="0" fontId="8" fillId="3" borderId="0" xfId="1" applyFont="1" applyFill="1" applyAlignment="1">
      <alignment vertical="center" wrapText="1"/>
    </xf>
    <xf numFmtId="174" fontId="4" fillId="2" borderId="61" xfId="1" applyNumberFormat="1" applyFont="1" applyFill="1" applyBorder="1" applyAlignment="1">
      <alignment horizontal="right"/>
    </xf>
    <xf numFmtId="0" fontId="4" fillId="2" borderId="55" xfId="1" applyFont="1" applyFill="1" applyBorder="1" applyAlignment="1">
      <alignment horizontal="center"/>
    </xf>
    <xf numFmtId="174" fontId="4" fillId="2" borderId="56" xfId="1" applyNumberFormat="1" applyFont="1" applyFill="1" applyBorder="1" applyAlignment="1">
      <alignment horizontal="right"/>
    </xf>
    <xf numFmtId="0" fontId="4" fillId="3" borderId="0" xfId="1" applyFont="1" applyFill="1" applyAlignment="1">
      <alignment horizontal="center" wrapText="1"/>
    </xf>
    <xf numFmtId="178" fontId="4" fillId="5" borderId="42" xfId="1" applyNumberFormat="1" applyFont="1" applyFill="1" applyBorder="1" applyAlignment="1" applyProtection="1">
      <alignment horizontal="center" wrapText="1"/>
      <protection locked="0"/>
    </xf>
    <xf numFmtId="178" fontId="4" fillId="5" borderId="43" xfId="1" applyNumberFormat="1" applyFont="1" applyFill="1" applyBorder="1" applyAlignment="1" applyProtection="1">
      <alignment horizontal="center" wrapText="1"/>
      <protection locked="0"/>
    </xf>
    <xf numFmtId="0" fontId="8" fillId="2" borderId="50" xfId="1" applyFont="1" applyFill="1" applyBorder="1" applyAlignment="1">
      <alignment horizontal="center" wrapText="1"/>
    </xf>
    <xf numFmtId="175" fontId="4" fillId="2" borderId="61" xfId="7" applyNumberFormat="1" applyFont="1" applyFill="1" applyBorder="1" applyAlignment="1" applyProtection="1">
      <alignment horizontal="center"/>
    </xf>
    <xf numFmtId="9" fontId="8" fillId="5" borderId="61" xfId="1" applyNumberFormat="1" applyFont="1" applyFill="1" applyBorder="1" applyAlignment="1" applyProtection="1">
      <alignment horizontal="center"/>
      <protection locked="0"/>
    </xf>
    <xf numFmtId="175" fontId="4" fillId="2" borderId="62" xfId="7" applyNumberFormat="1" applyFont="1" applyFill="1" applyBorder="1" applyAlignment="1" applyProtection="1">
      <alignment horizontal="center"/>
    </xf>
    <xf numFmtId="175" fontId="4" fillId="2" borderId="56" xfId="7" applyNumberFormat="1" applyFont="1" applyFill="1" applyBorder="1" applyAlignment="1" applyProtection="1">
      <alignment horizontal="center"/>
    </xf>
    <xf numFmtId="9" fontId="8" fillId="5" borderId="56" xfId="1" applyNumberFormat="1" applyFont="1" applyFill="1" applyBorder="1" applyAlignment="1" applyProtection="1">
      <alignment horizontal="center"/>
      <protection locked="0"/>
    </xf>
    <xf numFmtId="175" fontId="4" fillId="2" borderId="57" xfId="7" applyNumberFormat="1" applyFont="1" applyFill="1" applyBorder="1" applyAlignment="1" applyProtection="1">
      <alignment horizontal="center"/>
    </xf>
    <xf numFmtId="9" fontId="4" fillId="5" borderId="61" xfId="8" applyFont="1" applyFill="1" applyBorder="1" applyAlignment="1" applyProtection="1">
      <alignment horizontal="center"/>
      <protection locked="0"/>
    </xf>
    <xf numFmtId="0" fontId="4" fillId="2" borderId="60" xfId="1" applyFont="1" applyFill="1" applyBorder="1"/>
    <xf numFmtId="9" fontId="8" fillId="2" borderId="56" xfId="8" applyFont="1" applyFill="1" applyBorder="1" applyAlignment="1" applyProtection="1">
      <alignment horizontal="center"/>
    </xf>
    <xf numFmtId="0" fontId="16" fillId="3" borderId="0" xfId="1" applyFont="1" applyFill="1"/>
    <xf numFmtId="0" fontId="16" fillId="2" borderId="60" xfId="1" applyFont="1" applyFill="1" applyBorder="1" applyAlignment="1">
      <alignment horizontal="center"/>
    </xf>
    <xf numFmtId="0" fontId="16" fillId="2" borderId="55" xfId="1" applyFont="1" applyFill="1" applyBorder="1" applyAlignment="1">
      <alignment horizontal="center"/>
    </xf>
    <xf numFmtId="3" fontId="26" fillId="3" borderId="0" xfId="1" applyNumberFormat="1" applyFont="1" applyFill="1"/>
    <xf numFmtId="3" fontId="26" fillId="2" borderId="50" xfId="1" applyNumberFormat="1" applyFont="1" applyFill="1" applyBorder="1" applyAlignment="1" applyProtection="1">
      <alignment horizontal="center"/>
      <protection locked="0"/>
    </xf>
    <xf numFmtId="3" fontId="26" fillId="2" borderId="50" xfId="1" applyNumberFormat="1" applyFont="1" applyFill="1" applyBorder="1" applyAlignment="1">
      <alignment horizontal="center"/>
    </xf>
    <xf numFmtId="3" fontId="26" fillId="2" borderId="51" xfId="1" applyNumberFormat="1" applyFont="1" applyFill="1" applyBorder="1" applyAlignment="1">
      <alignment horizontal="center"/>
    </xf>
    <xf numFmtId="1" fontId="19" fillId="5" borderId="56" xfId="1" applyNumberFormat="1" applyFont="1" applyFill="1" applyBorder="1" applyAlignment="1" applyProtection="1">
      <alignment horizontal="center"/>
      <protection locked="0"/>
    </xf>
    <xf numFmtId="1" fontId="19" fillId="5" borderId="56" xfId="7" applyNumberFormat="1" applyFont="1" applyFill="1" applyBorder="1" applyAlignment="1" applyProtection="1">
      <alignment horizontal="center"/>
      <protection locked="0"/>
    </xf>
    <xf numFmtId="1" fontId="19" fillId="5" borderId="57" xfId="7" applyNumberFormat="1" applyFont="1" applyFill="1" applyBorder="1" applyAlignment="1" applyProtection="1">
      <alignment horizontal="center"/>
      <protection locked="0"/>
    </xf>
    <xf numFmtId="3" fontId="26" fillId="3" borderId="0" xfId="1" applyNumberFormat="1" applyFont="1" applyFill="1" applyAlignment="1">
      <alignment horizontal="center" vertical="center"/>
    </xf>
    <xf numFmtId="1" fontId="19" fillId="3" borderId="0" xfId="1" applyNumberFormat="1" applyFont="1" applyFill="1" applyAlignment="1">
      <alignment horizontal="center"/>
    </xf>
    <xf numFmtId="1" fontId="19" fillId="3" borderId="0" xfId="7" applyNumberFormat="1" applyFont="1" applyFill="1" applyBorder="1" applyAlignment="1" applyProtection="1">
      <alignment horizontal="center"/>
    </xf>
    <xf numFmtId="3" fontId="4" fillId="3" borderId="0" xfId="1" applyNumberFormat="1" applyFont="1" applyFill="1"/>
    <xf numFmtId="0" fontId="19" fillId="3" borderId="0" xfId="1" applyFont="1" applyFill="1" applyAlignment="1">
      <alignment vertical="top" wrapText="1"/>
    </xf>
    <xf numFmtId="3" fontId="19" fillId="3" borderId="0" xfId="1" applyNumberFormat="1" applyFont="1" applyFill="1"/>
    <xf numFmtId="0" fontId="98" fillId="3" borderId="0" xfId="1" applyFont="1" applyFill="1" applyAlignment="1">
      <alignment horizontal="left" vertical="top"/>
    </xf>
    <xf numFmtId="0" fontId="4" fillId="5" borderId="43" xfId="1" applyFont="1" applyFill="1" applyBorder="1" applyAlignment="1" applyProtection="1">
      <alignment horizontal="center"/>
      <protection locked="0"/>
    </xf>
    <xf numFmtId="0" fontId="8" fillId="3" borderId="0" xfId="1" applyFont="1" applyFill="1" applyAlignment="1">
      <alignment horizontal="center"/>
    </xf>
    <xf numFmtId="0" fontId="99" fillId="3" borderId="0" xfId="1" applyFont="1" applyFill="1"/>
    <xf numFmtId="0" fontId="14" fillId="3" borderId="0" xfId="1" applyFont="1" applyFill="1"/>
    <xf numFmtId="0" fontId="4" fillId="26" borderId="0" xfId="1" applyFont="1" applyFill="1"/>
    <xf numFmtId="0" fontId="4" fillId="26" borderId="0" xfId="1" applyFont="1" applyFill="1" applyAlignment="1">
      <alignment horizontal="center"/>
    </xf>
    <xf numFmtId="175" fontId="4" fillId="2" borderId="0" xfId="1" applyNumberFormat="1" applyFont="1" applyFill="1"/>
    <xf numFmtId="176" fontId="4" fillId="2" borderId="0" xfId="1" applyNumberFormat="1" applyFont="1" applyFill="1"/>
    <xf numFmtId="10" fontId="4" fillId="2" borderId="0" xfId="9" applyNumberFormat="1" applyFont="1" applyFill="1"/>
    <xf numFmtId="2" fontId="4" fillId="2" borderId="0" xfId="1" applyNumberFormat="1" applyFont="1" applyFill="1"/>
    <xf numFmtId="9" fontId="4" fillId="2" borderId="0" xfId="9" applyFont="1" applyFill="1"/>
    <xf numFmtId="175" fontId="4" fillId="2" borderId="0" xfId="4" applyNumberFormat="1" applyFont="1" applyFill="1"/>
    <xf numFmtId="0" fontId="45" fillId="27" borderId="61" xfId="0" applyFont="1" applyFill="1" applyBorder="1" applyAlignment="1">
      <alignment horizontal="center" vertical="center" wrapText="1"/>
    </xf>
    <xf numFmtId="10" fontId="4" fillId="3" borderId="0" xfId="9" applyNumberFormat="1" applyFont="1" applyFill="1" applyAlignment="1">
      <alignment horizontal="center"/>
    </xf>
    <xf numFmtId="10" fontId="44" fillId="0" borderId="0" xfId="9" applyNumberFormat="1" applyFont="1"/>
    <xf numFmtId="171" fontId="4" fillId="3" borderId="0" xfId="5" applyNumberFormat="1" applyFont="1" applyFill="1"/>
    <xf numFmtId="175" fontId="4" fillId="2" borderId="61" xfId="1" applyNumberFormat="1" applyFont="1" applyFill="1" applyBorder="1"/>
    <xf numFmtId="44" fontId="4" fillId="2" borderId="61" xfId="1" applyNumberFormat="1" applyFont="1" applyFill="1" applyBorder="1"/>
    <xf numFmtId="10" fontId="4" fillId="3" borderId="0" xfId="9" applyNumberFormat="1" applyFont="1" applyFill="1"/>
    <xf numFmtId="172" fontId="4" fillId="3" borderId="0" xfId="9" applyNumberFormat="1" applyFont="1" applyFill="1"/>
    <xf numFmtId="2" fontId="8" fillId="3" borderId="0" xfId="1" applyNumberFormat="1" applyFont="1" applyFill="1" applyAlignment="1">
      <alignment horizontal="center"/>
    </xf>
    <xf numFmtId="0" fontId="10" fillId="2" borderId="0" xfId="1" applyFont="1" applyFill="1" applyAlignment="1">
      <alignment vertical="center"/>
    </xf>
    <xf numFmtId="0" fontId="4" fillId="2" borderId="15" xfId="1" applyFont="1" applyFill="1" applyBorder="1" applyAlignment="1" applyProtection="1">
      <alignment horizontal="left" vertical="center" wrapText="1"/>
      <protection locked="0"/>
    </xf>
    <xf numFmtId="0" fontId="3" fillId="2" borderId="16" xfId="1" applyFont="1" applyFill="1" applyBorder="1" applyAlignment="1" applyProtection="1">
      <alignment horizontal="left" wrapText="1"/>
      <protection locked="0"/>
    </xf>
    <xf numFmtId="0" fontId="3" fillId="2" borderId="17" xfId="1" applyFont="1" applyFill="1" applyBorder="1" applyAlignment="1" applyProtection="1">
      <alignment horizontal="left" wrapText="1"/>
      <protection locked="0"/>
    </xf>
    <xf numFmtId="0" fontId="8" fillId="2" borderId="19" xfId="1" applyFont="1" applyFill="1" applyBorder="1" applyAlignment="1" applyProtection="1">
      <alignment horizontal="center" vertical="center" wrapText="1"/>
      <protection locked="0"/>
    </xf>
    <xf numFmtId="0" fontId="3" fillId="2" borderId="21" xfId="1" applyFont="1" applyFill="1" applyBorder="1" applyProtection="1">
      <protection locked="0"/>
    </xf>
    <xf numFmtId="0" fontId="3" fillId="2" borderId="20" xfId="1" applyFont="1" applyFill="1" applyBorder="1" applyProtection="1">
      <protection locked="0"/>
    </xf>
    <xf numFmtId="0" fontId="3" fillId="2" borderId="29" xfId="1" applyFont="1" applyFill="1" applyBorder="1" applyProtection="1">
      <protection locked="0"/>
    </xf>
    <xf numFmtId="0" fontId="8" fillId="2" borderId="24" xfId="1" applyFont="1" applyFill="1" applyBorder="1" applyAlignment="1" applyProtection="1">
      <alignment horizontal="center" vertical="center" wrapText="1"/>
      <protection locked="0"/>
    </xf>
    <xf numFmtId="0" fontId="3" fillId="2" borderId="26" xfId="1" applyFont="1" applyFill="1" applyBorder="1" applyProtection="1">
      <protection locked="0"/>
    </xf>
    <xf numFmtId="0" fontId="3" fillId="2" borderId="25" xfId="1" applyFont="1" applyFill="1" applyBorder="1" applyProtection="1">
      <protection locked="0"/>
    </xf>
    <xf numFmtId="0" fontId="3" fillId="2" borderId="30" xfId="1" applyFont="1" applyFill="1" applyBorder="1" applyProtection="1">
      <protection locked="0"/>
    </xf>
    <xf numFmtId="0" fontId="8" fillId="4" borderId="32" xfId="1" applyFont="1" applyFill="1" applyBorder="1" applyAlignment="1">
      <alignment horizontal="left" vertical="center" wrapText="1"/>
    </xf>
    <xf numFmtId="0" fontId="3" fillId="2" borderId="33" xfId="1" applyFont="1" applyFill="1" applyBorder="1"/>
    <xf numFmtId="0" fontId="3" fillId="2" borderId="35" xfId="1" applyFont="1" applyFill="1" applyBorder="1"/>
    <xf numFmtId="0" fontId="8" fillId="4" borderId="19" xfId="1" applyFont="1" applyFill="1" applyBorder="1" applyAlignment="1">
      <alignment horizontal="center" vertical="center" wrapText="1"/>
    </xf>
    <xf numFmtId="0" fontId="3" fillId="2" borderId="21" xfId="1" applyFont="1" applyFill="1" applyBorder="1"/>
    <xf numFmtId="0" fontId="3" fillId="2" borderId="20" xfId="1" applyFont="1" applyFill="1" applyBorder="1"/>
    <xf numFmtId="0" fontId="3" fillId="2" borderId="29" xfId="1" applyFont="1" applyFill="1" applyBorder="1"/>
    <xf numFmtId="0" fontId="3" fillId="2" borderId="34" xfId="1" applyFont="1" applyFill="1" applyBorder="1"/>
    <xf numFmtId="0" fontId="4" fillId="2" borderId="19" xfId="1" applyFont="1" applyFill="1" applyBorder="1" applyAlignment="1" applyProtection="1">
      <alignment vertical="center" wrapText="1"/>
      <protection locked="0"/>
    </xf>
    <xf numFmtId="0" fontId="3" fillId="2" borderId="20" xfId="1" applyFont="1" applyFill="1" applyBorder="1" applyAlignment="1" applyProtection="1">
      <alignment vertical="center" wrapText="1"/>
      <protection locked="0"/>
    </xf>
    <xf numFmtId="0" fontId="3" fillId="2" borderId="29" xfId="1" applyFont="1" applyFill="1" applyBorder="1" applyAlignment="1" applyProtection="1">
      <alignment vertical="center" wrapText="1"/>
      <protection locked="0"/>
    </xf>
    <xf numFmtId="0" fontId="4" fillId="2" borderId="20" xfId="1" applyFont="1" applyFill="1" applyBorder="1" applyAlignment="1" applyProtection="1">
      <alignment vertical="center" wrapText="1"/>
      <protection locked="0"/>
    </xf>
    <xf numFmtId="0" fontId="4" fillId="2" borderId="29" xfId="1" applyFont="1" applyFill="1" applyBorder="1" applyAlignment="1" applyProtection="1">
      <alignment vertical="center" wrapText="1"/>
      <protection locked="0"/>
    </xf>
    <xf numFmtId="0" fontId="4" fillId="2" borderId="19" xfId="1" applyFont="1" applyFill="1" applyBorder="1" applyAlignment="1" applyProtection="1">
      <alignment horizontal="left" vertical="center" wrapText="1"/>
      <protection locked="0"/>
    </xf>
    <xf numFmtId="0" fontId="3" fillId="2" borderId="20" xfId="1" applyFont="1" applyFill="1" applyBorder="1" applyAlignment="1" applyProtection="1">
      <alignment horizontal="left" wrapText="1"/>
      <protection locked="0"/>
    </xf>
    <xf numFmtId="0" fontId="3" fillId="2" borderId="29" xfId="1" applyFont="1" applyFill="1" applyBorder="1" applyAlignment="1" applyProtection="1">
      <alignment horizontal="left" wrapText="1"/>
      <protection locked="0"/>
    </xf>
    <xf numFmtId="0" fontId="4" fillId="2" borderId="24" xfId="1" applyFont="1" applyFill="1" applyBorder="1" applyAlignment="1" applyProtection="1">
      <alignment horizontal="center" vertical="center"/>
      <protection locked="0"/>
    </xf>
    <xf numFmtId="0" fontId="34" fillId="2" borderId="24" xfId="2" applyFill="1" applyBorder="1" applyAlignment="1" applyProtection="1">
      <alignment horizontal="center" vertical="center"/>
      <protection locked="0"/>
    </xf>
    <xf numFmtId="0" fontId="4" fillId="0" borderId="11" xfId="1" applyFont="1" applyBorder="1" applyAlignment="1" applyProtection="1">
      <alignment horizontal="left" vertical="center" wrapText="1"/>
      <protection locked="0"/>
    </xf>
    <xf numFmtId="0" fontId="4" fillId="0" borderId="12" xfId="1" applyFont="1" applyBorder="1" applyAlignment="1" applyProtection="1">
      <alignment horizontal="left" vertical="center" wrapText="1"/>
      <protection locked="0"/>
    </xf>
    <xf numFmtId="0" fontId="4" fillId="0" borderId="28" xfId="1" applyFont="1" applyBorder="1" applyAlignment="1" applyProtection="1">
      <alignment horizontal="left" vertical="center" wrapText="1"/>
      <protection locked="0"/>
    </xf>
    <xf numFmtId="0" fontId="4" fillId="2" borderId="19" xfId="1" applyFont="1" applyFill="1" applyBorder="1" applyAlignment="1" applyProtection="1">
      <alignment horizontal="center" vertical="center"/>
      <protection locked="0"/>
    </xf>
    <xf numFmtId="0" fontId="8" fillId="0" borderId="32" xfId="1" applyFont="1" applyBorder="1" applyAlignment="1">
      <alignment horizontal="left" vertical="center" wrapText="1"/>
    </xf>
    <xf numFmtId="0" fontId="3" fillId="0" borderId="33" xfId="1" applyFont="1" applyBorder="1"/>
    <xf numFmtId="0" fontId="3" fillId="0" borderId="34" xfId="1" applyFont="1" applyBorder="1"/>
    <xf numFmtId="0" fontId="4" fillId="0" borderId="19" xfId="1" applyFont="1" applyBorder="1" applyAlignment="1" applyProtection="1">
      <alignment horizontal="left" vertical="center"/>
      <protection locked="0"/>
    </xf>
    <xf numFmtId="0" fontId="3" fillId="0" borderId="20" xfId="1" applyFont="1" applyBorder="1" applyProtection="1">
      <protection locked="0"/>
    </xf>
    <xf numFmtId="0" fontId="3" fillId="0" borderId="29" xfId="1" applyFont="1" applyBorder="1" applyProtection="1">
      <protection locked="0"/>
    </xf>
    <xf numFmtId="0" fontId="34" fillId="2" borderId="19" xfId="2" applyFill="1" applyBorder="1" applyAlignment="1" applyProtection="1">
      <alignment horizontal="center" vertical="center"/>
      <protection locked="0"/>
    </xf>
    <xf numFmtId="3" fontId="4" fillId="2" borderId="19" xfId="1" applyNumberFormat="1" applyFont="1" applyFill="1" applyBorder="1" applyAlignment="1" applyProtection="1">
      <alignment horizontal="left" vertical="center"/>
      <protection locked="0"/>
    </xf>
    <xf numFmtId="0" fontId="9" fillId="2" borderId="19" xfId="1" applyFont="1" applyFill="1" applyBorder="1" applyAlignment="1" applyProtection="1">
      <alignment horizontal="left" vertical="center"/>
      <protection locked="0"/>
    </xf>
    <xf numFmtId="0" fontId="4" fillId="2" borderId="19" xfId="1" applyFont="1" applyFill="1" applyBorder="1" applyAlignment="1" applyProtection="1">
      <alignment horizontal="left" vertical="center"/>
      <protection locked="0"/>
    </xf>
    <xf numFmtId="0" fontId="4" fillId="2" borderId="11" xfId="1" applyFont="1" applyFill="1" applyBorder="1" applyAlignment="1" applyProtection="1">
      <alignment horizontal="center" vertical="center"/>
      <protection locked="0"/>
    </xf>
    <xf numFmtId="0" fontId="3" fillId="2" borderId="13" xfId="1" applyFont="1" applyFill="1" applyBorder="1" applyProtection="1">
      <protection locked="0"/>
    </xf>
    <xf numFmtId="0" fontId="34" fillId="2" borderId="11" xfId="2" applyFill="1" applyBorder="1" applyAlignment="1" applyProtection="1">
      <alignment horizontal="center" vertical="center"/>
      <protection locked="0"/>
    </xf>
    <xf numFmtId="0" fontId="3" fillId="2" borderId="12" xfId="1" applyFont="1" applyFill="1" applyBorder="1" applyProtection="1">
      <protection locked="0"/>
    </xf>
    <xf numFmtId="0" fontId="3" fillId="2" borderId="28" xfId="1" applyFont="1" applyFill="1" applyBorder="1" applyProtection="1">
      <protection locked="0"/>
    </xf>
    <xf numFmtId="3" fontId="34" fillId="2" borderId="19" xfId="2" applyNumberFormat="1" applyFill="1" applyBorder="1" applyAlignment="1" applyProtection="1">
      <alignment horizontal="left" vertical="center"/>
      <protection locked="0"/>
    </xf>
    <xf numFmtId="0" fontId="34" fillId="2" borderId="15" xfId="2" applyFill="1" applyBorder="1" applyAlignment="1" applyProtection="1">
      <alignment horizontal="left" vertical="center"/>
      <protection locked="0"/>
    </xf>
    <xf numFmtId="0" fontId="4" fillId="2" borderId="16" xfId="1" applyFont="1" applyFill="1" applyBorder="1" applyAlignment="1" applyProtection="1">
      <alignment horizontal="left" vertical="center"/>
      <protection locked="0"/>
    </xf>
    <xf numFmtId="0" fontId="4" fillId="2" borderId="17" xfId="1" applyFont="1" applyFill="1" applyBorder="1" applyAlignment="1" applyProtection="1">
      <alignment horizontal="left" vertical="center"/>
      <protection locked="0"/>
    </xf>
    <xf numFmtId="0" fontId="4" fillId="2" borderId="15" xfId="1" applyFont="1" applyFill="1" applyBorder="1" applyAlignment="1" applyProtection="1">
      <alignment horizontal="left" vertical="center"/>
      <protection locked="0"/>
    </xf>
    <xf numFmtId="0" fontId="4" fillId="2" borderId="24" xfId="1" applyFont="1" applyFill="1" applyBorder="1" applyAlignment="1" applyProtection="1">
      <alignment horizontal="left" vertical="center"/>
      <protection locked="0"/>
    </xf>
    <xf numFmtId="0" fontId="3" fillId="2" borderId="25" xfId="1" applyFont="1" applyFill="1" applyBorder="1" applyAlignment="1" applyProtection="1">
      <alignment horizontal="left"/>
      <protection locked="0"/>
    </xf>
    <xf numFmtId="0" fontId="3" fillId="2" borderId="26" xfId="1" applyFont="1" applyFill="1" applyBorder="1" applyAlignment="1" applyProtection="1">
      <alignment horizontal="left"/>
      <protection locked="0"/>
    </xf>
    <xf numFmtId="0" fontId="4" fillId="2" borderId="11" xfId="1" applyFont="1" applyFill="1" applyBorder="1" applyAlignment="1" applyProtection="1">
      <alignment horizontal="left" vertical="center"/>
      <protection locked="0"/>
    </xf>
    <xf numFmtId="0" fontId="4" fillId="2" borderId="12" xfId="1" applyFont="1" applyFill="1" applyBorder="1" applyAlignment="1" applyProtection="1">
      <alignment horizontal="left" vertical="center"/>
      <protection locked="0"/>
    </xf>
    <xf numFmtId="0" fontId="4" fillId="2" borderId="28" xfId="1" applyFont="1" applyFill="1" applyBorder="1" applyAlignment="1" applyProtection="1">
      <alignment horizontal="left" vertical="center"/>
      <protection locked="0"/>
    </xf>
    <xf numFmtId="0" fontId="6" fillId="2" borderId="0" xfId="1" applyFont="1" applyFill="1" applyAlignment="1">
      <alignment vertical="center"/>
    </xf>
    <xf numFmtId="0" fontId="4" fillId="2" borderId="0" xfId="1" applyFont="1" applyFill="1" applyAlignment="1" applyProtection="1">
      <alignment horizontal="center" vertical="center"/>
      <protection locked="0"/>
    </xf>
    <xf numFmtId="0" fontId="1" fillId="2" borderId="0" xfId="1" applyFill="1" applyProtection="1">
      <protection locked="0"/>
    </xf>
    <xf numFmtId="14" fontId="4" fillId="2" borderId="19" xfId="1" applyNumberFormat="1" applyFont="1" applyFill="1" applyBorder="1" applyAlignment="1" applyProtection="1">
      <alignment horizontal="left" vertical="center"/>
      <protection locked="0"/>
    </xf>
    <xf numFmtId="14" fontId="3" fillId="2" borderId="20" xfId="1" applyNumberFormat="1" applyFont="1" applyFill="1" applyBorder="1" applyProtection="1">
      <protection locked="0"/>
    </xf>
    <xf numFmtId="14" fontId="3" fillId="2" borderId="21" xfId="1" applyNumberFormat="1" applyFont="1" applyFill="1" applyBorder="1" applyProtection="1">
      <protection locked="0"/>
    </xf>
    <xf numFmtId="0" fontId="2" fillId="2" borderId="1" xfId="1" applyFont="1" applyFill="1" applyBorder="1" applyAlignment="1" applyProtection="1">
      <alignment horizontal="center" vertical="center"/>
      <protection locked="0"/>
    </xf>
    <xf numFmtId="0" fontId="3" fillId="2" borderId="2" xfId="1" applyFont="1" applyFill="1" applyBorder="1" applyProtection="1">
      <protection locked="0"/>
    </xf>
    <xf numFmtId="0" fontId="3" fillId="2" borderId="3" xfId="1" applyFont="1" applyFill="1" applyBorder="1" applyProtection="1">
      <protection locked="0"/>
    </xf>
    <xf numFmtId="0" fontId="101" fillId="2" borderId="4" xfId="1" applyFont="1" applyFill="1" applyBorder="1" applyAlignment="1" applyProtection="1">
      <alignment horizontal="left" vertical="center"/>
      <protection locked="0"/>
    </xf>
    <xf numFmtId="0" fontId="101" fillId="2" borderId="5" xfId="1" applyFont="1" applyFill="1" applyBorder="1" applyAlignment="1" applyProtection="1">
      <alignment horizontal="left" vertical="center"/>
      <protection locked="0"/>
    </xf>
    <xf numFmtId="0" fontId="101" fillId="2" borderId="6" xfId="1" applyFont="1" applyFill="1" applyBorder="1" applyAlignment="1" applyProtection="1">
      <alignment horizontal="left" vertical="center"/>
      <protection locked="0"/>
    </xf>
    <xf numFmtId="0" fontId="101" fillId="2" borderId="7" xfId="1" applyFont="1" applyFill="1" applyBorder="1" applyAlignment="1" applyProtection="1">
      <alignment horizontal="left" vertical="center"/>
      <protection locked="0"/>
    </xf>
    <xf numFmtId="0" fontId="101" fillId="2" borderId="8" xfId="1" applyFont="1" applyFill="1" applyBorder="1" applyAlignment="1" applyProtection="1">
      <alignment horizontal="left" vertical="center"/>
      <protection locked="0"/>
    </xf>
    <xf numFmtId="0" fontId="101" fillId="2" borderId="9" xfId="1" applyFont="1" applyFill="1" applyBorder="1" applyAlignment="1" applyProtection="1">
      <alignment horizontal="left" vertical="center"/>
      <protection locked="0"/>
    </xf>
    <xf numFmtId="0" fontId="4" fillId="2" borderId="75" xfId="1" applyFont="1" applyFill="1" applyBorder="1" applyAlignment="1">
      <alignment horizontal="left" vertical="center"/>
    </xf>
    <xf numFmtId="0" fontId="4" fillId="2" borderId="20" xfId="1" applyFont="1" applyFill="1" applyBorder="1" applyAlignment="1">
      <alignment horizontal="left" vertical="center"/>
    </xf>
    <xf numFmtId="0" fontId="4" fillId="2" borderId="21" xfId="1" applyFont="1" applyFill="1" applyBorder="1" applyAlignment="1">
      <alignment horizontal="left" vertical="center"/>
    </xf>
    <xf numFmtId="0" fontId="8" fillId="2" borderId="89" xfId="1" applyFont="1" applyFill="1" applyBorder="1" applyAlignment="1">
      <alignment horizontal="left" vertical="center"/>
    </xf>
    <xf numFmtId="0" fontId="8" fillId="2" borderId="90" xfId="1" applyFont="1" applyFill="1" applyBorder="1" applyAlignment="1">
      <alignment horizontal="left" vertical="center"/>
    </xf>
    <xf numFmtId="0" fontId="8" fillId="2" borderId="91" xfId="1" applyFont="1" applyFill="1" applyBorder="1" applyAlignment="1">
      <alignment horizontal="left" vertical="center"/>
    </xf>
    <xf numFmtId="0" fontId="8" fillId="2" borderId="94" xfId="1" applyFont="1" applyFill="1" applyBorder="1" applyAlignment="1">
      <alignment horizontal="left" vertical="center"/>
    </xf>
    <xf numFmtId="0" fontId="8" fillId="2" borderId="95" xfId="1" applyFont="1" applyFill="1" applyBorder="1" applyAlignment="1">
      <alignment horizontal="left" vertical="center"/>
    </xf>
    <xf numFmtId="0" fontId="8" fillId="2" borderId="96" xfId="1" applyFont="1" applyFill="1" applyBorder="1" applyAlignment="1">
      <alignment horizontal="left" vertical="center"/>
    </xf>
    <xf numFmtId="0" fontId="4" fillId="3" borderId="0" xfId="1" applyFont="1" applyFill="1" applyAlignment="1">
      <alignment horizontal="left" vertical="center"/>
    </xf>
    <xf numFmtId="0" fontId="4" fillId="3" borderId="0" xfId="1" applyFont="1" applyFill="1"/>
    <xf numFmtId="0" fontId="4" fillId="2" borderId="0" xfId="1" applyFont="1" applyFill="1" applyAlignment="1">
      <alignment horizontal="left" vertical="center"/>
    </xf>
    <xf numFmtId="0" fontId="4" fillId="2" borderId="0" xfId="1" applyFont="1" applyFill="1"/>
    <xf numFmtId="0" fontId="32" fillId="2" borderId="75" xfId="1" applyFont="1" applyFill="1" applyBorder="1" applyAlignment="1">
      <alignment horizontal="left" vertical="center"/>
    </xf>
    <xf numFmtId="0" fontId="33" fillId="2" borderId="20" xfId="1" applyFont="1" applyFill="1" applyBorder="1"/>
    <xf numFmtId="0" fontId="33" fillId="2" borderId="81" xfId="1" applyFont="1" applyFill="1" applyBorder="1"/>
    <xf numFmtId="0" fontId="4" fillId="5" borderId="75" xfId="1" applyFont="1" applyFill="1" applyBorder="1" applyAlignment="1">
      <alignment horizontal="left" vertical="center"/>
    </xf>
    <xf numFmtId="0" fontId="4" fillId="5" borderId="20" xfId="1" applyFont="1" applyFill="1" applyBorder="1" applyAlignment="1">
      <alignment horizontal="left" vertical="center"/>
    </xf>
    <xf numFmtId="0" fontId="4" fillId="5" borderId="21" xfId="1" applyFont="1" applyFill="1" applyBorder="1" applyAlignment="1">
      <alignment horizontal="left" vertical="center"/>
    </xf>
    <xf numFmtId="0" fontId="8" fillId="2" borderId="75" xfId="1" applyFont="1" applyFill="1" applyBorder="1" applyAlignment="1">
      <alignment horizontal="left" vertical="center"/>
    </xf>
    <xf numFmtId="0" fontId="8" fillId="2" borderId="20" xfId="1" applyFont="1" applyFill="1" applyBorder="1" applyAlignment="1">
      <alignment horizontal="left" vertical="center"/>
    </xf>
    <xf numFmtId="0" fontId="8" fillId="2" borderId="21" xfId="1" applyFont="1" applyFill="1" applyBorder="1" applyAlignment="1">
      <alignment horizontal="left" vertical="center"/>
    </xf>
    <xf numFmtId="0" fontId="8" fillId="7" borderId="75" xfId="1" applyFont="1" applyFill="1" applyBorder="1" applyAlignment="1">
      <alignment horizontal="left" vertical="center"/>
    </xf>
    <xf numFmtId="0" fontId="19" fillId="7" borderId="20" xfId="1" applyFont="1" applyFill="1" applyBorder="1"/>
    <xf numFmtId="0" fontId="19" fillId="7" borderId="81" xfId="1" applyFont="1" applyFill="1" applyBorder="1"/>
    <xf numFmtId="0" fontId="14" fillId="2" borderId="0" xfId="1" applyFont="1" applyFill="1" applyAlignment="1">
      <alignment horizontal="left" vertical="center"/>
    </xf>
    <xf numFmtId="0" fontId="8" fillId="2" borderId="87" xfId="1" applyFont="1" applyFill="1" applyBorder="1" applyAlignment="1">
      <alignment horizontal="center" vertical="center"/>
    </xf>
    <xf numFmtId="0" fontId="8" fillId="2" borderId="88" xfId="1" applyFont="1" applyFill="1" applyBorder="1" applyAlignment="1">
      <alignment horizontal="center" vertical="center"/>
    </xf>
    <xf numFmtId="0" fontId="8" fillId="2" borderId="44" xfId="1" applyFont="1" applyFill="1" applyBorder="1" applyAlignment="1">
      <alignment horizontal="center"/>
    </xf>
    <xf numFmtId="0" fontId="8" fillId="2" borderId="45" xfId="1" applyFont="1" applyFill="1" applyBorder="1" applyAlignment="1">
      <alignment horizontal="center"/>
    </xf>
    <xf numFmtId="0" fontId="8" fillId="2" borderId="46" xfId="1" applyFont="1" applyFill="1" applyBorder="1" applyAlignment="1">
      <alignment horizontal="center"/>
    </xf>
    <xf numFmtId="0" fontId="8" fillId="2" borderId="86" xfId="1" applyFont="1" applyFill="1" applyBorder="1" applyAlignment="1">
      <alignment horizontal="left" vertical="center"/>
    </xf>
    <xf numFmtId="0" fontId="8" fillId="2" borderId="65" xfId="1" applyFont="1" applyFill="1" applyBorder="1" applyAlignment="1">
      <alignment horizontal="left" vertical="center"/>
    </xf>
    <xf numFmtId="0" fontId="8" fillId="2" borderId="66" xfId="1" applyFont="1" applyFill="1" applyBorder="1" applyAlignment="1">
      <alignment horizontal="left" vertical="center"/>
    </xf>
    <xf numFmtId="0" fontId="8" fillId="2" borderId="75" xfId="1" applyFont="1" applyFill="1" applyBorder="1" applyAlignment="1">
      <alignment horizontal="center" vertical="center" wrapText="1"/>
    </xf>
    <xf numFmtId="0" fontId="26" fillId="2" borderId="21" xfId="1" applyFont="1" applyFill="1" applyBorder="1" applyAlignment="1">
      <alignment vertical="center" wrapText="1"/>
    </xf>
    <xf numFmtId="0" fontId="4" fillId="2" borderId="19" xfId="1" applyFont="1" applyFill="1" applyBorder="1" applyAlignment="1">
      <alignment vertical="center" wrapText="1"/>
    </xf>
    <xf numFmtId="0" fontId="19" fillId="2" borderId="20" xfId="1" applyFont="1" applyFill="1" applyBorder="1" applyAlignment="1">
      <alignment vertical="center" wrapText="1"/>
    </xf>
    <xf numFmtId="0" fontId="19" fillId="2" borderId="21" xfId="1" applyFont="1" applyFill="1" applyBorder="1" applyAlignment="1">
      <alignment vertical="center" wrapText="1"/>
    </xf>
    <xf numFmtId="0" fontId="4" fillId="2" borderId="75" xfId="1" applyFont="1" applyFill="1" applyBorder="1" applyAlignment="1">
      <alignment horizontal="center" vertical="center" wrapText="1"/>
    </xf>
    <xf numFmtId="0" fontId="4" fillId="2" borderId="19" xfId="1" applyFont="1" applyFill="1" applyBorder="1" applyAlignment="1">
      <alignment horizontal="center" vertical="center" wrapText="1"/>
    </xf>
    <xf numFmtId="0" fontId="4" fillId="2" borderId="77" xfId="1" applyFont="1" applyFill="1" applyBorder="1" applyAlignment="1">
      <alignment horizontal="center" vertical="center" wrapText="1"/>
    </xf>
    <xf numFmtId="0" fontId="19" fillId="2" borderId="78" xfId="1" applyFont="1" applyFill="1" applyBorder="1" applyAlignment="1">
      <alignment vertical="center" wrapText="1"/>
    </xf>
    <xf numFmtId="0" fontId="4" fillId="2" borderId="79" xfId="1" applyFont="1" applyFill="1" applyBorder="1" applyAlignment="1">
      <alignment horizontal="center" vertical="center" wrapText="1"/>
    </xf>
    <xf numFmtId="0" fontId="19" fillId="2" borderId="84" xfId="1" applyFont="1" applyFill="1" applyBorder="1" applyAlignment="1">
      <alignment vertical="center" wrapText="1"/>
    </xf>
    <xf numFmtId="0" fontId="8" fillId="2" borderId="0" xfId="1" applyFont="1" applyFill="1" applyAlignment="1">
      <alignment horizontal="left" vertical="center"/>
    </xf>
    <xf numFmtId="0" fontId="8" fillId="2" borderId="86" xfId="1" applyFont="1" applyFill="1" applyBorder="1" applyAlignment="1">
      <alignment horizontal="center" vertical="center"/>
    </xf>
    <xf numFmtId="0" fontId="26" fillId="2" borderId="66" xfId="1" applyFont="1" applyFill="1" applyBorder="1" applyAlignment="1">
      <alignment horizontal="center"/>
    </xf>
    <xf numFmtId="0" fontId="8" fillId="2" borderId="64" xfId="1" applyFont="1" applyFill="1" applyBorder="1" applyAlignment="1">
      <alignment horizontal="center"/>
    </xf>
    <xf numFmtId="0" fontId="26" fillId="2" borderId="65" xfId="1" applyFont="1" applyFill="1" applyBorder="1" applyAlignment="1">
      <alignment horizontal="center"/>
    </xf>
    <xf numFmtId="0" fontId="4" fillId="2" borderId="19" xfId="1" applyFont="1" applyFill="1" applyBorder="1" applyAlignment="1">
      <alignment horizontal="left" vertical="center" wrapText="1"/>
    </xf>
    <xf numFmtId="0" fontId="19" fillId="2" borderId="20" xfId="1" applyFont="1" applyFill="1" applyBorder="1" applyAlignment="1">
      <alignment horizontal="left" vertical="center" wrapText="1"/>
    </xf>
    <xf numFmtId="0" fontId="19" fillId="2" borderId="21" xfId="1" applyFont="1" applyFill="1" applyBorder="1" applyAlignment="1">
      <alignment horizontal="left" vertical="center" wrapText="1"/>
    </xf>
    <xf numFmtId="0" fontId="4" fillId="2" borderId="4" xfId="1" applyFont="1" applyFill="1" applyBorder="1" applyAlignment="1">
      <alignment horizontal="left" vertical="center" wrapText="1"/>
    </xf>
    <xf numFmtId="0" fontId="19" fillId="2" borderId="5" xfId="1" applyFont="1" applyFill="1" applyBorder="1" applyAlignment="1">
      <alignment horizontal="left" wrapText="1"/>
    </xf>
    <xf numFmtId="0" fontId="19" fillId="2" borderId="6" xfId="1" applyFont="1" applyFill="1" applyBorder="1" applyAlignment="1">
      <alignment horizontal="left" wrapText="1"/>
    </xf>
    <xf numFmtId="0" fontId="19" fillId="2" borderId="39" xfId="1" applyFont="1" applyFill="1" applyBorder="1" applyAlignment="1">
      <alignment horizontal="left" wrapText="1"/>
    </xf>
    <xf numFmtId="0" fontId="4" fillId="2" borderId="0" xfId="1" applyFont="1" applyFill="1" applyAlignment="1">
      <alignment horizontal="left" wrapText="1"/>
    </xf>
    <xf numFmtId="0" fontId="19" fillId="2" borderId="40" xfId="1" applyFont="1" applyFill="1" applyBorder="1" applyAlignment="1">
      <alignment horizontal="left" wrapText="1"/>
    </xf>
    <xf numFmtId="0" fontId="19" fillId="2" borderId="7" xfId="1" applyFont="1" applyFill="1" applyBorder="1" applyAlignment="1">
      <alignment horizontal="left" wrapText="1"/>
    </xf>
    <xf numFmtId="0" fontId="19" fillId="2" borderId="8" xfId="1" applyFont="1" applyFill="1" applyBorder="1" applyAlignment="1">
      <alignment horizontal="left" wrapText="1"/>
    </xf>
    <xf numFmtId="0" fontId="19" fillId="2" borderId="9" xfId="1" applyFont="1" applyFill="1" applyBorder="1" applyAlignment="1">
      <alignment horizontal="left" wrapText="1"/>
    </xf>
    <xf numFmtId="0" fontId="16" fillId="2" borderId="0" xfId="1" applyFont="1" applyFill="1" applyAlignment="1">
      <alignment horizontal="left" vertical="center"/>
    </xf>
    <xf numFmtId="0" fontId="4" fillId="2" borderId="55" xfId="1" applyFont="1" applyFill="1" applyBorder="1" applyAlignment="1">
      <alignment horizontal="center" vertical="center" wrapText="1"/>
    </xf>
    <xf numFmtId="0" fontId="19" fillId="2" borderId="56" xfId="1" applyFont="1" applyFill="1" applyBorder="1" applyAlignment="1">
      <alignment vertical="center" wrapText="1"/>
    </xf>
    <xf numFmtId="0" fontId="4" fillId="2" borderId="56" xfId="1" applyFont="1" applyFill="1" applyBorder="1" applyAlignment="1">
      <alignment horizontal="center" vertical="center" wrapText="1"/>
    </xf>
    <xf numFmtId="0" fontId="8" fillId="2" borderId="60" xfId="1" applyFont="1" applyFill="1" applyBorder="1" applyAlignment="1">
      <alignment horizontal="center" vertical="center" wrapText="1"/>
    </xf>
    <xf numFmtId="0" fontId="26" fillId="2" borderId="61" xfId="1" applyFont="1" applyFill="1" applyBorder="1" applyAlignment="1">
      <alignment vertical="center" wrapText="1"/>
    </xf>
    <xf numFmtId="0" fontId="4" fillId="2" borderId="61" xfId="1" applyFont="1" applyFill="1" applyBorder="1" applyAlignment="1">
      <alignment horizontal="left" vertical="center" wrapText="1"/>
    </xf>
    <xf numFmtId="0" fontId="19" fillId="2" borderId="61" xfId="1" applyFont="1" applyFill="1" applyBorder="1" applyAlignment="1">
      <alignment horizontal="left" vertical="center" wrapText="1"/>
    </xf>
    <xf numFmtId="0" fontId="4" fillId="2" borderId="60" xfId="1" applyFont="1" applyFill="1" applyBorder="1" applyAlignment="1">
      <alignment horizontal="center" vertical="center" wrapText="1"/>
    </xf>
    <xf numFmtId="0" fontId="19" fillId="2" borderId="61" xfId="1" applyFont="1" applyFill="1" applyBorder="1" applyAlignment="1">
      <alignment vertical="center" wrapText="1"/>
    </xf>
    <xf numFmtId="0" fontId="4" fillId="2" borderId="61" xfId="1" applyFont="1" applyFill="1" applyBorder="1" applyAlignment="1">
      <alignment horizontal="center" vertical="center" wrapText="1"/>
    </xf>
    <xf numFmtId="44" fontId="8" fillId="2" borderId="44" xfId="4" applyFont="1" applyFill="1" applyBorder="1" applyAlignment="1">
      <alignment horizontal="left" vertical="center"/>
    </xf>
    <xf numFmtId="44" fontId="26" fillId="2" borderId="45" xfId="4" applyFont="1" applyFill="1" applyBorder="1" applyAlignment="1">
      <alignment horizontal="left"/>
    </xf>
    <xf numFmtId="44" fontId="26" fillId="2" borderId="46" xfId="4" applyFont="1" applyFill="1" applyBorder="1" applyAlignment="1">
      <alignment horizontal="left"/>
    </xf>
    <xf numFmtId="0" fontId="4" fillId="2" borderId="44" xfId="1" applyFont="1" applyFill="1" applyBorder="1" applyAlignment="1">
      <alignment horizontal="left" vertical="center" wrapText="1"/>
    </xf>
    <xf numFmtId="0" fontId="19" fillId="2" borderId="45" xfId="1" applyFont="1" applyFill="1" applyBorder="1" applyAlignment="1">
      <alignment horizontal="left"/>
    </xf>
    <xf numFmtId="0" fontId="19" fillId="2" borderId="46" xfId="1" applyFont="1" applyFill="1" applyBorder="1" applyAlignment="1">
      <alignment horizontal="left"/>
    </xf>
    <xf numFmtId="0" fontId="19" fillId="2" borderId="45" xfId="1" applyFont="1" applyFill="1" applyBorder="1" applyAlignment="1">
      <alignment horizontal="left" wrapText="1"/>
    </xf>
    <xf numFmtId="0" fontId="19" fillId="2" borderId="46" xfId="1" applyFont="1" applyFill="1" applyBorder="1" applyAlignment="1">
      <alignment horizontal="left" wrapText="1"/>
    </xf>
    <xf numFmtId="0" fontId="8" fillId="2" borderId="49" xfId="1" applyFont="1" applyFill="1" applyBorder="1" applyAlignment="1">
      <alignment horizontal="center" vertical="center"/>
    </xf>
    <xf numFmtId="0" fontId="26" fillId="2" borderId="50" xfId="1" applyFont="1" applyFill="1" applyBorder="1" applyAlignment="1">
      <alignment horizontal="center"/>
    </xf>
    <xf numFmtId="0" fontId="8" fillId="2" borderId="50" xfId="1" applyFont="1" applyFill="1" applyBorder="1" applyAlignment="1">
      <alignment horizontal="center"/>
    </xf>
    <xf numFmtId="0" fontId="4" fillId="2" borderId="19" xfId="1" applyFont="1" applyFill="1" applyBorder="1" applyAlignment="1">
      <alignment horizontal="left" vertical="center"/>
    </xf>
    <xf numFmtId="0" fontId="19" fillId="2" borderId="20" xfId="1" applyFont="1" applyFill="1" applyBorder="1"/>
    <xf numFmtId="0" fontId="19" fillId="2" borderId="21" xfId="1" applyFont="1" applyFill="1" applyBorder="1"/>
    <xf numFmtId="0" fontId="19" fillId="2" borderId="81" xfId="1" applyFont="1" applyFill="1" applyBorder="1"/>
    <xf numFmtId="0" fontId="4" fillId="2" borderId="79" xfId="1" applyFont="1" applyFill="1" applyBorder="1" applyAlignment="1">
      <alignment horizontal="left" vertical="center"/>
    </xf>
    <xf numFmtId="0" fontId="4" fillId="2" borderId="84" xfId="1" applyFont="1" applyFill="1" applyBorder="1" applyAlignment="1">
      <alignment horizontal="left" vertical="center"/>
    </xf>
    <xf numFmtId="0" fontId="4" fillId="2" borderId="78" xfId="1" applyFont="1" applyFill="1" applyBorder="1" applyAlignment="1">
      <alignment horizontal="left" vertical="center"/>
    </xf>
    <xf numFmtId="0" fontId="19" fillId="2" borderId="84" xfId="1" applyFont="1" applyFill="1" applyBorder="1"/>
    <xf numFmtId="0" fontId="19" fillId="2" borderId="85" xfId="1" applyFont="1" applyFill="1" applyBorder="1"/>
    <xf numFmtId="0" fontId="24" fillId="2" borderId="0" xfId="1" applyFont="1" applyFill="1"/>
    <xf numFmtId="0" fontId="27" fillId="2" borderId="4" xfId="1" applyFont="1" applyFill="1" applyBorder="1" applyAlignment="1">
      <alignment horizontal="center" vertical="center" wrapText="1"/>
    </xf>
    <xf numFmtId="0" fontId="28" fillId="2" borderId="63" xfId="1" applyFont="1" applyFill="1" applyBorder="1" applyAlignment="1">
      <alignment wrapText="1"/>
    </xf>
    <xf numFmtId="0" fontId="28" fillId="2" borderId="39" xfId="1" applyFont="1" applyFill="1" applyBorder="1" applyAlignment="1">
      <alignment wrapText="1"/>
    </xf>
    <xf numFmtId="0" fontId="28" fillId="2" borderId="59" xfId="1" applyFont="1" applyFill="1" applyBorder="1" applyAlignment="1">
      <alignment wrapText="1"/>
    </xf>
    <xf numFmtId="0" fontId="28" fillId="2" borderId="7" xfId="1" applyFont="1" applyFill="1" applyBorder="1" applyAlignment="1">
      <alignment wrapText="1"/>
    </xf>
    <xf numFmtId="0" fontId="28" fillId="2" borderId="82" xfId="1" applyFont="1" applyFill="1" applyBorder="1" applyAlignment="1">
      <alignment wrapText="1"/>
    </xf>
    <xf numFmtId="0" fontId="4" fillId="2" borderId="64" xfId="1" applyFont="1" applyFill="1" applyBorder="1" applyAlignment="1">
      <alignment horizontal="left" vertical="center"/>
    </xf>
    <xf numFmtId="0" fontId="19" fillId="2" borderId="66" xfId="1" applyFont="1" applyFill="1" applyBorder="1"/>
    <xf numFmtId="0" fontId="4" fillId="2" borderId="64" xfId="1" applyFont="1" applyFill="1" applyBorder="1" applyAlignment="1">
      <alignment horizontal="center" vertical="center"/>
    </xf>
    <xf numFmtId="0" fontId="19" fillId="2" borderId="65" xfId="1" applyFont="1" applyFill="1" applyBorder="1"/>
    <xf numFmtId="0" fontId="19" fillId="2" borderId="80" xfId="1" applyFont="1" applyFill="1" applyBorder="1"/>
    <xf numFmtId="0" fontId="4" fillId="2" borderId="19" xfId="1" applyFont="1" applyFill="1" applyBorder="1" applyAlignment="1">
      <alignment horizontal="center" vertical="center"/>
    </xf>
    <xf numFmtId="0" fontId="4" fillId="2" borderId="21" xfId="1" applyFont="1" applyFill="1" applyBorder="1" applyAlignment="1">
      <alignment horizontal="center" vertical="center"/>
    </xf>
    <xf numFmtId="0" fontId="4" fillId="2" borderId="1" xfId="1" applyFont="1" applyFill="1" applyBorder="1" applyAlignment="1">
      <alignment horizontal="left" vertical="center"/>
    </xf>
    <xf numFmtId="0" fontId="19" fillId="2" borderId="3" xfId="1" applyFont="1" applyFill="1" applyBorder="1"/>
    <xf numFmtId="0" fontId="19" fillId="2" borderId="83" xfId="1" applyFont="1" applyFill="1" applyBorder="1"/>
    <xf numFmtId="0" fontId="19" fillId="2" borderId="82" xfId="1" applyFont="1" applyFill="1" applyBorder="1"/>
    <xf numFmtId="0" fontId="8" fillId="2" borderId="19" xfId="1" applyFont="1" applyFill="1" applyBorder="1" applyAlignment="1">
      <alignment horizontal="left" vertical="center"/>
    </xf>
    <xf numFmtId="0" fontId="26" fillId="2" borderId="21" xfId="1" applyFont="1" applyFill="1" applyBorder="1"/>
    <xf numFmtId="0" fontId="19" fillId="2" borderId="20" xfId="1" applyFont="1" applyFill="1" applyBorder="1" applyAlignment="1">
      <alignment wrapText="1"/>
    </xf>
    <xf numFmtId="0" fontId="19" fillId="2" borderId="81" xfId="1" applyFont="1" applyFill="1" applyBorder="1" applyAlignment="1">
      <alignment wrapText="1"/>
    </xf>
    <xf numFmtId="0" fontId="8" fillId="2" borderId="1" xfId="1" applyFont="1" applyFill="1" applyBorder="1" applyAlignment="1">
      <alignment horizontal="left" vertical="center"/>
    </xf>
    <xf numFmtId="0" fontId="26" fillId="2" borderId="3" xfId="1" applyFont="1" applyFill="1" applyBorder="1"/>
    <xf numFmtId="0" fontId="26" fillId="2" borderId="83" xfId="1" applyFont="1" applyFill="1" applyBorder="1"/>
    <xf numFmtId="0" fontId="26" fillId="2" borderId="82" xfId="1" applyFont="1" applyFill="1" applyBorder="1"/>
    <xf numFmtId="0" fontId="8" fillId="2" borderId="77" xfId="1" applyFont="1" applyFill="1" applyBorder="1" applyAlignment="1">
      <alignment horizontal="center" vertical="center" wrapText="1"/>
    </xf>
    <xf numFmtId="0" fontId="26" fillId="2" borderId="78" xfId="1" applyFont="1" applyFill="1" applyBorder="1" applyAlignment="1">
      <alignment vertical="center" wrapText="1"/>
    </xf>
    <xf numFmtId="0" fontId="4" fillId="2" borderId="78" xfId="1" applyFont="1" applyFill="1" applyBorder="1" applyAlignment="1">
      <alignment horizontal="center" vertical="center" wrapText="1"/>
    </xf>
    <xf numFmtId="0" fontId="19" fillId="2" borderId="78" xfId="1" applyFont="1" applyFill="1" applyBorder="1" applyAlignment="1">
      <alignment horizontal="center" vertical="center" wrapText="1"/>
    </xf>
    <xf numFmtId="0" fontId="64" fillId="2" borderId="4" xfId="1" applyFont="1" applyFill="1" applyBorder="1" applyAlignment="1">
      <alignment horizontal="center" vertical="center" wrapText="1"/>
    </xf>
    <xf numFmtId="0" fontId="65" fillId="2" borderId="63" xfId="1" applyFont="1" applyFill="1" applyBorder="1" applyAlignment="1">
      <alignment wrapText="1"/>
    </xf>
    <xf numFmtId="0" fontId="65" fillId="2" borderId="39" xfId="1" applyFont="1" applyFill="1" applyBorder="1" applyAlignment="1">
      <alignment wrapText="1"/>
    </xf>
    <xf numFmtId="0" fontId="65" fillId="2" borderId="59" xfId="1" applyFont="1" applyFill="1" applyBorder="1" applyAlignment="1">
      <alignment wrapText="1"/>
    </xf>
    <xf numFmtId="0" fontId="65" fillId="2" borderId="7" xfId="1" applyFont="1" applyFill="1" applyBorder="1" applyAlignment="1">
      <alignment wrapText="1"/>
    </xf>
    <xf numFmtId="0" fontId="65" fillId="2" borderId="82" xfId="1" applyFont="1" applyFill="1" applyBorder="1" applyAlignment="1">
      <alignment wrapText="1"/>
    </xf>
    <xf numFmtId="0" fontId="8" fillId="2" borderId="64" xfId="1" applyFont="1" applyFill="1" applyBorder="1" applyAlignment="1">
      <alignment horizontal="left" vertical="center"/>
    </xf>
    <xf numFmtId="0" fontId="26" fillId="2" borderId="66" xfId="1" applyFont="1" applyFill="1" applyBorder="1"/>
    <xf numFmtId="0" fontId="4" fillId="2" borderId="64" xfId="1" applyFont="1" applyFill="1" applyBorder="1" applyAlignment="1">
      <alignment horizontal="left" vertical="center" wrapText="1"/>
    </xf>
    <xf numFmtId="0" fontId="19" fillId="2" borderId="65" xfId="1" applyFont="1" applyFill="1" applyBorder="1" applyAlignment="1">
      <alignment horizontal="left" wrapText="1"/>
    </xf>
    <xf numFmtId="0" fontId="19" fillId="2" borderId="80" xfId="1" applyFont="1" applyFill="1" applyBorder="1" applyAlignment="1">
      <alignment horizontal="left" wrapText="1"/>
    </xf>
    <xf numFmtId="0" fontId="19" fillId="2" borderId="20" xfId="1" applyFont="1" applyFill="1" applyBorder="1" applyAlignment="1">
      <alignment horizontal="left"/>
    </xf>
    <xf numFmtId="0" fontId="19" fillId="2" borderId="81" xfId="1" applyFont="1" applyFill="1" applyBorder="1" applyAlignment="1">
      <alignment horizontal="left"/>
    </xf>
    <xf numFmtId="0" fontId="4" fillId="2" borderId="120" xfId="1" applyFont="1" applyFill="1" applyBorder="1" applyAlignment="1">
      <alignment horizontal="left" vertical="center" wrapText="1"/>
    </xf>
    <xf numFmtId="0" fontId="4" fillId="2" borderId="84" xfId="1" applyFont="1" applyFill="1" applyBorder="1" applyAlignment="1">
      <alignment horizontal="left" vertical="center" wrapText="1"/>
    </xf>
    <xf numFmtId="0" fontId="4" fillId="2" borderId="85" xfId="1" applyFont="1" applyFill="1" applyBorder="1" applyAlignment="1">
      <alignment horizontal="left" vertical="center" wrapText="1"/>
    </xf>
    <xf numFmtId="0" fontId="4" fillId="2" borderId="79" xfId="1" applyFont="1" applyFill="1" applyBorder="1" applyAlignment="1">
      <alignment horizontal="left" vertical="center" wrapText="1"/>
    </xf>
    <xf numFmtId="0" fontId="4" fillId="2" borderId="20" xfId="1" applyFont="1" applyFill="1" applyBorder="1" applyAlignment="1">
      <alignment horizontal="left" vertical="center" wrapText="1"/>
    </xf>
    <xf numFmtId="0" fontId="19" fillId="2" borderId="81" xfId="1" applyFont="1" applyFill="1" applyBorder="1" applyAlignment="1">
      <alignment horizontal="left" vertical="center" wrapText="1"/>
    </xf>
    <xf numFmtId="0" fontId="26" fillId="2" borderId="21" xfId="1" applyFont="1" applyFill="1" applyBorder="1" applyAlignment="1">
      <alignment wrapText="1"/>
    </xf>
    <xf numFmtId="0" fontId="4" fillId="2" borderId="21" xfId="1" applyFont="1" applyFill="1" applyBorder="1" applyAlignment="1">
      <alignment horizontal="center" vertical="center" wrapText="1"/>
    </xf>
    <xf numFmtId="0" fontId="19" fillId="2" borderId="21" xfId="1" applyFont="1" applyFill="1" applyBorder="1" applyAlignment="1">
      <alignment horizontal="center" vertical="center" wrapText="1"/>
    </xf>
    <xf numFmtId="0" fontId="8" fillId="2" borderId="4" xfId="1" applyFont="1" applyFill="1" applyBorder="1" applyAlignment="1">
      <alignment horizontal="center" vertical="center"/>
    </xf>
    <xf numFmtId="0" fontId="19" fillId="2" borderId="63" xfId="1" applyFont="1" applyFill="1" applyBorder="1"/>
    <xf numFmtId="0" fontId="19" fillId="2" borderId="70" xfId="1" applyFont="1" applyFill="1" applyBorder="1"/>
    <xf numFmtId="0" fontId="19" fillId="2" borderId="71" xfId="1" applyFont="1" applyFill="1" applyBorder="1"/>
    <xf numFmtId="0" fontId="8" fillId="2" borderId="64" xfId="1" applyFont="1" applyFill="1" applyBorder="1" applyAlignment="1">
      <alignment horizontal="center" vertical="center"/>
    </xf>
    <xf numFmtId="0" fontId="8" fillId="2" borderId="67" xfId="1" applyFont="1" applyFill="1" applyBorder="1" applyAlignment="1">
      <alignment horizontal="center" vertical="center" wrapText="1"/>
    </xf>
    <xf numFmtId="0" fontId="8" fillId="2" borderId="63" xfId="1" applyFont="1" applyFill="1" applyBorder="1" applyAlignment="1">
      <alignment horizontal="center" vertical="center" wrapText="1"/>
    </xf>
    <xf numFmtId="0" fontId="8" fillId="2" borderId="72" xfId="1" applyFont="1" applyFill="1" applyBorder="1" applyAlignment="1">
      <alignment horizontal="center" vertical="center" wrapText="1"/>
    </xf>
    <xf numFmtId="0" fontId="8" fillId="2" borderId="71" xfId="1" applyFont="1" applyFill="1" applyBorder="1" applyAlignment="1">
      <alignment horizontal="center" vertical="center" wrapText="1"/>
    </xf>
    <xf numFmtId="0" fontId="8" fillId="2" borderId="67" xfId="1" applyFont="1" applyFill="1" applyBorder="1" applyAlignment="1">
      <alignment horizontal="center" vertical="center"/>
    </xf>
    <xf numFmtId="0" fontId="19" fillId="2" borderId="72" xfId="1" applyFont="1" applyFill="1" applyBorder="1"/>
    <xf numFmtId="0" fontId="8" fillId="2" borderId="68" xfId="1" applyFont="1" applyFill="1" applyBorder="1" applyAlignment="1">
      <alignment horizontal="center" vertical="center" wrapText="1"/>
    </xf>
    <xf numFmtId="0" fontId="19" fillId="2" borderId="73" xfId="1" applyFont="1" applyFill="1" applyBorder="1"/>
    <xf numFmtId="0" fontId="8" fillId="2" borderId="69" xfId="1" applyFont="1" applyFill="1" applyBorder="1" applyAlignment="1">
      <alignment horizontal="center" vertical="center" wrapText="1"/>
    </xf>
    <xf numFmtId="0" fontId="19" fillId="2" borderId="74" xfId="1" applyFont="1" applyFill="1" applyBorder="1"/>
    <xf numFmtId="0" fontId="8" fillId="2" borderId="55" xfId="1" applyFont="1" applyFill="1" applyBorder="1" applyAlignment="1">
      <alignment horizontal="center" vertical="center" wrapText="1"/>
    </xf>
    <xf numFmtId="0" fontId="8" fillId="2" borderId="56" xfId="1" applyFont="1" applyFill="1" applyBorder="1" applyAlignment="1">
      <alignment horizontal="center" vertical="center" wrapText="1"/>
    </xf>
    <xf numFmtId="0" fontId="19" fillId="2" borderId="56" xfId="1" applyFont="1" applyFill="1" applyBorder="1" applyAlignment="1">
      <alignment horizontal="center" vertical="center" wrapText="1"/>
    </xf>
    <xf numFmtId="44" fontId="19" fillId="2" borderId="56" xfId="4" applyFont="1" applyFill="1" applyBorder="1" applyAlignment="1">
      <alignment horizontal="center" vertical="center" wrapText="1"/>
    </xf>
    <xf numFmtId="0" fontId="19" fillId="2" borderId="61" xfId="1" applyFont="1" applyFill="1" applyBorder="1" applyAlignment="1">
      <alignment horizontal="center" vertical="center" wrapText="1"/>
    </xf>
    <xf numFmtId="0" fontId="19" fillId="2" borderId="62" xfId="1" applyFont="1" applyFill="1" applyBorder="1" applyAlignment="1">
      <alignment horizontal="center" vertical="center" wrapText="1"/>
    </xf>
    <xf numFmtId="0" fontId="19" fillId="2" borderId="5" xfId="1" applyFont="1" applyFill="1" applyBorder="1" applyAlignment="1">
      <alignment horizontal="left"/>
    </xf>
    <xf numFmtId="0" fontId="19" fillId="2" borderId="6" xfId="1" applyFont="1" applyFill="1" applyBorder="1" applyAlignment="1">
      <alignment horizontal="left"/>
    </xf>
    <xf numFmtId="0" fontId="19" fillId="2" borderId="39" xfId="1" applyFont="1" applyFill="1" applyBorder="1" applyAlignment="1">
      <alignment horizontal="left"/>
    </xf>
    <xf numFmtId="0" fontId="4" fillId="2" borderId="0" xfId="1" applyFont="1" applyFill="1" applyAlignment="1">
      <alignment horizontal="left"/>
    </xf>
    <xf numFmtId="0" fontId="19" fillId="2" borderId="40" xfId="1" applyFont="1" applyFill="1" applyBorder="1" applyAlignment="1">
      <alignment horizontal="left"/>
    </xf>
    <xf numFmtId="0" fontId="19" fillId="2" borderId="7" xfId="1" applyFont="1" applyFill="1" applyBorder="1" applyAlignment="1">
      <alignment horizontal="left"/>
    </xf>
    <xf numFmtId="0" fontId="19" fillId="2" borderId="8" xfId="1" applyFont="1" applyFill="1" applyBorder="1" applyAlignment="1">
      <alignment horizontal="left"/>
    </xf>
    <xf numFmtId="0" fontId="19" fillId="2" borderId="9" xfId="1" applyFont="1" applyFill="1" applyBorder="1" applyAlignment="1">
      <alignment horizontal="left"/>
    </xf>
    <xf numFmtId="0" fontId="8" fillId="2" borderId="61" xfId="1" applyFont="1" applyFill="1" applyBorder="1" applyAlignment="1">
      <alignment horizontal="center" vertical="center" wrapText="1"/>
    </xf>
    <xf numFmtId="44" fontId="19" fillId="2" borderId="61" xfId="4" applyFont="1" applyFill="1" applyBorder="1" applyAlignment="1">
      <alignment horizontal="center" vertical="center" wrapText="1"/>
    </xf>
    <xf numFmtId="0" fontId="8" fillId="2" borderId="60" xfId="1" applyFont="1" applyFill="1" applyBorder="1" applyAlignment="1">
      <alignment horizontal="center" vertical="center"/>
    </xf>
    <xf numFmtId="0" fontId="8" fillId="2" borderId="61" xfId="1" applyFont="1" applyFill="1" applyBorder="1" applyAlignment="1">
      <alignment horizontal="center" vertical="center"/>
    </xf>
    <xf numFmtId="44" fontId="19" fillId="2" borderId="61" xfId="4" applyFont="1" applyFill="1" applyBorder="1" applyAlignment="1">
      <alignment vertical="center"/>
    </xf>
    <xf numFmtId="44" fontId="19" fillId="2" borderId="61" xfId="4" applyFont="1" applyFill="1" applyBorder="1" applyAlignment="1">
      <alignment horizontal="right" vertical="center"/>
    </xf>
    <xf numFmtId="0" fontId="4" fillId="2" borderId="4" xfId="1" applyFont="1" applyFill="1" applyBorder="1" applyAlignment="1">
      <alignment horizontal="left" wrapText="1"/>
    </xf>
    <xf numFmtId="0" fontId="4" fillId="2" borderId="5" xfId="1" applyFont="1" applyFill="1" applyBorder="1" applyAlignment="1">
      <alignment horizontal="left" wrapText="1"/>
    </xf>
    <xf numFmtId="0" fontId="4" fillId="2" borderId="6" xfId="1" applyFont="1" applyFill="1" applyBorder="1" applyAlignment="1">
      <alignment horizontal="left" wrapText="1"/>
    </xf>
    <xf numFmtId="0" fontId="4" fillId="2" borderId="39" xfId="1" applyFont="1" applyFill="1" applyBorder="1" applyAlignment="1">
      <alignment horizontal="left" wrapText="1"/>
    </xf>
    <xf numFmtId="0" fontId="4" fillId="2" borderId="40" xfId="1" applyFont="1" applyFill="1" applyBorder="1" applyAlignment="1">
      <alignment horizontal="left" wrapText="1"/>
    </xf>
    <xf numFmtId="0" fontId="4" fillId="2" borderId="7" xfId="1" applyFont="1" applyFill="1" applyBorder="1" applyAlignment="1">
      <alignment horizontal="left" wrapText="1"/>
    </xf>
    <xf numFmtId="0" fontId="4" fillId="2" borderId="8" xfId="1" applyFont="1" applyFill="1" applyBorder="1" applyAlignment="1">
      <alignment horizontal="left" wrapText="1"/>
    </xf>
    <xf numFmtId="0" fontId="4" fillId="2" borderId="9" xfId="1" applyFont="1" applyFill="1" applyBorder="1" applyAlignment="1">
      <alignment horizontal="left" wrapText="1"/>
    </xf>
    <xf numFmtId="0" fontId="8" fillId="2" borderId="50" xfId="1" applyFont="1" applyFill="1" applyBorder="1" applyAlignment="1">
      <alignment horizontal="center" vertical="center"/>
    </xf>
    <xf numFmtId="0" fontId="26" fillId="2" borderId="50" xfId="1" applyFont="1" applyFill="1" applyBorder="1" applyAlignment="1">
      <alignment horizontal="center" vertical="center"/>
    </xf>
    <xf numFmtId="0" fontId="26" fillId="2" borderId="51" xfId="1" applyFont="1" applyFill="1" applyBorder="1" applyAlignment="1">
      <alignment horizontal="center" vertical="center"/>
    </xf>
    <xf numFmtId="0" fontId="16" fillId="2" borderId="0" xfId="1" applyFont="1" applyFill="1" applyAlignment="1">
      <alignment horizontal="left" vertical="center" wrapText="1"/>
    </xf>
    <xf numFmtId="0" fontId="24" fillId="2" borderId="0" xfId="1" applyFont="1" applyFill="1" applyAlignment="1">
      <alignment wrapText="1"/>
    </xf>
    <xf numFmtId="0" fontId="19" fillId="2" borderId="44" xfId="1" applyFont="1" applyFill="1" applyBorder="1" applyAlignment="1">
      <alignment horizontal="left" vertical="center" wrapText="1"/>
    </xf>
    <xf numFmtId="0" fontId="20" fillId="2" borderId="45" xfId="1" applyFont="1" applyFill="1" applyBorder="1" applyAlignment="1">
      <alignment horizontal="left"/>
    </xf>
    <xf numFmtId="0" fontId="20" fillId="2" borderId="46" xfId="1" applyFont="1" applyFill="1" applyBorder="1" applyAlignment="1">
      <alignment horizontal="left"/>
    </xf>
    <xf numFmtId="0" fontId="4" fillId="3" borderId="0" xfId="1" applyFont="1" applyFill="1" applyAlignment="1">
      <alignment horizontal="center" vertical="center"/>
    </xf>
    <xf numFmtId="0" fontId="19" fillId="2" borderId="20" xfId="1" applyFont="1" applyFill="1" applyBorder="1" applyAlignment="1">
      <alignment horizontal="center"/>
    </xf>
    <xf numFmtId="0" fontId="19" fillId="2" borderId="21" xfId="1" applyFont="1" applyFill="1" applyBorder="1" applyAlignment="1">
      <alignment horizontal="center"/>
    </xf>
    <xf numFmtId="0" fontId="4" fillId="2" borderId="0" xfId="1" applyFont="1" applyFill="1" applyAlignment="1">
      <alignment horizontal="center"/>
    </xf>
    <xf numFmtId="0" fontId="4" fillId="2" borderId="59" xfId="1" applyFont="1" applyFill="1" applyBorder="1" applyAlignment="1">
      <alignment horizontal="center"/>
    </xf>
    <xf numFmtId="44" fontId="4" fillId="2" borderId="19" xfId="4" applyFont="1" applyFill="1" applyBorder="1" applyAlignment="1">
      <alignment horizontal="center" vertical="center"/>
    </xf>
    <xf numFmtId="44" fontId="19" fillId="2" borderId="20" xfId="4" applyFont="1" applyFill="1" applyBorder="1"/>
    <xf numFmtId="44" fontId="19" fillId="2" borderId="21" xfId="4" applyFont="1" applyFill="1" applyBorder="1"/>
    <xf numFmtId="0" fontId="4" fillId="2" borderId="19" xfId="1" applyFont="1" applyFill="1" applyBorder="1" applyAlignment="1">
      <alignment horizontal="right" vertical="center"/>
    </xf>
    <xf numFmtId="0" fontId="19" fillId="2" borderId="20" xfId="1" applyFont="1" applyFill="1" applyBorder="1" applyAlignment="1">
      <alignment horizontal="right"/>
    </xf>
    <xf numFmtId="0" fontId="19" fillId="2" borderId="21" xfId="1" applyFont="1" applyFill="1" applyBorder="1" applyAlignment="1">
      <alignment horizontal="right"/>
    </xf>
    <xf numFmtId="0" fontId="8" fillId="2" borderId="44" xfId="1" applyFont="1" applyFill="1" applyBorder="1" applyAlignment="1">
      <alignment horizontal="left" vertical="center"/>
    </xf>
    <xf numFmtId="0" fontId="8" fillId="2" borderId="45" xfId="1" applyFont="1" applyFill="1" applyBorder="1"/>
    <xf numFmtId="0" fontId="8" fillId="2" borderId="46" xfId="1" applyFont="1" applyFill="1" applyBorder="1"/>
    <xf numFmtId="0" fontId="8" fillId="2" borderId="44" xfId="1" applyFont="1" applyFill="1" applyBorder="1" applyAlignment="1">
      <alignment horizontal="center" vertical="center"/>
    </xf>
    <xf numFmtId="0" fontId="19" fillId="2" borderId="4" xfId="1" applyFont="1" applyFill="1" applyBorder="1" applyAlignment="1">
      <alignment horizontal="left" vertical="center" wrapText="1"/>
    </xf>
    <xf numFmtId="0" fontId="20" fillId="2" borderId="5" xfId="1" applyFont="1" applyFill="1" applyBorder="1" applyAlignment="1">
      <alignment horizontal="left" wrapText="1"/>
    </xf>
    <xf numFmtId="0" fontId="20" fillId="2" borderId="6" xfId="1" applyFont="1" applyFill="1" applyBorder="1" applyAlignment="1">
      <alignment horizontal="left" wrapText="1"/>
    </xf>
    <xf numFmtId="0" fontId="20" fillId="2" borderId="39" xfId="1" applyFont="1" applyFill="1" applyBorder="1" applyAlignment="1">
      <alignment horizontal="left" wrapText="1"/>
    </xf>
    <xf numFmtId="0" fontId="20" fillId="2" borderId="0" xfId="1" applyFont="1" applyFill="1" applyAlignment="1">
      <alignment horizontal="left" wrapText="1"/>
    </xf>
    <xf numFmtId="0" fontId="20" fillId="2" borderId="40" xfId="1" applyFont="1" applyFill="1" applyBorder="1" applyAlignment="1">
      <alignment horizontal="left" wrapText="1"/>
    </xf>
    <xf numFmtId="0" fontId="20" fillId="2" borderId="7" xfId="1" applyFont="1" applyFill="1" applyBorder="1" applyAlignment="1">
      <alignment horizontal="left" wrapText="1"/>
    </xf>
    <xf numFmtId="0" fontId="20" fillId="2" borderId="8" xfId="1" applyFont="1" applyFill="1" applyBorder="1" applyAlignment="1">
      <alignment horizontal="left" wrapText="1"/>
    </xf>
    <xf numFmtId="0" fontId="20" fillId="2" borderId="9" xfId="1" applyFont="1" applyFill="1" applyBorder="1" applyAlignment="1">
      <alignment horizontal="left" wrapText="1"/>
    </xf>
    <xf numFmtId="0" fontId="4" fillId="2" borderId="41" xfId="1" applyFont="1" applyFill="1" applyBorder="1" applyAlignment="1">
      <alignment horizontal="left" vertical="center"/>
    </xf>
    <xf numFmtId="0" fontId="4" fillId="2" borderId="42" xfId="1" applyFont="1" applyFill="1" applyBorder="1" applyAlignment="1">
      <alignment horizontal="left" vertical="center"/>
    </xf>
    <xf numFmtId="0" fontId="19" fillId="2" borderId="42" xfId="1" applyFont="1" applyFill="1" applyBorder="1" applyAlignment="1">
      <alignment horizontal="center"/>
    </xf>
    <xf numFmtId="0" fontId="19" fillId="2" borderId="43" xfId="1" applyFont="1" applyFill="1" applyBorder="1" applyAlignment="1">
      <alignment horizontal="center"/>
    </xf>
    <xf numFmtId="0" fontId="19" fillId="2" borderId="42" xfId="1" applyFont="1" applyFill="1" applyBorder="1" applyAlignment="1">
      <alignment horizontal="left" vertical="center" wrapText="1"/>
    </xf>
    <xf numFmtId="0" fontId="20" fillId="2" borderId="42" xfId="1" applyFont="1" applyFill="1" applyBorder="1" applyAlignment="1">
      <alignment horizontal="left" vertical="center" wrapText="1"/>
    </xf>
    <xf numFmtId="0" fontId="20" fillId="2" borderId="43" xfId="1" applyFont="1" applyFill="1" applyBorder="1" applyAlignment="1">
      <alignment horizontal="left" vertical="center" wrapText="1"/>
    </xf>
    <xf numFmtId="0" fontId="13" fillId="2" borderId="0" xfId="1" applyFont="1" applyFill="1" applyAlignment="1">
      <alignment horizontal="center" vertical="center"/>
    </xf>
    <xf numFmtId="0" fontId="6" fillId="2" borderId="0" xfId="1" applyFont="1" applyFill="1" applyAlignment="1">
      <alignment horizontal="left" vertical="center"/>
    </xf>
    <xf numFmtId="169" fontId="4" fillId="5" borderId="19" xfId="5" applyNumberFormat="1" applyFont="1" applyFill="1" applyBorder="1" applyAlignment="1">
      <alignment horizontal="center"/>
    </xf>
    <xf numFmtId="0" fontId="69" fillId="5" borderId="20" xfId="5" applyFont="1" applyFill="1" applyBorder="1"/>
    <xf numFmtId="0" fontId="69" fillId="5" borderId="21" xfId="5" applyFont="1" applyFill="1" applyBorder="1"/>
    <xf numFmtId="169" fontId="4" fillId="5" borderId="20" xfId="5" applyNumberFormat="1" applyFont="1" applyFill="1" applyBorder="1" applyAlignment="1">
      <alignment horizontal="center"/>
    </xf>
    <xf numFmtId="169" fontId="4" fillId="5" borderId="21" xfId="5" applyNumberFormat="1" applyFont="1" applyFill="1" applyBorder="1" applyAlignment="1">
      <alignment horizontal="center"/>
    </xf>
    <xf numFmtId="173" fontId="4" fillId="5" borderId="19" xfId="5" applyNumberFormat="1" applyFont="1" applyFill="1" applyBorder="1" applyAlignment="1">
      <alignment horizontal="right"/>
    </xf>
    <xf numFmtId="173" fontId="4" fillId="5" borderId="20" xfId="5" applyNumberFormat="1" applyFont="1" applyFill="1" applyBorder="1" applyAlignment="1">
      <alignment horizontal="right"/>
    </xf>
    <xf numFmtId="173" fontId="4" fillId="5" borderId="21" xfId="5" applyNumberFormat="1" applyFont="1" applyFill="1" applyBorder="1" applyAlignment="1">
      <alignment horizontal="right"/>
    </xf>
    <xf numFmtId="169" fontId="4" fillId="2" borderId="19" xfId="5" applyNumberFormat="1" applyFont="1" applyFill="1" applyBorder="1" applyAlignment="1">
      <alignment horizontal="center"/>
    </xf>
    <xf numFmtId="0" fontId="69" fillId="2" borderId="21" xfId="5" applyFont="1" applyFill="1" applyBorder="1"/>
    <xf numFmtId="0" fontId="4" fillId="5" borderId="19" xfId="5" applyFont="1" applyFill="1" applyBorder="1" applyAlignment="1">
      <alignment horizontal="center"/>
    </xf>
    <xf numFmtId="0" fontId="4" fillId="5" borderId="20" xfId="5" applyFont="1" applyFill="1" applyBorder="1" applyAlignment="1">
      <alignment horizontal="center"/>
    </xf>
    <xf numFmtId="0" fontId="4" fillId="5" borderId="21" xfId="5" applyFont="1" applyFill="1" applyBorder="1" applyAlignment="1">
      <alignment horizontal="center"/>
    </xf>
    <xf numFmtId="169" fontId="69" fillId="5" borderId="21" xfId="5" applyNumberFormat="1" applyFont="1" applyFill="1" applyBorder="1"/>
    <xf numFmtId="0" fontId="4" fillId="5" borderId="19" xfId="5" applyFont="1" applyFill="1" applyBorder="1" applyAlignment="1">
      <alignment horizontal="center" wrapText="1"/>
    </xf>
    <xf numFmtId="0" fontId="4" fillId="5" borderId="20" xfId="5" applyFont="1" applyFill="1" applyBorder="1" applyAlignment="1">
      <alignment horizontal="center" wrapText="1"/>
    </xf>
    <xf numFmtId="0" fontId="4" fillId="5" borderId="21" xfId="5" applyFont="1" applyFill="1" applyBorder="1" applyAlignment="1">
      <alignment horizontal="center" wrapText="1"/>
    </xf>
    <xf numFmtId="169" fontId="4" fillId="5" borderId="19" xfId="5" applyNumberFormat="1" applyFont="1" applyFill="1" applyBorder="1" applyAlignment="1">
      <alignment horizontal="center" wrapText="1"/>
    </xf>
    <xf numFmtId="169" fontId="4" fillId="5" borderId="21" xfId="5" applyNumberFormat="1" applyFont="1" applyFill="1" applyBorder="1" applyAlignment="1">
      <alignment horizontal="center" wrapText="1"/>
    </xf>
    <xf numFmtId="0" fontId="4" fillId="2" borderId="19" xfId="5" applyFont="1" applyFill="1" applyBorder="1" applyAlignment="1">
      <alignment horizontal="center" vertical="center" wrapText="1"/>
    </xf>
    <xf numFmtId="0" fontId="69" fillId="2" borderId="21" xfId="5" applyFont="1" applyFill="1" applyBorder="1" applyAlignment="1">
      <alignment wrapText="1"/>
    </xf>
    <xf numFmtId="0" fontId="4" fillId="2" borderId="21" xfId="5" applyFont="1" applyFill="1" applyBorder="1" applyAlignment="1">
      <alignment horizontal="center" vertical="center" wrapText="1"/>
    </xf>
    <xf numFmtId="0" fontId="8" fillId="2" borderId="60" xfId="5" applyFont="1" applyFill="1" applyBorder="1" applyAlignment="1">
      <alignment horizontal="center" vertical="center"/>
    </xf>
    <xf numFmtId="0" fontId="84" fillId="2" borderId="61" xfId="5" applyFont="1" applyFill="1" applyBorder="1"/>
    <xf numFmtId="0" fontId="8" fillId="2" borderId="104" xfId="5" applyFont="1" applyFill="1" applyBorder="1" applyAlignment="1">
      <alignment horizontal="center" vertical="center" wrapText="1"/>
    </xf>
    <xf numFmtId="0" fontId="8" fillId="2" borderId="105" xfId="5" applyFont="1" applyFill="1" applyBorder="1" applyAlignment="1">
      <alignment horizontal="center" vertical="center" wrapText="1"/>
    </xf>
    <xf numFmtId="0" fontId="8" fillId="2" borderId="106" xfId="5" applyFont="1" applyFill="1" applyBorder="1" applyAlignment="1">
      <alignment horizontal="center" vertical="center" wrapText="1"/>
    </xf>
    <xf numFmtId="0" fontId="4" fillId="2" borderId="19" xfId="5" applyFont="1" applyFill="1" applyBorder="1" applyAlignment="1">
      <alignment horizontal="left" vertical="center" wrapText="1"/>
    </xf>
    <xf numFmtId="0" fontId="4" fillId="2" borderId="20" xfId="5" applyFont="1" applyFill="1" applyBorder="1" applyAlignment="1">
      <alignment horizontal="left" vertical="center" wrapText="1"/>
    </xf>
    <xf numFmtId="0" fontId="4" fillId="2" borderId="21" xfId="5" applyFont="1" applyFill="1" applyBorder="1" applyAlignment="1">
      <alignment horizontal="left" vertical="center" wrapText="1"/>
    </xf>
    <xf numFmtId="0" fontId="4" fillId="2" borderId="135" xfId="5" applyFont="1" applyFill="1" applyBorder="1" applyAlignment="1">
      <alignment horizontal="left" vertical="center" wrapText="1"/>
    </xf>
    <xf numFmtId="0" fontId="8" fillId="2" borderId="126" xfId="5" applyFont="1" applyFill="1" applyBorder="1" applyAlignment="1">
      <alignment horizontal="left" vertical="center"/>
    </xf>
    <xf numFmtId="0" fontId="69" fillId="2" borderId="25" xfId="5" applyFont="1" applyFill="1" applyBorder="1"/>
    <xf numFmtId="0" fontId="69" fillId="2" borderId="26" xfId="5" applyFont="1" applyFill="1" applyBorder="1"/>
    <xf numFmtId="0" fontId="4" fillId="2" borderId="24" xfId="5" applyFont="1" applyFill="1" applyBorder="1" applyAlignment="1">
      <alignment horizontal="left" vertical="center" wrapText="1"/>
    </xf>
    <xf numFmtId="0" fontId="69" fillId="2" borderId="25" xfId="5" applyFont="1" applyFill="1" applyBorder="1" applyAlignment="1">
      <alignment horizontal="left" wrapText="1"/>
    </xf>
    <xf numFmtId="0" fontId="69" fillId="2" borderId="30" xfId="5" applyFont="1" applyFill="1" applyBorder="1" applyAlignment="1">
      <alignment horizontal="left" wrapText="1"/>
    </xf>
    <xf numFmtId="0" fontId="6" fillId="2" borderId="0" xfId="5" applyFont="1" applyFill="1" applyAlignment="1">
      <alignment horizontal="left" vertical="center"/>
    </xf>
    <xf numFmtId="0" fontId="70" fillId="2" borderId="0" xfId="5" applyFont="1" applyFill="1"/>
    <xf numFmtId="0" fontId="71" fillId="4" borderId="127" xfId="5" applyFont="1" applyFill="1" applyBorder="1" applyAlignment="1">
      <alignment horizontal="center" vertical="center" wrapText="1"/>
    </xf>
    <xf numFmtId="0" fontId="69" fillId="2" borderId="128" xfId="5" applyFont="1" applyFill="1" applyBorder="1"/>
    <xf numFmtId="0" fontId="69" fillId="2" borderId="129" xfId="5" applyFont="1" applyFill="1" applyBorder="1"/>
    <xf numFmtId="0" fontId="4" fillId="20" borderId="130" xfId="5" applyFont="1" applyFill="1" applyBorder="1" applyAlignment="1">
      <alignment horizontal="center"/>
    </xf>
    <xf numFmtId="0" fontId="69" fillId="2" borderId="12" xfId="5" applyFont="1" applyFill="1" applyBorder="1"/>
    <xf numFmtId="0" fontId="69" fillId="2" borderId="131" xfId="5" applyFont="1" applyFill="1" applyBorder="1"/>
    <xf numFmtId="0" fontId="71" fillId="20" borderId="75" xfId="5" applyFont="1" applyFill="1" applyBorder="1" applyAlignment="1">
      <alignment horizontal="left" vertical="top" wrapText="1"/>
    </xf>
    <xf numFmtId="0" fontId="69" fillId="2" borderId="20" xfId="5" applyFont="1" applyFill="1" applyBorder="1"/>
    <xf numFmtId="0" fontId="72" fillId="20" borderId="19" xfId="5" applyFont="1" applyFill="1" applyBorder="1" applyAlignment="1">
      <alignment horizontal="left" vertical="top" wrapText="1"/>
    </xf>
    <xf numFmtId="0" fontId="73" fillId="2" borderId="20" xfId="5" applyFont="1" applyFill="1" applyBorder="1"/>
    <xf numFmtId="0" fontId="73" fillId="2" borderId="21" xfId="5" applyFont="1" applyFill="1" applyBorder="1"/>
    <xf numFmtId="0" fontId="29" fillId="20" borderId="1" xfId="5" applyFont="1" applyFill="1" applyBorder="1" applyAlignment="1">
      <alignment horizontal="center" vertical="center"/>
    </xf>
    <xf numFmtId="0" fontId="29" fillId="20" borderId="2" xfId="5" applyFont="1" applyFill="1" applyBorder="1" applyAlignment="1">
      <alignment horizontal="center" vertical="center"/>
    </xf>
    <xf numFmtId="0" fontId="29" fillId="20" borderId="132" xfId="5" applyFont="1" applyFill="1" applyBorder="1" applyAlignment="1">
      <alignment horizontal="center" vertical="center"/>
    </xf>
    <xf numFmtId="0" fontId="29" fillId="20" borderId="133" xfId="5" applyFont="1" applyFill="1" applyBorder="1" applyAlignment="1">
      <alignment horizontal="center" vertical="center"/>
    </xf>
    <xf numFmtId="0" fontId="29" fillId="20" borderId="0" xfId="5" applyFont="1" applyFill="1" applyAlignment="1">
      <alignment horizontal="center" vertical="center"/>
    </xf>
    <xf numFmtId="0" fontId="29" fillId="20" borderId="40" xfId="5" applyFont="1" applyFill="1" applyBorder="1" applyAlignment="1">
      <alignment horizontal="center" vertical="center"/>
    </xf>
    <xf numFmtId="0" fontId="29" fillId="20" borderId="83" xfId="5" applyFont="1" applyFill="1" applyBorder="1" applyAlignment="1">
      <alignment horizontal="center" vertical="center"/>
    </xf>
    <xf numFmtId="0" fontId="29" fillId="20" borderId="8" xfId="5" applyFont="1" applyFill="1" applyBorder="1" applyAlignment="1">
      <alignment horizontal="center" vertical="center"/>
    </xf>
    <xf numFmtId="0" fontId="29" fillId="20" borderId="9" xfId="5" applyFont="1" applyFill="1" applyBorder="1" applyAlignment="1">
      <alignment horizontal="center" vertical="center"/>
    </xf>
    <xf numFmtId="0" fontId="74" fillId="20" borderId="19" xfId="5" applyFont="1" applyFill="1" applyBorder="1" applyAlignment="1">
      <alignment horizontal="left" vertical="top" wrapText="1"/>
    </xf>
    <xf numFmtId="0" fontId="71" fillId="20" borderId="138" xfId="5" applyFont="1" applyFill="1" applyBorder="1" applyAlignment="1">
      <alignment horizontal="left" vertical="top" wrapText="1"/>
    </xf>
    <xf numFmtId="0" fontId="71" fillId="0" borderId="60" xfId="5" applyFont="1" applyBorder="1" applyAlignment="1">
      <alignment horizontal="left" vertical="top" wrapText="1"/>
    </xf>
    <xf numFmtId="0" fontId="71" fillId="0" borderId="61" xfId="5" applyFont="1" applyBorder="1" applyAlignment="1">
      <alignment horizontal="left" vertical="top" wrapText="1"/>
    </xf>
    <xf numFmtId="0" fontId="69" fillId="0" borderId="135" xfId="5" applyFont="1" applyBorder="1" applyAlignment="1">
      <alignment horizontal="center"/>
    </xf>
    <xf numFmtId="0" fontId="69" fillId="0" borderId="136" xfId="5" applyFont="1" applyBorder="1" applyAlignment="1">
      <alignment horizontal="center"/>
    </xf>
    <xf numFmtId="0" fontId="71" fillId="0" borderId="61" xfId="5" applyFont="1" applyBorder="1" applyAlignment="1">
      <alignment horizontal="center" vertical="top" wrapText="1"/>
    </xf>
    <xf numFmtId="0" fontId="69" fillId="0" borderId="20" xfId="5" applyFont="1" applyBorder="1" applyAlignment="1">
      <alignment horizontal="center"/>
    </xf>
    <xf numFmtId="0" fontId="69" fillId="0" borderId="21" xfId="5" applyFont="1" applyBorder="1" applyAlignment="1">
      <alignment horizontal="center"/>
    </xf>
    <xf numFmtId="0" fontId="2" fillId="0" borderId="0" xfId="5" applyFont="1" applyAlignment="1">
      <alignment horizontal="center" vertical="center"/>
    </xf>
    <xf numFmtId="0" fontId="67" fillId="0" borderId="0" xfId="5" applyFont="1"/>
    <xf numFmtId="0" fontId="5" fillId="3" borderId="0" xfId="5" applyFont="1" applyFill="1" applyAlignment="1">
      <alignment horizontal="center" vertical="center"/>
    </xf>
    <xf numFmtId="0" fontId="67" fillId="3" borderId="0" xfId="5" applyFont="1" applyFill="1"/>
    <xf numFmtId="0" fontId="8" fillId="4" borderId="121" xfId="5" applyFont="1" applyFill="1" applyBorder="1" applyAlignment="1">
      <alignment horizontal="center" vertical="center"/>
    </xf>
    <xf numFmtId="0" fontId="69" fillId="2" borderId="16" xfId="5" applyFont="1" applyFill="1" applyBorder="1"/>
    <xf numFmtId="0" fontId="69" fillId="2" borderId="122" xfId="5" applyFont="1" applyFill="1" applyBorder="1"/>
    <xf numFmtId="0" fontId="8" fillId="4" borderId="15" xfId="5" applyFont="1" applyFill="1" applyBorder="1" applyAlignment="1">
      <alignment horizontal="center" vertical="center"/>
    </xf>
    <xf numFmtId="0" fontId="69" fillId="2" borderId="17" xfId="5" applyFont="1" applyFill="1" applyBorder="1"/>
    <xf numFmtId="0" fontId="8" fillId="2" borderId="123" xfId="5" applyFont="1" applyFill="1" applyBorder="1" applyAlignment="1">
      <alignment horizontal="left" vertical="center"/>
    </xf>
    <xf numFmtId="0" fontId="69" fillId="2" borderId="124" xfId="5" applyFont="1" applyFill="1" applyBorder="1"/>
    <xf numFmtId="0" fontId="69" fillId="2" borderId="71" xfId="5" applyFont="1" applyFill="1" applyBorder="1"/>
    <xf numFmtId="0" fontId="4" fillId="2" borderId="72" xfId="5" applyFont="1" applyFill="1" applyBorder="1" applyAlignment="1">
      <alignment horizontal="left" vertical="center" wrapText="1"/>
    </xf>
    <xf numFmtId="0" fontId="69" fillId="2" borderId="124" xfId="5" applyFont="1" applyFill="1" applyBorder="1" applyAlignment="1">
      <alignment horizontal="left" wrapText="1"/>
    </xf>
    <xf numFmtId="0" fontId="69" fillId="2" borderId="125" xfId="5" applyFont="1" applyFill="1" applyBorder="1" applyAlignment="1">
      <alignment horizontal="left" wrapText="1"/>
    </xf>
    <xf numFmtId="0" fontId="71" fillId="0" borderId="7" xfId="5" applyFont="1" applyBorder="1" applyAlignment="1">
      <alignment horizontal="left" vertical="top" wrapText="1"/>
    </xf>
    <xf numFmtId="0" fontId="69" fillId="0" borderId="8" xfId="5" applyFont="1" applyBorder="1"/>
    <xf numFmtId="0" fontId="69" fillId="0" borderId="84" xfId="5" applyFont="1" applyBorder="1"/>
    <xf numFmtId="0" fontId="69" fillId="0" borderId="78" xfId="5" applyFont="1" applyBorder="1"/>
    <xf numFmtId="0" fontId="74" fillId="0" borderId="83" xfId="5" applyFont="1" applyBorder="1" applyAlignment="1">
      <alignment horizontal="left" vertical="top" wrapText="1"/>
    </xf>
    <xf numFmtId="0" fontId="71" fillId="0" borderId="75" xfId="5" applyFont="1" applyBorder="1" applyAlignment="1">
      <alignment horizontal="left" vertical="top" wrapText="1"/>
    </xf>
    <xf numFmtId="0" fontId="69" fillId="0" borderId="20" xfId="5" applyFont="1" applyBorder="1"/>
    <xf numFmtId="0" fontId="69" fillId="0" borderId="21" xfId="5" applyFont="1" applyBorder="1"/>
    <xf numFmtId="0" fontId="74" fillId="0" borderId="19" xfId="5" applyFont="1" applyBorder="1" applyAlignment="1">
      <alignment horizontal="left" vertical="top" wrapText="1"/>
    </xf>
    <xf numFmtId="0" fontId="71" fillId="0" borderId="134" xfId="5" applyFont="1" applyBorder="1" applyAlignment="1">
      <alignment horizontal="left" vertical="top" wrapText="1"/>
    </xf>
    <xf numFmtId="0" fontId="69" fillId="0" borderId="2" xfId="5" applyFont="1" applyBorder="1"/>
    <xf numFmtId="0" fontId="74" fillId="0" borderId="1" xfId="5" applyFont="1" applyBorder="1" applyAlignment="1">
      <alignment horizontal="left" vertical="top" wrapText="1"/>
    </xf>
    <xf numFmtId="0" fontId="71" fillId="20" borderId="134" xfId="5" applyFont="1" applyFill="1" applyBorder="1" applyAlignment="1">
      <alignment horizontal="left" vertical="top" wrapText="1"/>
    </xf>
    <xf numFmtId="0" fontId="69" fillId="2" borderId="2" xfId="5" applyFont="1" applyFill="1" applyBorder="1"/>
    <xf numFmtId="0" fontId="69" fillId="2" borderId="3" xfId="5" applyFont="1" applyFill="1" applyBorder="1"/>
    <xf numFmtId="0" fontId="69" fillId="2" borderId="39" xfId="5" applyFont="1" applyFill="1" applyBorder="1"/>
    <xf numFmtId="0" fontId="67" fillId="2" borderId="0" xfId="5" applyFont="1" applyFill="1"/>
    <xf numFmtId="0" fontId="69" fillId="2" borderId="59" xfId="5" applyFont="1" applyFill="1" applyBorder="1"/>
    <xf numFmtId="0" fontId="69" fillId="2" borderId="70" xfId="5" applyFont="1" applyFill="1" applyBorder="1"/>
    <xf numFmtId="0" fontId="74" fillId="20" borderId="1" xfId="5" applyFont="1" applyFill="1" applyBorder="1" applyAlignment="1">
      <alignment horizontal="left" vertical="top" wrapText="1"/>
    </xf>
    <xf numFmtId="0" fontId="69" fillId="2" borderId="133" xfId="5" applyFont="1" applyFill="1" applyBorder="1"/>
    <xf numFmtId="0" fontId="69" fillId="2" borderId="72" xfId="5" applyFont="1" applyFill="1" applyBorder="1"/>
    <xf numFmtId="0" fontId="71" fillId="4" borderId="121" xfId="5" applyFont="1" applyFill="1" applyBorder="1" applyAlignment="1">
      <alignment horizontal="center" vertical="center" wrapText="1"/>
    </xf>
    <xf numFmtId="0" fontId="4" fillId="20" borderId="137" xfId="5" applyFont="1" applyFill="1" applyBorder="1" applyAlignment="1">
      <alignment horizontal="center"/>
    </xf>
    <xf numFmtId="0" fontId="69" fillId="2" borderId="28" xfId="5" applyFont="1" applyFill="1" applyBorder="1"/>
    <xf numFmtId="0" fontId="29" fillId="20" borderId="139" xfId="5" applyFont="1" applyFill="1" applyBorder="1" applyAlignment="1">
      <alignment horizontal="center" vertical="center"/>
    </xf>
    <xf numFmtId="0" fontId="29" fillId="20" borderId="140" xfId="5" applyFont="1" applyFill="1" applyBorder="1" applyAlignment="1">
      <alignment horizontal="center" vertical="center"/>
    </xf>
    <xf numFmtId="0" fontId="29" fillId="20" borderId="142" xfId="5" applyFont="1" applyFill="1" applyBorder="1" applyAlignment="1">
      <alignment horizontal="center" vertical="center"/>
    </xf>
    <xf numFmtId="0" fontId="29" fillId="20" borderId="143" xfId="5" applyFont="1" applyFill="1" applyBorder="1" applyAlignment="1">
      <alignment horizontal="center" vertical="center"/>
    </xf>
    <xf numFmtId="0" fontId="29" fillId="20" borderId="144" xfId="5" applyFont="1" applyFill="1" applyBorder="1" applyAlignment="1">
      <alignment horizontal="center" vertical="center"/>
    </xf>
    <xf numFmtId="0" fontId="71" fillId="20" borderId="141" xfId="5" applyFont="1" applyFill="1" applyBorder="1" applyAlignment="1">
      <alignment horizontal="left" vertical="top" wrapText="1"/>
    </xf>
    <xf numFmtId="0" fontId="69" fillId="2" borderId="38" xfId="5" applyFont="1" applyFill="1" applyBorder="1"/>
    <xf numFmtId="0" fontId="69" fillId="2" borderId="123" xfId="5" applyFont="1" applyFill="1" applyBorder="1"/>
    <xf numFmtId="0" fontId="71" fillId="20" borderId="126" xfId="5" applyFont="1" applyFill="1" applyBorder="1" applyAlignment="1">
      <alignment horizontal="left" vertical="top" wrapText="1"/>
    </xf>
    <xf numFmtId="0" fontId="74" fillId="20" borderId="24" xfId="5" applyFont="1" applyFill="1" applyBorder="1" applyAlignment="1">
      <alignment horizontal="left" vertical="top" wrapText="1"/>
    </xf>
    <xf numFmtId="0" fontId="74" fillId="20" borderId="20" xfId="5" applyFont="1" applyFill="1" applyBorder="1" applyAlignment="1">
      <alignment horizontal="left" vertical="top" wrapText="1"/>
    </xf>
    <xf numFmtId="0" fontId="74" fillId="20" borderId="21" xfId="5" applyFont="1" applyFill="1" applyBorder="1" applyAlignment="1">
      <alignment horizontal="left" vertical="top" wrapText="1"/>
    </xf>
    <xf numFmtId="0" fontId="74" fillId="20" borderId="2" xfId="5" applyFont="1" applyFill="1" applyBorder="1" applyAlignment="1">
      <alignment horizontal="left" vertical="top" wrapText="1"/>
    </xf>
    <xf numFmtId="0" fontId="74" fillId="20" borderId="3" xfId="5" applyFont="1" applyFill="1" applyBorder="1" applyAlignment="1">
      <alignment horizontal="left" vertical="top" wrapText="1"/>
    </xf>
    <xf numFmtId="0" fontId="74" fillId="20" borderId="133" xfId="5" applyFont="1" applyFill="1" applyBorder="1" applyAlignment="1">
      <alignment horizontal="left" vertical="top" wrapText="1"/>
    </xf>
    <xf numFmtId="0" fontId="74" fillId="20" borderId="0" xfId="5" applyFont="1" applyFill="1" applyAlignment="1">
      <alignment horizontal="left" vertical="top" wrapText="1"/>
    </xf>
    <xf numFmtId="0" fontId="74" fillId="20" borderId="59" xfId="5" applyFont="1" applyFill="1" applyBorder="1" applyAlignment="1">
      <alignment horizontal="left" vertical="top" wrapText="1"/>
    </xf>
    <xf numFmtId="0" fontId="74" fillId="20" borderId="72" xfId="5" applyFont="1" applyFill="1" applyBorder="1" applyAlignment="1">
      <alignment horizontal="left" vertical="top" wrapText="1"/>
    </xf>
    <xf numFmtId="0" fontId="74" fillId="20" borderId="124" xfId="5" applyFont="1" applyFill="1" applyBorder="1" applyAlignment="1">
      <alignment horizontal="left" vertical="top" wrapText="1"/>
    </xf>
    <xf numFmtId="0" fontId="74" fillId="20" borderId="71" xfId="5" applyFont="1" applyFill="1" applyBorder="1" applyAlignment="1">
      <alignment horizontal="left" vertical="top" wrapText="1"/>
    </xf>
    <xf numFmtId="0" fontId="74" fillId="20" borderId="25" xfId="5" applyFont="1" applyFill="1" applyBorder="1" applyAlignment="1">
      <alignment horizontal="left" vertical="top" wrapText="1"/>
    </xf>
    <xf numFmtId="0" fontId="74" fillId="20" borderId="26" xfId="5" applyFont="1" applyFill="1" applyBorder="1" applyAlignment="1">
      <alignment horizontal="left" vertical="top" wrapText="1"/>
    </xf>
    <xf numFmtId="0" fontId="71" fillId="4" borderId="16" xfId="5" applyFont="1" applyFill="1" applyBorder="1" applyAlignment="1">
      <alignment horizontal="center" vertical="center" wrapText="1"/>
    </xf>
    <xf numFmtId="0" fontId="71" fillId="4" borderId="17" xfId="5" applyFont="1" applyFill="1" applyBorder="1" applyAlignment="1">
      <alignment horizontal="center" vertical="center" wrapText="1"/>
    </xf>
    <xf numFmtId="0" fontId="4" fillId="20" borderId="12" xfId="5" applyFont="1" applyFill="1" applyBorder="1" applyAlignment="1">
      <alignment horizontal="center"/>
    </xf>
    <xf numFmtId="0" fontId="4" fillId="20" borderId="28" xfId="5" applyFont="1" applyFill="1" applyBorder="1" applyAlignment="1">
      <alignment horizontal="center"/>
    </xf>
    <xf numFmtId="0" fontId="72" fillId="20" borderId="20" xfId="5" applyFont="1" applyFill="1" applyBorder="1" applyAlignment="1">
      <alignment horizontal="left" vertical="top" wrapText="1"/>
    </xf>
    <xf numFmtId="0" fontId="72" fillId="20" borderId="21" xfId="5" applyFont="1" applyFill="1" applyBorder="1" applyAlignment="1">
      <alignment horizontal="left" vertical="top" wrapText="1"/>
    </xf>
    <xf numFmtId="0" fontId="69" fillId="2" borderId="139" xfId="5" applyFont="1" applyFill="1" applyBorder="1"/>
    <xf numFmtId="0" fontId="69" fillId="2" borderId="140" xfId="5" applyFont="1" applyFill="1" applyBorder="1"/>
    <xf numFmtId="0" fontId="69" fillId="2" borderId="142" xfId="5" applyFont="1" applyFill="1" applyBorder="1"/>
    <xf numFmtId="0" fontId="69" fillId="2" borderId="143" xfId="5" applyFont="1" applyFill="1" applyBorder="1"/>
    <xf numFmtId="0" fontId="69" fillId="2" borderId="144" xfId="5" applyFont="1" applyFill="1" applyBorder="1"/>
    <xf numFmtId="0" fontId="74" fillId="20" borderId="19" xfId="5" applyFont="1" applyFill="1" applyBorder="1" applyAlignment="1">
      <alignment horizontal="left" vertical="center" wrapText="1"/>
    </xf>
    <xf numFmtId="0" fontId="74" fillId="20" borderId="20" xfId="5" applyFont="1" applyFill="1" applyBorder="1" applyAlignment="1">
      <alignment horizontal="left" vertical="center" wrapText="1"/>
    </xf>
    <xf numFmtId="0" fontId="74" fillId="20" borderId="21" xfId="5" applyFont="1" applyFill="1" applyBorder="1" applyAlignment="1">
      <alignment horizontal="left" vertical="center" wrapText="1"/>
    </xf>
    <xf numFmtId="0" fontId="71" fillId="0" borderId="19" xfId="5" applyFont="1" applyBorder="1" applyAlignment="1">
      <alignment horizontal="left" vertical="center" wrapText="1"/>
    </xf>
    <xf numFmtId="0" fontId="71" fillId="0" borderId="19" xfId="5" applyFont="1" applyBorder="1" applyAlignment="1">
      <alignment horizontal="center" vertical="top" wrapText="1"/>
    </xf>
    <xf numFmtId="0" fontId="69" fillId="0" borderId="20" xfId="5" applyFont="1" applyBorder="1" applyAlignment="1">
      <alignment vertical="center"/>
    </xf>
    <xf numFmtId="0" fontId="69" fillId="0" borderId="21" xfId="5" applyFont="1" applyBorder="1" applyAlignment="1">
      <alignment vertical="center"/>
    </xf>
    <xf numFmtId="0" fontId="74" fillId="0" borderId="19" xfId="5" applyFont="1" applyBorder="1" applyAlignment="1">
      <alignment horizontal="center" vertical="center" wrapText="1"/>
    </xf>
    <xf numFmtId="0" fontId="74" fillId="0" borderId="20" xfId="5" applyFont="1" applyBorder="1" applyAlignment="1">
      <alignment horizontal="center" vertical="center" wrapText="1"/>
    </xf>
    <xf numFmtId="0" fontId="74" fillId="0" borderId="21" xfId="5" applyFont="1" applyBorder="1" applyAlignment="1">
      <alignment horizontal="center" vertical="center" wrapText="1"/>
    </xf>
    <xf numFmtId="0" fontId="69" fillId="2" borderId="2" xfId="5" applyFont="1" applyFill="1" applyBorder="1" applyAlignment="1">
      <alignment vertical="top"/>
    </xf>
    <xf numFmtId="0" fontId="69" fillId="2" borderId="3" xfId="5" applyFont="1" applyFill="1" applyBorder="1" applyAlignment="1">
      <alignment vertical="top"/>
    </xf>
    <xf numFmtId="0" fontId="69" fillId="2" borderId="38" xfId="5" applyFont="1" applyFill="1" applyBorder="1" applyAlignment="1">
      <alignment vertical="top"/>
    </xf>
    <xf numFmtId="0" fontId="67" fillId="2" borderId="0" xfId="5" applyFont="1" applyFill="1" applyAlignment="1">
      <alignment vertical="top"/>
    </xf>
    <xf numFmtId="0" fontId="69" fillId="2" borderId="59" xfId="5" applyFont="1" applyFill="1" applyBorder="1" applyAlignment="1">
      <alignment vertical="top"/>
    </xf>
    <xf numFmtId="0" fontId="69" fillId="2" borderId="123" xfId="5" applyFont="1" applyFill="1" applyBorder="1" applyAlignment="1">
      <alignment vertical="top"/>
    </xf>
    <xf numFmtId="0" fontId="69" fillId="2" borderId="124" xfId="5" applyFont="1" applyFill="1" applyBorder="1" applyAlignment="1">
      <alignment vertical="top"/>
    </xf>
    <xf numFmtId="0" fontId="69" fillId="2" borderId="71" xfId="5" applyFont="1" applyFill="1" applyBorder="1" applyAlignment="1">
      <alignment vertical="top"/>
    </xf>
    <xf numFmtId="0" fontId="19" fillId="20" borderId="1" xfId="5" applyFont="1" applyFill="1" applyBorder="1" applyAlignment="1">
      <alignment horizontal="left" vertical="center" wrapText="1"/>
    </xf>
    <xf numFmtId="0" fontId="19" fillId="20" borderId="2" xfId="5" applyFont="1" applyFill="1" applyBorder="1" applyAlignment="1">
      <alignment horizontal="left" vertical="center" wrapText="1"/>
    </xf>
    <xf numFmtId="0" fontId="19" fillId="20" borderId="3" xfId="5" applyFont="1" applyFill="1" applyBorder="1" applyAlignment="1">
      <alignment horizontal="left" vertical="center" wrapText="1"/>
    </xf>
    <xf numFmtId="0" fontId="19" fillId="20" borderId="133" xfId="5" applyFont="1" applyFill="1" applyBorder="1" applyAlignment="1">
      <alignment horizontal="left" vertical="center" wrapText="1"/>
    </xf>
    <xf numFmtId="0" fontId="19" fillId="20" borderId="0" xfId="5" applyFont="1" applyFill="1" applyAlignment="1">
      <alignment horizontal="left" vertical="center" wrapText="1"/>
    </xf>
    <xf numFmtId="0" fontId="19" fillId="20" borderId="59" xfId="5" applyFont="1" applyFill="1" applyBorder="1" applyAlignment="1">
      <alignment horizontal="left" vertical="center" wrapText="1"/>
    </xf>
    <xf numFmtId="0" fontId="19" fillId="20" borderId="72" xfId="5" applyFont="1" applyFill="1" applyBorder="1" applyAlignment="1">
      <alignment horizontal="left" vertical="center" wrapText="1"/>
    </xf>
    <xf numFmtId="0" fontId="19" fillId="20" borderId="124" xfId="5" applyFont="1" applyFill="1" applyBorder="1" applyAlignment="1">
      <alignment horizontal="left" vertical="center" wrapText="1"/>
    </xf>
    <xf numFmtId="0" fontId="19" fillId="20" borderId="71" xfId="5" applyFont="1" applyFill="1" applyBorder="1" applyAlignment="1">
      <alignment horizontal="left" vertical="center" wrapText="1"/>
    </xf>
    <xf numFmtId="0" fontId="71" fillId="20" borderId="19" xfId="5" applyFont="1" applyFill="1" applyBorder="1" applyAlignment="1">
      <alignment horizontal="left" vertical="center" wrapText="1"/>
    </xf>
    <xf numFmtId="0" fontId="71" fillId="20" borderId="20" xfId="5" applyFont="1" applyFill="1" applyBorder="1" applyAlignment="1">
      <alignment horizontal="left" vertical="center" wrapText="1"/>
    </xf>
    <xf numFmtId="0" fontId="71" fillId="20" borderId="21" xfId="5" applyFont="1" applyFill="1" applyBorder="1" applyAlignment="1">
      <alignment horizontal="left" vertical="center" wrapText="1"/>
    </xf>
    <xf numFmtId="0" fontId="74" fillId="20" borderId="1" xfId="5" applyFont="1" applyFill="1" applyBorder="1" applyAlignment="1">
      <alignment horizontal="left" vertical="center" wrapText="1"/>
    </xf>
    <xf numFmtId="0" fontId="74" fillId="20" borderId="2" xfId="5" applyFont="1" applyFill="1" applyBorder="1" applyAlignment="1">
      <alignment horizontal="left" vertical="center" wrapText="1"/>
    </xf>
    <xf numFmtId="0" fontId="74" fillId="20" borderId="3" xfId="5" applyFont="1" applyFill="1" applyBorder="1" applyAlignment="1">
      <alignment horizontal="left" vertical="center" wrapText="1"/>
    </xf>
    <xf numFmtId="0" fontId="74" fillId="20" borderId="72" xfId="5" applyFont="1" applyFill="1" applyBorder="1" applyAlignment="1">
      <alignment horizontal="left" vertical="center" wrapText="1"/>
    </xf>
    <xf numFmtId="0" fontId="74" fillId="20" borderId="124" xfId="5" applyFont="1" applyFill="1" applyBorder="1" applyAlignment="1">
      <alignment horizontal="left" vertical="center" wrapText="1"/>
    </xf>
    <xf numFmtId="0" fontId="74" fillId="20" borderId="71" xfId="5" applyFont="1" applyFill="1" applyBorder="1" applyAlignment="1">
      <alignment horizontal="left" vertical="center" wrapText="1"/>
    </xf>
    <xf numFmtId="0" fontId="69" fillId="2" borderId="20" xfId="5" applyFont="1" applyFill="1" applyBorder="1" applyAlignment="1">
      <alignment vertical="top"/>
    </xf>
    <xf numFmtId="0" fontId="69" fillId="2" borderId="21" xfId="5" applyFont="1" applyFill="1" applyBorder="1" applyAlignment="1">
      <alignment vertical="top"/>
    </xf>
    <xf numFmtId="0" fontId="26" fillId="20" borderId="19" xfId="5" applyFont="1" applyFill="1" applyBorder="1" applyAlignment="1">
      <alignment horizontal="left" vertical="center" wrapText="1"/>
    </xf>
    <xf numFmtId="0" fontId="26" fillId="20" borderId="20" xfId="5" applyFont="1" applyFill="1" applyBorder="1" applyAlignment="1">
      <alignment horizontal="left" vertical="center" wrapText="1"/>
    </xf>
    <xf numFmtId="0" fontId="26" fillId="20" borderId="21" xfId="5" applyFont="1" applyFill="1" applyBorder="1" applyAlignment="1">
      <alignment horizontal="left" vertical="center" wrapText="1"/>
    </xf>
    <xf numFmtId="0" fontId="71" fillId="0" borderId="138" xfId="5" applyFont="1" applyBorder="1" applyAlignment="1">
      <alignment horizontal="left" vertical="top" wrapText="1"/>
    </xf>
    <xf numFmtId="0" fontId="74" fillId="0" borderId="20" xfId="5" applyFont="1" applyBorder="1" applyAlignment="1">
      <alignment horizontal="left" vertical="top" wrapText="1"/>
    </xf>
    <xf numFmtId="0" fontId="74" fillId="0" borderId="21" xfId="5" applyFont="1" applyBorder="1" applyAlignment="1">
      <alignment horizontal="left" vertical="top" wrapText="1"/>
    </xf>
    <xf numFmtId="0" fontId="74" fillId="0" borderId="19" xfId="5" applyFont="1" applyBorder="1" applyAlignment="1">
      <alignment horizontal="center" vertical="top" wrapText="1"/>
    </xf>
    <xf numFmtId="0" fontId="74" fillId="0" borderId="20" xfId="5" applyFont="1" applyBorder="1" applyAlignment="1">
      <alignment horizontal="center" vertical="top" wrapText="1"/>
    </xf>
    <xf numFmtId="0" fontId="74" fillId="0" borderId="21" xfId="5" applyFont="1" applyBorder="1" applyAlignment="1">
      <alignment horizontal="center" vertical="top" wrapText="1"/>
    </xf>
    <xf numFmtId="0" fontId="71" fillId="20" borderId="141" xfId="5" applyFont="1" applyFill="1" applyBorder="1" applyAlignment="1">
      <alignment horizontal="left" vertical="center" wrapText="1"/>
    </xf>
    <xf numFmtId="0" fontId="71" fillId="20" borderId="19" xfId="5" applyFont="1" applyFill="1" applyBorder="1" applyAlignment="1">
      <alignment horizontal="left" vertical="top" wrapText="1"/>
    </xf>
    <xf numFmtId="0" fontId="71" fillId="20" borderId="20" xfId="5" applyFont="1" applyFill="1" applyBorder="1" applyAlignment="1">
      <alignment horizontal="left" vertical="top" wrapText="1"/>
    </xf>
    <xf numFmtId="0" fontId="71" fillId="20" borderId="21" xfId="5" applyFont="1" applyFill="1" applyBorder="1" applyAlignment="1">
      <alignment horizontal="left" vertical="top" wrapText="1"/>
    </xf>
    <xf numFmtId="0" fontId="74" fillId="20" borderId="1" xfId="5" applyFont="1" applyFill="1" applyBorder="1" applyAlignment="1">
      <alignment horizontal="center" vertical="top" wrapText="1"/>
    </xf>
    <xf numFmtId="0" fontId="74" fillId="20" borderId="2" xfId="5" applyFont="1" applyFill="1" applyBorder="1" applyAlignment="1">
      <alignment horizontal="center" vertical="top" wrapText="1"/>
    </xf>
    <xf numFmtId="0" fontId="74" fillId="20" borderId="3" xfId="5" applyFont="1" applyFill="1" applyBorder="1" applyAlignment="1">
      <alignment horizontal="center" vertical="top" wrapText="1"/>
    </xf>
    <xf numFmtId="0" fontId="74" fillId="20" borderId="72" xfId="5" applyFont="1" applyFill="1" applyBorder="1" applyAlignment="1">
      <alignment horizontal="center" vertical="top" wrapText="1"/>
    </xf>
    <xf numFmtId="0" fontId="74" fillId="20" borderId="124" xfId="5" applyFont="1" applyFill="1" applyBorder="1" applyAlignment="1">
      <alignment horizontal="center" vertical="top" wrapText="1"/>
    </xf>
    <xf numFmtId="0" fontId="74" fillId="20" borderId="71" xfId="5" applyFont="1" applyFill="1" applyBorder="1" applyAlignment="1">
      <alignment horizontal="center" vertical="top" wrapText="1"/>
    </xf>
    <xf numFmtId="0" fontId="74" fillId="20" borderId="24" xfId="5" applyFont="1" applyFill="1" applyBorder="1" applyAlignment="1">
      <alignment horizontal="left" vertical="center" wrapText="1"/>
    </xf>
    <xf numFmtId="0" fontId="74" fillId="20" borderId="25" xfId="5" applyFont="1" applyFill="1" applyBorder="1" applyAlignment="1">
      <alignment horizontal="left" vertical="center" wrapText="1"/>
    </xf>
    <xf numFmtId="0" fontId="74" fillId="20" borderId="26" xfId="5" applyFont="1" applyFill="1" applyBorder="1" applyAlignment="1">
      <alignment horizontal="left" vertical="center" wrapText="1"/>
    </xf>
    <xf numFmtId="0" fontId="71" fillId="20" borderId="138" xfId="5" applyFont="1" applyFill="1" applyBorder="1" applyAlignment="1">
      <alignment horizontal="left" vertical="center" wrapText="1"/>
    </xf>
    <xf numFmtId="0" fontId="71" fillId="0" borderId="126" xfId="5" applyFont="1" applyBorder="1" applyAlignment="1">
      <alignment horizontal="left" vertical="top" wrapText="1"/>
    </xf>
    <xf numFmtId="0" fontId="69" fillId="0" borderId="25" xfId="5" applyFont="1" applyBorder="1"/>
    <xf numFmtId="0" fontId="69" fillId="0" borderId="26" xfId="5" applyFont="1" applyBorder="1"/>
    <xf numFmtId="0" fontId="74" fillId="0" borderId="24" xfId="5" applyFont="1" applyBorder="1" applyAlignment="1">
      <alignment horizontal="left" vertical="top" wrapText="1"/>
    </xf>
    <xf numFmtId="0" fontId="74" fillId="0" borderId="25" xfId="5" applyFont="1" applyBorder="1" applyAlignment="1">
      <alignment horizontal="left" vertical="top" wrapText="1"/>
    </xf>
    <xf numFmtId="0" fontId="74" fillId="0" borderId="26" xfId="5" applyFont="1" applyBorder="1" applyAlignment="1">
      <alignment horizontal="left" vertical="top" wrapText="1"/>
    </xf>
    <xf numFmtId="0" fontId="8" fillId="2" borderId="75" xfId="5" applyFont="1" applyFill="1" applyBorder="1" applyAlignment="1">
      <alignment horizontal="center" vertical="center"/>
    </xf>
    <xf numFmtId="0" fontId="84" fillId="2" borderId="21" xfId="5" applyFont="1" applyFill="1" applyBorder="1"/>
    <xf numFmtId="0" fontId="8" fillId="2" borderId="19" xfId="5" applyFont="1" applyFill="1" applyBorder="1" applyAlignment="1">
      <alignment horizontal="center" vertical="center"/>
    </xf>
    <xf numFmtId="0" fontId="84" fillId="2" borderId="20" xfId="5" applyFont="1" applyFill="1" applyBorder="1" applyAlignment="1">
      <alignment horizontal="center"/>
    </xf>
    <xf numFmtId="0" fontId="84" fillId="2" borderId="21" xfId="5" applyFont="1" applyFill="1" applyBorder="1" applyAlignment="1">
      <alignment horizontal="center"/>
    </xf>
    <xf numFmtId="0" fontId="69" fillId="2" borderId="20" xfId="5" applyFont="1" applyFill="1" applyBorder="1" applyAlignment="1">
      <alignment horizontal="left" wrapText="1"/>
    </xf>
    <xf numFmtId="0" fontId="69" fillId="2" borderId="21" xfId="5" applyFont="1" applyFill="1" applyBorder="1" applyAlignment="1">
      <alignment horizontal="left" wrapText="1"/>
    </xf>
    <xf numFmtId="0" fontId="4" fillId="2" borderId="19" xfId="5" applyFont="1" applyFill="1" applyBorder="1" applyAlignment="1">
      <alignment horizontal="center" vertical="center"/>
    </xf>
    <xf numFmtId="0" fontId="8" fillId="4" borderId="24" xfId="5" applyFont="1" applyFill="1" applyBorder="1" applyAlignment="1">
      <alignment horizontal="center" vertical="center" wrapText="1"/>
    </xf>
    <xf numFmtId="0" fontId="8" fillId="2" borderId="130" xfId="5" applyFont="1" applyFill="1" applyBorder="1" applyAlignment="1">
      <alignment horizontal="center" vertical="center"/>
    </xf>
    <xf numFmtId="0" fontId="84" fillId="2" borderId="13" xfId="5" applyFont="1" applyFill="1" applyBorder="1"/>
    <xf numFmtId="0" fontId="8" fillId="2" borderId="11" xfId="5" applyFont="1" applyFill="1" applyBorder="1" applyAlignment="1">
      <alignment horizontal="center" vertical="center"/>
    </xf>
    <xf numFmtId="0" fontId="84" fillId="2" borderId="12" xfId="5" applyFont="1" applyFill="1" applyBorder="1" applyAlignment="1">
      <alignment horizontal="center"/>
    </xf>
    <xf numFmtId="0" fontId="84" fillId="2" borderId="13" xfId="5" applyFont="1" applyFill="1" applyBorder="1" applyAlignment="1">
      <alignment horizontal="center"/>
    </xf>
    <xf numFmtId="0" fontId="4" fillId="2" borderId="11" xfId="5" applyFont="1" applyFill="1" applyBorder="1" applyAlignment="1">
      <alignment horizontal="left" vertical="center" wrapText="1"/>
    </xf>
    <xf numFmtId="0" fontId="69" fillId="2" borderId="12" xfId="5" applyFont="1" applyFill="1" applyBorder="1" applyAlignment="1">
      <alignment horizontal="left" wrapText="1"/>
    </xf>
    <xf numFmtId="0" fontId="69" fillId="2" borderId="13" xfId="5" applyFont="1" applyFill="1" applyBorder="1" applyAlignment="1">
      <alignment horizontal="left" wrapText="1"/>
    </xf>
    <xf numFmtId="0" fontId="4" fillId="2" borderId="11" xfId="5" applyFont="1" applyFill="1" applyBorder="1" applyAlignment="1">
      <alignment horizontal="center" vertical="center"/>
    </xf>
    <xf numFmtId="0" fontId="69" fillId="2" borderId="13" xfId="5" applyFont="1" applyFill="1" applyBorder="1"/>
    <xf numFmtId="0" fontId="8" fillId="21" borderId="44" xfId="5" applyFont="1" applyFill="1" applyBorder="1" applyAlignment="1">
      <alignment horizontal="right" vertical="center"/>
    </xf>
    <xf numFmtId="0" fontId="8" fillId="21" borderId="45" xfId="5" applyFont="1" applyFill="1" applyBorder="1" applyAlignment="1">
      <alignment horizontal="right" vertical="center"/>
    </xf>
    <xf numFmtId="0" fontId="26" fillId="2" borderId="45" xfId="5" applyFont="1" applyFill="1" applyBorder="1" applyAlignment="1">
      <alignment horizontal="left" vertical="center"/>
    </xf>
    <xf numFmtId="0" fontId="26" fillId="2" borderId="46" xfId="5" applyFont="1" applyFill="1" applyBorder="1" applyAlignment="1">
      <alignment horizontal="left" vertical="center"/>
    </xf>
    <xf numFmtId="0" fontId="8" fillId="4" borderId="39" xfId="5" applyFont="1" applyFill="1" applyBorder="1" applyAlignment="1">
      <alignment horizontal="center" vertical="center" wrapText="1"/>
    </xf>
    <xf numFmtId="0" fontId="69" fillId="2" borderId="181" xfId="5" applyFont="1" applyFill="1" applyBorder="1"/>
    <xf numFmtId="0" fontId="69" fillId="2" borderId="147" xfId="5" applyFont="1" applyFill="1" applyBorder="1"/>
    <xf numFmtId="0" fontId="8" fillId="4" borderId="133" xfId="5" applyFont="1" applyFill="1" applyBorder="1" applyAlignment="1">
      <alignment horizontal="center" vertical="center"/>
    </xf>
    <xf numFmtId="0" fontId="8" fillId="4" borderId="72" xfId="5" applyFont="1" applyFill="1" applyBorder="1" applyAlignment="1">
      <alignment horizontal="center" vertical="center"/>
    </xf>
    <xf numFmtId="0" fontId="8" fillId="4" borderId="180" xfId="5" applyFont="1" applyFill="1" applyBorder="1" applyAlignment="1">
      <alignment horizontal="center" vertical="center" wrapText="1"/>
    </xf>
    <xf numFmtId="0" fontId="69" fillId="2" borderId="182" xfId="5" applyFont="1" applyFill="1" applyBorder="1"/>
    <xf numFmtId="0" fontId="8" fillId="21" borderId="44" xfId="5" applyFont="1" applyFill="1" applyBorder="1" applyAlignment="1">
      <alignment horizontal="center"/>
    </xf>
    <xf numFmtId="0" fontId="8" fillId="21" borderId="45" xfId="5" applyFont="1" applyFill="1" applyBorder="1" applyAlignment="1">
      <alignment horizontal="center"/>
    </xf>
    <xf numFmtId="0" fontId="69" fillId="2" borderId="45" xfId="5" applyFont="1" applyFill="1" applyBorder="1" applyAlignment="1">
      <alignment horizontal="center"/>
    </xf>
    <xf numFmtId="0" fontId="69" fillId="2" borderId="46" xfId="5" applyFont="1" applyFill="1" applyBorder="1" applyAlignment="1">
      <alignment horizontal="center"/>
    </xf>
    <xf numFmtId="0" fontId="8" fillId="4" borderId="38" xfId="5" applyFont="1" applyFill="1" applyBorder="1" applyAlignment="1">
      <alignment horizontal="center" vertical="center" wrapText="1"/>
    </xf>
    <xf numFmtId="0" fontId="69" fillId="2" borderId="146" xfId="5" applyFont="1" applyFill="1" applyBorder="1"/>
    <xf numFmtId="0" fontId="8" fillId="4" borderId="145" xfId="5" applyFont="1" applyFill="1" applyBorder="1" applyAlignment="1">
      <alignment horizontal="center" vertical="center" wrapText="1"/>
    </xf>
    <xf numFmtId="0" fontId="69" fillId="2" borderId="148" xfId="5" applyFont="1" applyFill="1" applyBorder="1"/>
    <xf numFmtId="0" fontId="8" fillId="2" borderId="55" xfId="5" applyFont="1" applyFill="1" applyBorder="1" applyAlignment="1">
      <alignment horizontal="center" vertical="center"/>
    </xf>
    <xf numFmtId="0" fontId="84" fillId="2" borderId="56" xfId="5" applyFont="1" applyFill="1" applyBorder="1"/>
    <xf numFmtId="0" fontId="8" fillId="2" borderId="56" xfId="5" applyFont="1" applyFill="1" applyBorder="1" applyAlignment="1">
      <alignment horizontal="center" vertical="center"/>
    </xf>
    <xf numFmtId="0" fontId="84" fillId="2" borderId="56" xfId="5" applyFont="1" applyFill="1" applyBorder="1" applyAlignment="1">
      <alignment horizontal="center"/>
    </xf>
    <xf numFmtId="0" fontId="4" fillId="2" borderId="84" xfId="5" applyFont="1" applyFill="1" applyBorder="1" applyAlignment="1">
      <alignment horizontal="left" vertical="center" wrapText="1"/>
    </xf>
    <xf numFmtId="0" fontId="69" fillId="2" borderId="84" xfId="5" applyFont="1" applyFill="1" applyBorder="1" applyAlignment="1">
      <alignment horizontal="left" wrapText="1"/>
    </xf>
    <xf numFmtId="0" fontId="69" fillId="2" borderId="78" xfId="5" applyFont="1" applyFill="1" applyBorder="1" applyAlignment="1">
      <alignment horizontal="left" wrapText="1"/>
    </xf>
    <xf numFmtId="0" fontId="4" fillId="2" borderId="79" xfId="5" applyFont="1" applyFill="1" applyBorder="1" applyAlignment="1">
      <alignment horizontal="center" vertical="center"/>
    </xf>
    <xf numFmtId="0" fontId="69" fillId="2" borderId="78" xfId="5" applyFont="1" applyFill="1" applyBorder="1"/>
    <xf numFmtId="0" fontId="4" fillId="2" borderId="79" xfId="5" applyFont="1" applyFill="1" applyBorder="1" applyAlignment="1">
      <alignment horizontal="center" vertical="center" wrapText="1"/>
    </xf>
    <xf numFmtId="0" fontId="69" fillId="2" borderId="78" xfId="5" applyFont="1" applyFill="1" applyBorder="1" applyAlignment="1">
      <alignment wrapText="1"/>
    </xf>
    <xf numFmtId="0" fontId="8" fillId="2" borderId="134" xfId="5" applyFont="1" applyFill="1" applyBorder="1" applyAlignment="1">
      <alignment horizontal="center" vertical="center"/>
    </xf>
    <xf numFmtId="0" fontId="84" fillId="2" borderId="3" xfId="5" applyFont="1" applyFill="1" applyBorder="1"/>
    <xf numFmtId="0" fontId="8" fillId="2" borderId="1" xfId="5" applyFont="1" applyFill="1" applyBorder="1" applyAlignment="1">
      <alignment horizontal="center" vertical="center"/>
    </xf>
    <xf numFmtId="0" fontId="84" fillId="2" borderId="2" xfId="5" applyFont="1" applyFill="1" applyBorder="1" applyAlignment="1">
      <alignment horizontal="center"/>
    </xf>
    <xf numFmtId="0" fontId="84" fillId="2" borderId="3" xfId="5" applyFont="1" applyFill="1" applyBorder="1" applyAlignment="1">
      <alignment horizontal="center"/>
    </xf>
    <xf numFmtId="0" fontId="4" fillId="2" borderId="138" xfId="5" applyFont="1" applyFill="1" applyBorder="1" applyAlignment="1">
      <alignment horizontal="center" vertical="center"/>
    </xf>
    <xf numFmtId="0" fontId="4" fillId="2" borderId="137" xfId="5" applyFont="1" applyFill="1" applyBorder="1" applyAlignment="1">
      <alignment horizontal="center" vertical="center"/>
    </xf>
    <xf numFmtId="0" fontId="4" fillId="2" borderId="126" xfId="5" applyFont="1" applyFill="1" applyBorder="1" applyAlignment="1">
      <alignment horizontal="center" vertical="center"/>
    </xf>
    <xf numFmtId="0" fontId="4" fillId="2" borderId="24" xfId="5" applyFont="1" applyFill="1" applyBorder="1" applyAlignment="1">
      <alignment horizontal="center" vertical="center"/>
    </xf>
    <xf numFmtId="0" fontId="4" fillId="5" borderId="24" xfId="5" applyFont="1" applyFill="1" applyBorder="1" applyAlignment="1">
      <alignment horizontal="center"/>
    </xf>
    <xf numFmtId="0" fontId="4" fillId="5" borderId="25" xfId="5" applyFont="1" applyFill="1" applyBorder="1" applyAlignment="1">
      <alignment horizontal="center"/>
    </xf>
    <xf numFmtId="0" fontId="4" fillId="5" borderId="26" xfId="5" applyFont="1" applyFill="1" applyBorder="1" applyAlignment="1">
      <alignment horizontal="center"/>
    </xf>
    <xf numFmtId="0" fontId="69" fillId="5" borderId="26" xfId="5" applyFont="1" applyFill="1" applyBorder="1"/>
    <xf numFmtId="169" fontId="4" fillId="5" borderId="24" xfId="5" applyNumberFormat="1" applyFont="1" applyFill="1" applyBorder="1" applyAlignment="1">
      <alignment horizontal="center"/>
    </xf>
    <xf numFmtId="169" fontId="69" fillId="5" borderId="26" xfId="5" applyNumberFormat="1" applyFont="1" applyFill="1" applyBorder="1"/>
    <xf numFmtId="0" fontId="8" fillId="4" borderId="16" xfId="5" applyFont="1" applyFill="1" applyBorder="1" applyAlignment="1">
      <alignment horizontal="center" vertical="center"/>
    </xf>
    <xf numFmtId="0" fontId="8" fillId="4" borderId="122" xfId="5" applyFont="1" applyFill="1" applyBorder="1" applyAlignment="1">
      <alignment horizontal="center" vertical="center"/>
    </xf>
    <xf numFmtId="169" fontId="8" fillId="2" borderId="121" xfId="5" applyNumberFormat="1" applyFont="1" applyFill="1" applyBorder="1" applyAlignment="1">
      <alignment horizontal="center"/>
    </xf>
    <xf numFmtId="169" fontId="69" fillId="2" borderId="17" xfId="5" applyNumberFormat="1" applyFont="1" applyFill="1" applyBorder="1"/>
    <xf numFmtId="0" fontId="8" fillId="4" borderId="37" xfId="5" applyFont="1" applyFill="1" applyBorder="1" applyAlignment="1">
      <alignment horizontal="center" vertical="center" wrapText="1"/>
    </xf>
    <xf numFmtId="0" fontId="69" fillId="2" borderId="150" xfId="5" applyFont="1" applyFill="1" applyBorder="1"/>
    <xf numFmtId="0" fontId="69" fillId="2" borderId="0" xfId="5" applyFont="1" applyFill="1"/>
    <xf numFmtId="0" fontId="4" fillId="5" borderId="11" xfId="5" applyFont="1" applyFill="1" applyBorder="1" applyAlignment="1">
      <alignment horizontal="center"/>
    </xf>
    <xf numFmtId="0" fontId="69" fillId="5" borderId="12" xfId="5" applyFont="1" applyFill="1" applyBorder="1"/>
    <xf numFmtId="0" fontId="69" fillId="5" borderId="13" xfId="5" applyFont="1" applyFill="1" applyBorder="1"/>
    <xf numFmtId="0" fontId="4" fillId="5" borderId="12" xfId="5" applyFont="1" applyFill="1" applyBorder="1" applyAlignment="1">
      <alignment horizontal="center"/>
    </xf>
    <xf numFmtId="0" fontId="4" fillId="5" borderId="13" xfId="5" applyFont="1" applyFill="1" applyBorder="1" applyAlignment="1">
      <alignment horizontal="center"/>
    </xf>
    <xf numFmtId="169" fontId="4" fillId="5" borderId="11" xfId="5" applyNumberFormat="1" applyFont="1" applyFill="1" applyBorder="1" applyAlignment="1">
      <alignment horizontal="center"/>
    </xf>
    <xf numFmtId="169" fontId="69" fillId="5" borderId="13" xfId="5" applyNumberFormat="1" applyFont="1" applyFill="1" applyBorder="1"/>
    <xf numFmtId="0" fontId="69" fillId="2" borderId="151" xfId="5" applyFont="1" applyFill="1" applyBorder="1"/>
    <xf numFmtId="169" fontId="8" fillId="2" borderId="44" xfId="5" applyNumberFormat="1" applyFont="1" applyFill="1" applyBorder="1" applyAlignment="1">
      <alignment horizontal="center"/>
    </xf>
    <xf numFmtId="169" fontId="8" fillId="2" borderId="46" xfId="5" applyNumberFormat="1" applyFont="1" applyFill="1" applyBorder="1" applyAlignment="1">
      <alignment horizontal="center"/>
    </xf>
    <xf numFmtId="0" fontId="69" fillId="5" borderId="25" xfId="5" applyFont="1" applyFill="1" applyBorder="1"/>
    <xf numFmtId="0" fontId="8" fillId="2" borderId="44" xfId="5" applyFont="1" applyFill="1" applyBorder="1" applyAlignment="1">
      <alignment horizontal="center" vertical="center"/>
    </xf>
    <xf numFmtId="0" fontId="8" fillId="2" borderId="45" xfId="5" applyFont="1" applyFill="1" applyBorder="1" applyAlignment="1">
      <alignment horizontal="center" vertical="center"/>
    </xf>
    <xf numFmtId="0" fontId="8" fillId="2" borderId="46" xfId="5" applyFont="1" applyFill="1" applyBorder="1" applyAlignment="1">
      <alignment horizontal="center" vertical="center"/>
    </xf>
    <xf numFmtId="170" fontId="8" fillId="2" borderId="16" xfId="5" applyNumberFormat="1" applyFont="1" applyFill="1" applyBorder="1" applyAlignment="1">
      <alignment horizontal="center" vertical="center"/>
    </xf>
    <xf numFmtId="0" fontId="8" fillId="2" borderId="138" xfId="5" applyFont="1" applyFill="1" applyBorder="1" applyAlignment="1">
      <alignment horizontal="center" vertical="center" wrapText="1"/>
    </xf>
    <xf numFmtId="0" fontId="84" fillId="2" borderId="20" xfId="5" applyFont="1" applyFill="1" applyBorder="1" applyAlignment="1">
      <alignment vertical="center" wrapText="1"/>
    </xf>
    <xf numFmtId="0" fontId="84" fillId="2" borderId="21" xfId="5" applyFont="1" applyFill="1" applyBorder="1" applyAlignment="1">
      <alignment vertical="center" wrapText="1"/>
    </xf>
    <xf numFmtId="0" fontId="4" fillId="5" borderId="19" xfId="5" applyFont="1" applyFill="1" applyBorder="1" applyAlignment="1">
      <alignment horizontal="center" vertical="center"/>
    </xf>
    <xf numFmtId="0" fontId="69" fillId="5" borderId="20" xfId="5" applyFont="1" applyFill="1" applyBorder="1" applyAlignment="1">
      <alignment vertical="center"/>
    </xf>
    <xf numFmtId="0" fontId="69" fillId="5" borderId="21" xfId="5" applyFont="1" applyFill="1" applyBorder="1" applyAlignment="1">
      <alignment vertical="center"/>
    </xf>
    <xf numFmtId="1" fontId="4" fillId="5" borderId="19" xfId="5" applyNumberFormat="1" applyFont="1" applyFill="1" applyBorder="1" applyAlignment="1">
      <alignment horizontal="center" vertical="center"/>
    </xf>
    <xf numFmtId="1" fontId="4" fillId="5" borderId="20" xfId="5" applyNumberFormat="1" applyFont="1" applyFill="1" applyBorder="1" applyAlignment="1">
      <alignment horizontal="center" vertical="center"/>
    </xf>
    <xf numFmtId="1" fontId="4" fillId="5" borderId="21" xfId="5" applyNumberFormat="1" applyFont="1" applyFill="1" applyBorder="1" applyAlignment="1">
      <alignment horizontal="center" vertical="center"/>
    </xf>
    <xf numFmtId="0" fontId="8" fillId="2" borderId="126" xfId="5" applyFont="1" applyFill="1" applyBorder="1" applyAlignment="1">
      <alignment horizontal="center" vertical="center" wrapText="1"/>
    </xf>
    <xf numFmtId="0" fontId="84" fillId="2" borderId="25" xfId="5" applyFont="1" applyFill="1" applyBorder="1" applyAlignment="1">
      <alignment vertical="center" wrapText="1"/>
    </xf>
    <xf numFmtId="0" fontId="84" fillId="2" borderId="26" xfId="5" applyFont="1" applyFill="1" applyBorder="1" applyAlignment="1">
      <alignment vertical="center" wrapText="1"/>
    </xf>
    <xf numFmtId="0" fontId="4" fillId="5" borderId="24" xfId="5" applyFont="1" applyFill="1" applyBorder="1" applyAlignment="1">
      <alignment horizontal="center" vertical="center"/>
    </xf>
    <xf numFmtId="0" fontId="69" fillId="5" borderId="25" xfId="5" applyFont="1" applyFill="1" applyBorder="1" applyAlignment="1">
      <alignment vertical="center"/>
    </xf>
    <xf numFmtId="0" fontId="69" fillId="5" borderId="26" xfId="5" applyFont="1" applyFill="1" applyBorder="1" applyAlignment="1">
      <alignment vertical="center"/>
    </xf>
    <xf numFmtId="1" fontId="4" fillId="5" borderId="24" xfId="5" applyNumberFormat="1" applyFont="1" applyFill="1" applyBorder="1" applyAlignment="1">
      <alignment horizontal="center" vertical="center"/>
    </xf>
    <xf numFmtId="1" fontId="4" fillId="5" borderId="25" xfId="5" applyNumberFormat="1" applyFont="1" applyFill="1" applyBorder="1" applyAlignment="1">
      <alignment horizontal="center" vertical="center"/>
    </xf>
    <xf numFmtId="1" fontId="4" fillId="5" borderId="26" xfId="5" applyNumberFormat="1" applyFont="1" applyFill="1" applyBorder="1" applyAlignment="1">
      <alignment horizontal="center" vertical="center"/>
    </xf>
    <xf numFmtId="0" fontId="8" fillId="2" borderId="137" xfId="5" applyFont="1" applyFill="1" applyBorder="1" applyAlignment="1">
      <alignment horizontal="center" vertical="center" wrapText="1"/>
    </xf>
    <xf numFmtId="0" fontId="84" fillId="2" borderId="12" xfId="5" applyFont="1" applyFill="1" applyBorder="1" applyAlignment="1">
      <alignment vertical="center" wrapText="1"/>
    </xf>
    <xf numFmtId="0" fontId="84" fillId="2" borderId="13" xfId="5" applyFont="1" applyFill="1" applyBorder="1" applyAlignment="1">
      <alignment vertical="center" wrapText="1"/>
    </xf>
    <xf numFmtId="0" fontId="4" fillId="5" borderId="11" xfId="5" applyFont="1" applyFill="1" applyBorder="1" applyAlignment="1">
      <alignment horizontal="center" vertical="center"/>
    </xf>
    <xf numFmtId="0" fontId="69" fillId="5" borderId="12" xfId="5" applyFont="1" applyFill="1" applyBorder="1" applyAlignment="1">
      <alignment vertical="center"/>
    </xf>
    <xf numFmtId="0" fontId="69" fillId="5" borderId="13" xfId="5" applyFont="1" applyFill="1" applyBorder="1" applyAlignment="1">
      <alignment vertical="center"/>
    </xf>
    <xf numFmtId="1" fontId="4" fillId="5" borderId="11" xfId="5" applyNumberFormat="1" applyFont="1" applyFill="1" applyBorder="1" applyAlignment="1">
      <alignment horizontal="center" vertical="center"/>
    </xf>
    <xf numFmtId="1" fontId="4" fillId="5" borderId="12" xfId="5" applyNumberFormat="1" applyFont="1" applyFill="1" applyBorder="1" applyAlignment="1">
      <alignment horizontal="center" vertical="center"/>
    </xf>
    <xf numFmtId="1" fontId="4" fillId="5" borderId="13" xfId="5" applyNumberFormat="1" applyFont="1" applyFill="1" applyBorder="1" applyAlignment="1">
      <alignment horizontal="center" vertical="center"/>
    </xf>
    <xf numFmtId="1" fontId="69" fillId="5" borderId="12" xfId="5" applyNumberFormat="1" applyFont="1" applyFill="1" applyBorder="1" applyAlignment="1">
      <alignment vertical="center"/>
    </xf>
    <xf numFmtId="1" fontId="69" fillId="5" borderId="13" xfId="5" applyNumberFormat="1" applyFont="1" applyFill="1" applyBorder="1" applyAlignment="1">
      <alignment vertical="center"/>
    </xf>
    <xf numFmtId="0" fontId="14" fillId="2" borderId="0" xfId="5" applyFont="1" applyFill="1" applyAlignment="1">
      <alignment horizontal="left" vertical="center"/>
    </xf>
    <xf numFmtId="0" fontId="4" fillId="22" borderId="75" xfId="5" applyFont="1" applyFill="1" applyBorder="1" applyAlignment="1">
      <alignment horizontal="left"/>
    </xf>
    <xf numFmtId="9" fontId="4" fillId="22" borderId="19" xfId="5" applyNumberFormat="1" applyFont="1" applyFill="1" applyBorder="1" applyAlignment="1">
      <alignment horizontal="center"/>
    </xf>
    <xf numFmtId="0" fontId="69" fillId="2" borderId="81" xfId="5" applyFont="1" applyFill="1" applyBorder="1"/>
    <xf numFmtId="0" fontId="8" fillId="22" borderId="77" xfId="5" applyFont="1" applyFill="1" applyBorder="1" applyAlignment="1">
      <alignment horizontal="left"/>
    </xf>
    <xf numFmtId="0" fontId="69" fillId="2" borderId="84" xfId="5" applyFont="1" applyFill="1" applyBorder="1"/>
    <xf numFmtId="9" fontId="8" fillId="22" borderId="79" xfId="5" applyNumberFormat="1" applyFont="1" applyFill="1" applyBorder="1" applyAlignment="1">
      <alignment horizontal="center"/>
    </xf>
    <xf numFmtId="0" fontId="69" fillId="2" borderId="85" xfId="5" applyFont="1" applyFill="1" applyBorder="1"/>
    <xf numFmtId="0" fontId="4" fillId="22" borderId="70" xfId="5" applyFont="1" applyFill="1" applyBorder="1" applyAlignment="1">
      <alignment horizontal="left"/>
    </xf>
    <xf numFmtId="9" fontId="4" fillId="22" borderId="72" xfId="5" applyNumberFormat="1" applyFont="1" applyFill="1" applyBorder="1" applyAlignment="1">
      <alignment horizontal="center"/>
    </xf>
    <xf numFmtId="0" fontId="69" fillId="2" borderId="161" xfId="5" applyFont="1" applyFill="1" applyBorder="1"/>
    <xf numFmtId="171" fontId="80" fillId="22" borderId="77" xfId="5" applyNumberFormat="1" applyFont="1" applyFill="1" applyBorder="1" applyAlignment="1">
      <alignment horizontal="center" vertical="center"/>
    </xf>
    <xf numFmtId="171" fontId="4" fillId="23" borderId="79" xfId="5" applyNumberFormat="1" applyFont="1" applyFill="1" applyBorder="1" applyAlignment="1">
      <alignment horizontal="center" vertical="center"/>
    </xf>
    <xf numFmtId="0" fontId="69" fillId="5" borderId="84" xfId="5" applyFont="1" applyFill="1" applyBorder="1"/>
    <xf numFmtId="0" fontId="69" fillId="5" borderId="85" xfId="5" applyFont="1" applyFill="1" applyBorder="1"/>
    <xf numFmtId="0" fontId="8" fillId="2" borderId="44" xfId="5" applyFont="1" applyFill="1" applyBorder="1" applyAlignment="1">
      <alignment horizontal="center"/>
    </xf>
    <xf numFmtId="0" fontId="8" fillId="2" borderId="45" xfId="5" applyFont="1" applyFill="1" applyBorder="1" applyAlignment="1">
      <alignment horizontal="center"/>
    </xf>
    <xf numFmtId="0" fontId="8" fillId="2" borderId="46" xfId="5" applyFont="1" applyFill="1" applyBorder="1" applyAlignment="1">
      <alignment horizontal="center"/>
    </xf>
    <xf numFmtId="0" fontId="79" fillId="2" borderId="0" xfId="5" applyFont="1" applyFill="1" applyAlignment="1">
      <alignment horizontal="left" vertical="center"/>
    </xf>
    <xf numFmtId="171" fontId="8" fillId="4" borderId="44" xfId="5" applyNumberFormat="1" applyFont="1" applyFill="1" applyBorder="1" applyAlignment="1">
      <alignment horizontal="center" vertical="center" wrapText="1"/>
    </xf>
    <xf numFmtId="0" fontId="69" fillId="2" borderId="45" xfId="5" applyFont="1" applyFill="1" applyBorder="1"/>
    <xf numFmtId="0" fontId="69" fillId="2" borderId="46" xfId="5" applyFont="1" applyFill="1" applyBorder="1"/>
    <xf numFmtId="0" fontId="8" fillId="4" borderId="4" xfId="5" applyFont="1" applyFill="1" applyBorder="1" applyAlignment="1">
      <alignment horizontal="center" vertical="center" wrapText="1"/>
    </xf>
    <xf numFmtId="0" fontId="69" fillId="2" borderId="5" xfId="5" applyFont="1" applyFill="1" applyBorder="1"/>
    <xf numFmtId="0" fontId="69" fillId="2" borderId="63" xfId="5" applyFont="1" applyFill="1" applyBorder="1"/>
    <xf numFmtId="0" fontId="69" fillId="2" borderId="7" xfId="5" applyFont="1" applyFill="1" applyBorder="1"/>
    <xf numFmtId="0" fontId="69" fillId="2" borderId="8" xfId="5" applyFont="1" applyFill="1" applyBorder="1"/>
    <xf numFmtId="0" fontId="69" fillId="2" borderId="82" xfId="5" applyFont="1" applyFill="1" applyBorder="1"/>
    <xf numFmtId="0" fontId="8" fillId="4" borderId="69" xfId="5" applyFont="1" applyFill="1" applyBorder="1" applyAlignment="1">
      <alignment horizontal="center" vertical="center"/>
    </xf>
    <xf numFmtId="0" fontId="69" fillId="2" borderId="162" xfId="5" applyFont="1" applyFill="1" applyBorder="1"/>
    <xf numFmtId="0" fontId="8" fillId="4" borderId="44" xfId="5" applyFont="1" applyFill="1" applyBorder="1" applyAlignment="1">
      <alignment horizontal="center" vertical="center"/>
    </xf>
    <xf numFmtId="0" fontId="69" fillId="2" borderId="157" xfId="5" applyFont="1" applyFill="1" applyBorder="1"/>
    <xf numFmtId="0" fontId="8" fillId="4" borderId="160" xfId="5" applyFont="1" applyFill="1" applyBorder="1" applyAlignment="1">
      <alignment horizontal="center" vertical="center"/>
    </xf>
    <xf numFmtId="171" fontId="80" fillId="22" borderId="70" xfId="5" applyNumberFormat="1" applyFont="1" applyFill="1" applyBorder="1" applyAlignment="1">
      <alignment horizontal="center" vertical="center"/>
    </xf>
    <xf numFmtId="171" fontId="4" fillId="23" borderId="72" xfId="5" applyNumberFormat="1" applyFont="1" applyFill="1" applyBorder="1" applyAlignment="1">
      <alignment horizontal="right" vertical="center"/>
    </xf>
    <xf numFmtId="0" fontId="69" fillId="5" borderId="124" xfId="5" applyFont="1" applyFill="1" applyBorder="1"/>
    <xf numFmtId="0" fontId="69" fillId="5" borderId="161" xfId="5" applyFont="1" applyFill="1" applyBorder="1"/>
    <xf numFmtId="0" fontId="4" fillId="22" borderId="20" xfId="5" applyFont="1" applyFill="1" applyBorder="1" applyAlignment="1">
      <alignment horizontal="left"/>
    </xf>
    <xf numFmtId="0" fontId="4" fillId="22" borderId="21" xfId="5" applyFont="1" applyFill="1" applyBorder="1" applyAlignment="1">
      <alignment horizontal="left"/>
    </xf>
    <xf numFmtId="10" fontId="4" fillId="22" borderId="19" xfId="5" applyNumberFormat="1" applyFont="1" applyFill="1" applyBorder="1" applyAlignment="1">
      <alignment horizontal="center"/>
    </xf>
    <xf numFmtId="10" fontId="4" fillId="22" borderId="81" xfId="5" applyNumberFormat="1" applyFont="1" applyFill="1" applyBorder="1" applyAlignment="1">
      <alignment horizontal="center"/>
    </xf>
    <xf numFmtId="0" fontId="4" fillId="22" borderId="60" xfId="5" applyFont="1" applyFill="1" applyBorder="1" applyAlignment="1">
      <alignment horizontal="center"/>
    </xf>
    <xf numFmtId="0" fontId="69" fillId="2" borderId="61" xfId="5" applyFont="1" applyFill="1" applyBorder="1"/>
    <xf numFmtId="172" fontId="4" fillId="22" borderId="61" xfId="5" applyNumberFormat="1" applyFont="1" applyFill="1" applyBorder="1" applyAlignment="1">
      <alignment horizontal="center"/>
    </xf>
    <xf numFmtId="0" fontId="4" fillId="22" borderId="104" xfId="5" applyFont="1" applyFill="1" applyBorder="1" applyAlignment="1">
      <alignment horizontal="center"/>
    </xf>
    <xf numFmtId="0" fontId="4" fillId="22" borderId="105" xfId="5" applyFont="1" applyFill="1" applyBorder="1" applyAlignment="1">
      <alignment horizontal="center"/>
    </xf>
    <xf numFmtId="0" fontId="4" fillId="22" borderId="169" xfId="5" applyFont="1" applyFill="1" applyBorder="1" applyAlignment="1">
      <alignment horizontal="center"/>
    </xf>
    <xf numFmtId="0" fontId="8" fillId="4" borderId="45" xfId="5" applyFont="1" applyFill="1" applyBorder="1" applyAlignment="1">
      <alignment horizontal="center" vertical="center"/>
    </xf>
    <xf numFmtId="0" fontId="8" fillId="4" borderId="157" xfId="5" applyFont="1" applyFill="1" applyBorder="1" applyAlignment="1">
      <alignment horizontal="center" vertical="center"/>
    </xf>
    <xf numFmtId="0" fontId="8" fillId="4" borderId="46" xfId="5" applyFont="1" applyFill="1" applyBorder="1" applyAlignment="1">
      <alignment horizontal="center" vertical="center"/>
    </xf>
    <xf numFmtId="0" fontId="8" fillId="4" borderId="41" xfId="5" applyFont="1" applyFill="1" applyBorder="1" applyAlignment="1">
      <alignment horizontal="center"/>
    </xf>
    <xf numFmtId="0" fontId="69" fillId="2" borderId="42" xfId="5" applyFont="1" applyFill="1" applyBorder="1"/>
    <xf numFmtId="0" fontId="8" fillId="4" borderId="42" xfId="5" applyFont="1" applyFill="1" applyBorder="1" applyAlignment="1">
      <alignment horizontal="center"/>
    </xf>
    <xf numFmtId="0" fontId="8" fillId="4" borderId="163" xfId="5" applyFont="1" applyFill="1" applyBorder="1" applyAlignment="1">
      <alignment horizontal="center"/>
    </xf>
    <xf numFmtId="0" fontId="8" fillId="4" borderId="45" xfId="5" applyFont="1" applyFill="1" applyBorder="1" applyAlignment="1">
      <alignment horizontal="center"/>
    </xf>
    <xf numFmtId="0" fontId="8" fillId="4" borderId="46" xfId="5" applyFont="1" applyFill="1" applyBorder="1" applyAlignment="1">
      <alignment horizontal="center"/>
    </xf>
    <xf numFmtId="0" fontId="4" fillId="22" borderId="124" xfId="5" applyFont="1" applyFill="1" applyBorder="1" applyAlignment="1">
      <alignment horizontal="left"/>
    </xf>
    <xf numFmtId="0" fontId="4" fillId="22" borderId="71" xfId="5" applyFont="1" applyFill="1" applyBorder="1" applyAlignment="1">
      <alignment horizontal="left"/>
    </xf>
    <xf numFmtId="10" fontId="4" fillId="22" borderId="72" xfId="5" applyNumberFormat="1" applyFont="1" applyFill="1" applyBorder="1" applyAlignment="1">
      <alignment horizontal="center"/>
    </xf>
    <xf numFmtId="10" fontId="4" fillId="22" borderId="161" xfId="5" applyNumberFormat="1" applyFont="1" applyFill="1" applyBorder="1" applyAlignment="1">
      <alignment horizontal="center"/>
    </xf>
    <xf numFmtId="0" fontId="4" fillId="22" borderId="164" xfId="5" applyFont="1" applyFill="1" applyBorder="1" applyAlignment="1">
      <alignment horizontal="center"/>
    </xf>
    <xf numFmtId="0" fontId="69" fillId="2" borderId="165" xfId="5" applyFont="1" applyFill="1" applyBorder="1"/>
    <xf numFmtId="172" fontId="4" fillId="22" borderId="165" xfId="5" applyNumberFormat="1" applyFont="1" applyFill="1" applyBorder="1" applyAlignment="1">
      <alignment horizontal="center"/>
    </xf>
    <xf numFmtId="0" fontId="4" fillId="22" borderId="166" xfId="5" applyFont="1" applyFill="1" applyBorder="1" applyAlignment="1">
      <alignment horizontal="center"/>
    </xf>
    <xf numFmtId="0" fontId="4" fillId="22" borderId="167" xfId="5" applyFont="1" applyFill="1" applyBorder="1" applyAlignment="1">
      <alignment horizontal="center"/>
    </xf>
    <xf numFmtId="0" fontId="4" fillId="22" borderId="168" xfId="5" applyFont="1" applyFill="1" applyBorder="1" applyAlignment="1">
      <alignment horizontal="center"/>
    </xf>
    <xf numFmtId="0" fontId="14" fillId="2" borderId="0" xfId="5" applyFont="1" applyFill="1" applyAlignment="1">
      <alignment horizontal="left"/>
    </xf>
    <xf numFmtId="0" fontId="8" fillId="4" borderId="41" xfId="5" applyFont="1" applyFill="1" applyBorder="1" applyAlignment="1">
      <alignment horizontal="center" vertical="center" wrapText="1"/>
    </xf>
    <xf numFmtId="0" fontId="8" fillId="4" borderId="42" xfId="5" applyFont="1" applyFill="1" applyBorder="1" applyAlignment="1">
      <alignment horizontal="center" vertical="center" wrapText="1"/>
    </xf>
    <xf numFmtId="0" fontId="8" fillId="22" borderId="84" xfId="5" applyFont="1" applyFill="1" applyBorder="1" applyAlignment="1">
      <alignment horizontal="left"/>
    </xf>
    <xf numFmtId="0" fontId="8" fillId="22" borderId="78" xfId="5" applyFont="1" applyFill="1" applyBorder="1" applyAlignment="1">
      <alignment horizontal="left"/>
    </xf>
    <xf numFmtId="10" fontId="8" fillId="22" borderId="79" xfId="5" applyNumberFormat="1" applyFont="1" applyFill="1" applyBorder="1" applyAlignment="1">
      <alignment horizontal="center"/>
    </xf>
    <xf numFmtId="10" fontId="8" fillId="22" borderId="85" xfId="5" applyNumberFormat="1" applyFont="1" applyFill="1" applyBorder="1" applyAlignment="1">
      <alignment horizontal="center"/>
    </xf>
    <xf numFmtId="0" fontId="4" fillId="22" borderId="55" xfId="5" applyFont="1" applyFill="1" applyBorder="1" applyAlignment="1">
      <alignment horizontal="center"/>
    </xf>
    <xf numFmtId="0" fontId="69" fillId="2" borderId="56" xfId="5" applyFont="1" applyFill="1" applyBorder="1"/>
    <xf numFmtId="172" fontId="4" fillId="22" borderId="56" xfId="5" applyNumberFormat="1" applyFont="1" applyFill="1" applyBorder="1" applyAlignment="1">
      <alignment horizontal="center"/>
    </xf>
    <xf numFmtId="0" fontId="4" fillId="22" borderId="170" xfId="5" applyFont="1" applyFill="1" applyBorder="1" applyAlignment="1">
      <alignment horizontal="center"/>
    </xf>
    <xf numFmtId="0" fontId="4" fillId="22" borderId="171" xfId="5" applyFont="1" applyFill="1" applyBorder="1" applyAlignment="1">
      <alignment horizontal="center"/>
    </xf>
    <xf numFmtId="0" fontId="4" fillId="22" borderId="172" xfId="5" applyFont="1" applyFill="1" applyBorder="1" applyAlignment="1">
      <alignment horizontal="center"/>
    </xf>
    <xf numFmtId="169" fontId="4" fillId="22" borderId="165" xfId="5" applyNumberFormat="1" applyFont="1" applyFill="1" applyBorder="1" applyAlignment="1">
      <alignment horizontal="center"/>
    </xf>
    <xf numFmtId="169" fontId="4" fillId="22" borderId="173" xfId="5" applyNumberFormat="1" applyFont="1" applyFill="1" applyBorder="1" applyAlignment="1">
      <alignment horizontal="center"/>
    </xf>
    <xf numFmtId="0" fontId="4" fillId="24" borderId="60" xfId="5" applyFont="1" applyFill="1" applyBorder="1" applyAlignment="1">
      <alignment horizontal="center"/>
    </xf>
    <xf numFmtId="0" fontId="69" fillId="5" borderId="61" xfId="5" applyFont="1" applyFill="1" applyBorder="1"/>
    <xf numFmtId="0" fontId="4" fillId="24" borderId="61" xfId="5" applyFont="1" applyFill="1" applyBorder="1" applyAlignment="1">
      <alignment horizontal="center"/>
    </xf>
    <xf numFmtId="0" fontId="4" fillId="24" borderId="165" xfId="5" applyFont="1" applyFill="1" applyBorder="1" applyAlignment="1">
      <alignment horizontal="center"/>
    </xf>
    <xf numFmtId="0" fontId="69" fillId="5" borderId="165" xfId="5" applyFont="1" applyFill="1" applyBorder="1"/>
    <xf numFmtId="169" fontId="4" fillId="24" borderId="61" xfId="5" applyNumberFormat="1" applyFont="1" applyFill="1" applyBorder="1" applyAlignment="1">
      <alignment horizontal="center"/>
    </xf>
    <xf numFmtId="169" fontId="4" fillId="22" borderId="61" xfId="5" applyNumberFormat="1" applyFont="1" applyFill="1" applyBorder="1" applyAlignment="1">
      <alignment horizontal="center"/>
    </xf>
    <xf numFmtId="169" fontId="4" fillId="2" borderId="61" xfId="5" applyNumberFormat="1" applyFont="1" applyFill="1" applyBorder="1" applyAlignment="1">
      <alignment horizontal="center"/>
    </xf>
    <xf numFmtId="0" fontId="8" fillId="4" borderId="43" xfId="5" applyFont="1" applyFill="1" applyBorder="1" applyAlignment="1">
      <alignment horizontal="center" vertical="center" wrapText="1"/>
    </xf>
    <xf numFmtId="0" fontId="4" fillId="24" borderId="164" xfId="5" applyFont="1" applyFill="1" applyBorder="1" applyAlignment="1">
      <alignment horizontal="center"/>
    </xf>
    <xf numFmtId="169" fontId="4" fillId="24" borderId="165" xfId="5" applyNumberFormat="1" applyFont="1" applyFill="1" applyBorder="1" applyAlignment="1">
      <alignment horizontal="center"/>
    </xf>
    <xf numFmtId="169" fontId="4" fillId="2" borderId="165" xfId="5" applyNumberFormat="1" applyFont="1" applyFill="1" applyBorder="1" applyAlignment="1">
      <alignment horizontal="center"/>
    </xf>
    <xf numFmtId="169" fontId="4" fillId="22" borderId="62" xfId="5" applyNumberFormat="1" applyFont="1" applyFill="1" applyBorder="1" applyAlignment="1">
      <alignment horizontal="center"/>
    </xf>
    <xf numFmtId="0" fontId="8" fillId="22" borderId="55" xfId="5" applyFont="1" applyFill="1" applyBorder="1" applyAlignment="1">
      <alignment horizontal="center"/>
    </xf>
    <xf numFmtId="0" fontId="8" fillId="22" borderId="56" xfId="5" applyFont="1" applyFill="1" applyBorder="1" applyAlignment="1">
      <alignment horizontal="center"/>
    </xf>
    <xf numFmtId="169" fontId="8" fillId="22" borderId="56" xfId="5" applyNumberFormat="1" applyFont="1" applyFill="1" applyBorder="1" applyAlignment="1">
      <alignment horizontal="center"/>
    </xf>
    <xf numFmtId="169" fontId="8" fillId="2" borderId="56" xfId="5" applyNumberFormat="1" applyFont="1" applyFill="1" applyBorder="1" applyAlignment="1">
      <alignment horizontal="center"/>
    </xf>
    <xf numFmtId="0" fontId="8" fillId="4" borderId="49" xfId="5" applyFont="1" applyFill="1" applyBorder="1" applyAlignment="1">
      <alignment horizontal="center" vertical="center" wrapText="1"/>
    </xf>
    <xf numFmtId="0" fontId="8" fillId="4" borderId="50" xfId="5" applyFont="1" applyFill="1" applyBorder="1" applyAlignment="1">
      <alignment horizontal="center" vertical="center" wrapText="1"/>
    </xf>
    <xf numFmtId="0" fontId="8" fillId="4" borderId="166" xfId="5" applyFont="1" applyFill="1" applyBorder="1" applyAlignment="1">
      <alignment horizontal="center" vertical="center" wrapText="1"/>
    </xf>
    <xf numFmtId="0" fontId="8" fillId="4" borderId="168" xfId="5" applyFont="1" applyFill="1" applyBorder="1" applyAlignment="1">
      <alignment horizontal="center" vertical="center" wrapText="1"/>
    </xf>
    <xf numFmtId="0" fontId="4" fillId="22" borderId="61" xfId="5" applyFont="1" applyFill="1" applyBorder="1" applyAlignment="1">
      <alignment horizontal="center"/>
    </xf>
    <xf numFmtId="169" fontId="4" fillId="22" borderId="104" xfId="5" applyNumberFormat="1" applyFont="1" applyFill="1" applyBorder="1" applyAlignment="1">
      <alignment horizontal="center"/>
    </xf>
    <xf numFmtId="169" fontId="4" fillId="22" borderId="169" xfId="5" applyNumberFormat="1" applyFont="1" applyFill="1" applyBorder="1" applyAlignment="1">
      <alignment horizontal="center"/>
    </xf>
    <xf numFmtId="169" fontId="8" fillId="22" borderId="57" xfId="5" applyNumberFormat="1" applyFont="1" applyFill="1" applyBorder="1" applyAlignment="1">
      <alignment horizontal="center"/>
    </xf>
    <xf numFmtId="0" fontId="16" fillId="22" borderId="0" xfId="5" applyFont="1" applyFill="1" applyAlignment="1">
      <alignment horizontal="left"/>
    </xf>
    <xf numFmtId="0" fontId="79" fillId="22" borderId="0" xfId="5" applyFont="1" applyFill="1" applyAlignment="1">
      <alignment horizontal="left"/>
    </xf>
    <xf numFmtId="0" fontId="8" fillId="25" borderId="49" xfId="5" applyFont="1" applyFill="1" applyBorder="1" applyAlignment="1">
      <alignment horizontal="center" vertical="center" wrapText="1"/>
    </xf>
    <xf numFmtId="0" fontId="8" fillId="25" borderId="50" xfId="5" applyFont="1" applyFill="1" applyBorder="1" applyAlignment="1">
      <alignment horizontal="center" vertical="center" wrapText="1"/>
    </xf>
    <xf numFmtId="0" fontId="8" fillId="25" borderId="55" xfId="5" applyFont="1" applyFill="1" applyBorder="1" applyAlignment="1">
      <alignment horizontal="center" vertical="center" wrapText="1"/>
    </xf>
    <xf numFmtId="0" fontId="8" fillId="25" borderId="56" xfId="5" applyFont="1" applyFill="1" applyBorder="1" applyAlignment="1">
      <alignment horizontal="center" vertical="center" wrapText="1"/>
    </xf>
    <xf numFmtId="10" fontId="8" fillId="25" borderId="170" xfId="5" applyNumberFormat="1" applyFont="1" applyFill="1" applyBorder="1" applyAlignment="1">
      <alignment horizontal="center" vertical="center" wrapText="1"/>
    </xf>
    <xf numFmtId="10" fontId="8" fillId="25" borderId="174" xfId="5" applyNumberFormat="1" applyFont="1" applyFill="1" applyBorder="1" applyAlignment="1">
      <alignment horizontal="center" vertical="center" wrapText="1"/>
    </xf>
    <xf numFmtId="10" fontId="8" fillId="25" borderId="56" xfId="5" applyNumberFormat="1" applyFont="1" applyFill="1" applyBorder="1" applyAlignment="1">
      <alignment horizontal="center" vertical="center" wrapText="1"/>
    </xf>
    <xf numFmtId="0" fontId="8" fillId="2" borderId="42" xfId="5" applyFont="1" applyFill="1" applyBorder="1" applyAlignment="1">
      <alignment horizontal="center" wrapText="1"/>
    </xf>
    <xf numFmtId="0" fontId="8" fillId="2" borderId="42" xfId="5" applyFont="1" applyFill="1" applyBorder="1" applyAlignment="1">
      <alignment horizontal="center" vertical="center" wrapText="1"/>
    </xf>
    <xf numFmtId="0" fontId="8" fillId="2" borderId="43" xfId="5" applyFont="1" applyFill="1" applyBorder="1" applyAlignment="1">
      <alignment horizontal="center" vertical="center" wrapText="1"/>
    </xf>
    <xf numFmtId="0" fontId="4" fillId="5" borderId="164" xfId="5" applyFont="1" applyFill="1" applyBorder="1" applyAlignment="1">
      <alignment horizontal="center"/>
    </xf>
    <xf numFmtId="0" fontId="4" fillId="5" borderId="165" xfId="5" applyFont="1" applyFill="1" applyBorder="1" applyAlignment="1">
      <alignment horizontal="center"/>
    </xf>
    <xf numFmtId="169" fontId="4" fillId="2" borderId="173" xfId="5" applyNumberFormat="1" applyFont="1" applyFill="1" applyBorder="1" applyAlignment="1">
      <alignment horizontal="center"/>
    </xf>
    <xf numFmtId="0" fontId="8" fillId="2" borderId="44" xfId="5" applyFont="1" applyFill="1" applyBorder="1" applyAlignment="1">
      <alignment horizontal="center" vertical="center" wrapText="1"/>
    </xf>
    <xf numFmtId="0" fontId="69" fillId="2" borderId="157" xfId="5" applyFont="1" applyFill="1" applyBorder="1" applyAlignment="1">
      <alignment horizontal="center" wrapText="1"/>
    </xf>
    <xf numFmtId="0" fontId="4" fillId="5" borderId="160" xfId="5" applyFont="1" applyFill="1" applyBorder="1" applyAlignment="1">
      <alignment horizontal="center" vertical="center"/>
    </xf>
    <xf numFmtId="0" fontId="4" fillId="5" borderId="46" xfId="5" applyFont="1" applyFill="1" applyBorder="1" applyAlignment="1">
      <alignment horizontal="center" vertical="center"/>
    </xf>
    <xf numFmtId="0" fontId="8" fillId="2" borderId="41" xfId="5" applyFont="1" applyFill="1" applyBorder="1" applyAlignment="1">
      <alignment horizontal="center" vertical="center" wrapText="1"/>
    </xf>
    <xf numFmtId="0" fontId="8" fillId="2" borderId="163" xfId="5" applyFont="1" applyFill="1" applyBorder="1" applyAlignment="1">
      <alignment horizontal="center" vertical="center" wrapText="1"/>
    </xf>
    <xf numFmtId="0" fontId="8" fillId="2" borderId="45" xfId="5" applyFont="1" applyFill="1" applyBorder="1" applyAlignment="1">
      <alignment horizontal="center" vertical="center" wrapText="1"/>
    </xf>
    <xf numFmtId="0" fontId="8" fillId="2" borderId="175" xfId="5" applyFont="1" applyFill="1" applyBorder="1" applyAlignment="1">
      <alignment horizontal="center" vertical="center" wrapText="1"/>
    </xf>
    <xf numFmtId="169" fontId="8" fillId="22" borderId="170" xfId="5" applyNumberFormat="1" applyFont="1" applyFill="1" applyBorder="1" applyAlignment="1">
      <alignment horizontal="center"/>
    </xf>
    <xf numFmtId="169" fontId="8" fillId="22" borderId="172" xfId="5" applyNumberFormat="1" applyFont="1" applyFill="1" applyBorder="1" applyAlignment="1">
      <alignment horizontal="center"/>
    </xf>
    <xf numFmtId="0" fontId="79" fillId="2" borderId="0" xfId="5" applyFont="1" applyFill="1" applyAlignment="1">
      <alignment horizontal="left" vertical="center" wrapText="1"/>
    </xf>
    <xf numFmtId="169" fontId="4" fillId="2" borderId="62" xfId="5" applyNumberFormat="1" applyFont="1" applyFill="1" applyBorder="1" applyAlignment="1">
      <alignment horizontal="center"/>
    </xf>
    <xf numFmtId="9" fontId="4" fillId="5" borderId="60" xfId="5" applyNumberFormat="1" applyFont="1" applyFill="1" applyBorder="1" applyAlignment="1">
      <alignment horizontal="center"/>
    </xf>
    <xf numFmtId="9" fontId="4" fillId="5" borderId="61" xfId="5" applyNumberFormat="1" applyFont="1" applyFill="1" applyBorder="1" applyAlignment="1">
      <alignment horizontal="center"/>
    </xf>
    <xf numFmtId="0" fontId="4" fillId="5" borderId="60" xfId="5" applyFont="1" applyFill="1" applyBorder="1" applyAlignment="1">
      <alignment horizontal="center"/>
    </xf>
    <xf numFmtId="0" fontId="4" fillId="5" borderId="61" xfId="5" applyFont="1" applyFill="1" applyBorder="1" applyAlignment="1">
      <alignment horizontal="center"/>
    </xf>
    <xf numFmtId="0" fontId="8" fillId="2" borderId="60" xfId="5" applyFont="1" applyFill="1" applyBorder="1" applyAlignment="1">
      <alignment horizontal="center" wrapText="1"/>
    </xf>
    <xf numFmtId="0" fontId="8" fillId="2" borderId="61" xfId="5" applyFont="1" applyFill="1" applyBorder="1" applyAlignment="1">
      <alignment horizontal="center" wrapText="1"/>
    </xf>
    <xf numFmtId="0" fontId="8" fillId="2" borderId="49" xfId="5" applyFont="1" applyFill="1" applyBorder="1" applyAlignment="1">
      <alignment horizontal="center" vertical="center" wrapText="1"/>
    </xf>
    <xf numFmtId="0" fontId="8" fillId="2" borderId="50" xfId="5" applyFont="1" applyFill="1" applyBorder="1" applyAlignment="1">
      <alignment horizontal="center" vertical="center" wrapText="1"/>
    </xf>
    <xf numFmtId="0" fontId="8" fillId="2" borderId="51" xfId="5" applyFont="1" applyFill="1" applyBorder="1" applyAlignment="1">
      <alignment horizontal="center" vertical="center" wrapText="1"/>
    </xf>
    <xf numFmtId="0" fontId="8" fillId="2" borderId="60" xfId="5" applyFont="1" applyFill="1" applyBorder="1" applyAlignment="1">
      <alignment horizontal="center" vertical="center" wrapText="1"/>
    </xf>
    <xf numFmtId="0" fontId="8" fillId="2" borderId="61" xfId="5" applyFont="1" applyFill="1" applyBorder="1" applyAlignment="1">
      <alignment horizontal="center" vertical="center" wrapText="1"/>
    </xf>
    <xf numFmtId="0" fontId="8" fillId="2" borderId="62" xfId="5" applyFont="1" applyFill="1" applyBorder="1" applyAlignment="1">
      <alignment horizontal="center" vertical="center" wrapText="1"/>
    </xf>
    <xf numFmtId="169" fontId="8" fillId="2" borderId="57" xfId="5" applyNumberFormat="1" applyFont="1" applyFill="1" applyBorder="1" applyAlignment="1">
      <alignment horizontal="center"/>
    </xf>
    <xf numFmtId="0" fontId="16" fillId="2" borderId="0" xfId="5" applyFont="1" applyFill="1" applyAlignment="1">
      <alignment horizontal="left"/>
    </xf>
    <xf numFmtId="0" fontId="79" fillId="2" borderId="0" xfId="5" applyFont="1" applyFill="1" applyAlignment="1">
      <alignment horizontal="left"/>
    </xf>
    <xf numFmtId="0" fontId="8" fillId="2" borderId="55" xfId="5" applyFont="1" applyFill="1" applyBorder="1" applyAlignment="1">
      <alignment horizontal="center" vertical="center" wrapText="1"/>
    </xf>
    <xf numFmtId="0" fontId="8" fillId="2" borderId="56" xfId="5" applyFont="1" applyFill="1" applyBorder="1" applyAlignment="1">
      <alignment horizontal="center" vertical="center" wrapText="1"/>
    </xf>
    <xf numFmtId="9" fontId="8" fillId="2" borderId="55" xfId="5" applyNumberFormat="1" applyFont="1" applyFill="1" applyBorder="1" applyAlignment="1">
      <alignment horizontal="center"/>
    </xf>
    <xf numFmtId="9" fontId="8" fillId="2" borderId="56" xfId="5" applyNumberFormat="1" applyFont="1" applyFill="1" applyBorder="1" applyAlignment="1">
      <alignment horizontal="center"/>
    </xf>
    <xf numFmtId="0" fontId="8" fillId="2" borderId="55" xfId="5" applyFont="1" applyFill="1" applyBorder="1" applyAlignment="1">
      <alignment horizontal="center"/>
    </xf>
    <xf numFmtId="0" fontId="8" fillId="2" borderId="56" xfId="5" applyFont="1" applyFill="1" applyBorder="1" applyAlignment="1">
      <alignment horizontal="center"/>
    </xf>
    <xf numFmtId="0" fontId="67" fillId="2" borderId="170" xfId="5" applyFont="1" applyFill="1" applyBorder="1" applyAlignment="1">
      <alignment horizontal="center"/>
    </xf>
    <xf numFmtId="0" fontId="67" fillId="2" borderId="171" xfId="5" applyFont="1" applyFill="1" applyBorder="1" applyAlignment="1">
      <alignment horizontal="center"/>
    </xf>
    <xf numFmtId="0" fontId="67" fillId="2" borderId="174" xfId="5" applyFont="1" applyFill="1" applyBorder="1" applyAlignment="1">
      <alignment horizontal="center"/>
    </xf>
    <xf numFmtId="0" fontId="4" fillId="2" borderId="56" xfId="5" applyFont="1" applyFill="1" applyBorder="1" applyAlignment="1">
      <alignment horizontal="center"/>
    </xf>
    <xf numFmtId="0" fontId="8" fillId="4" borderId="176" xfId="5" applyFont="1" applyFill="1" applyBorder="1" applyAlignment="1">
      <alignment horizontal="center" vertical="center"/>
    </xf>
    <xf numFmtId="0" fontId="8" fillId="4" borderId="11" xfId="5" applyFont="1" applyFill="1" applyBorder="1" applyAlignment="1">
      <alignment horizontal="center" vertical="center"/>
    </xf>
    <xf numFmtId="0" fontId="8" fillId="4" borderId="12" xfId="5" applyFont="1" applyFill="1" applyBorder="1" applyAlignment="1">
      <alignment horizontal="center" vertical="center"/>
    </xf>
    <xf numFmtId="0" fontId="8" fillId="4" borderId="13" xfId="5" applyFont="1" applyFill="1" applyBorder="1" applyAlignment="1">
      <alignment horizontal="center" vertical="center"/>
    </xf>
    <xf numFmtId="0" fontId="8" fillId="4" borderId="176" xfId="5" applyFont="1" applyFill="1" applyBorder="1" applyAlignment="1">
      <alignment horizontal="center" vertical="center" wrapText="1"/>
    </xf>
    <xf numFmtId="0" fontId="4" fillId="5" borderId="138" xfId="5" applyFont="1" applyFill="1" applyBorder="1" applyAlignment="1">
      <alignment horizontal="center"/>
    </xf>
    <xf numFmtId="0" fontId="8" fillId="2" borderId="44" xfId="5" applyFont="1" applyFill="1" applyBorder="1" applyAlignment="1">
      <alignment horizontal="right"/>
    </xf>
    <xf numFmtId="0" fontId="8" fillId="2" borderId="45" xfId="5" applyFont="1" applyFill="1" applyBorder="1" applyAlignment="1">
      <alignment horizontal="right"/>
    </xf>
    <xf numFmtId="0" fontId="8" fillId="2" borderId="45" xfId="5" applyFont="1" applyFill="1" applyBorder="1" applyAlignment="1">
      <alignment horizontal="left"/>
    </xf>
    <xf numFmtId="0" fontId="8" fillId="2" borderId="46" xfId="5" applyFont="1" applyFill="1" applyBorder="1" applyAlignment="1">
      <alignment horizontal="left"/>
    </xf>
    <xf numFmtId="0" fontId="8" fillId="2" borderId="138" xfId="5" applyFont="1" applyFill="1" applyBorder="1" applyAlignment="1">
      <alignment horizontal="right"/>
    </xf>
    <xf numFmtId="169" fontId="84" fillId="10" borderId="20" xfId="5" applyNumberFormat="1" applyFont="1" applyFill="1" applyBorder="1" applyAlignment="1">
      <alignment horizontal="center"/>
    </xf>
    <xf numFmtId="0" fontId="84" fillId="10" borderId="21" xfId="5" applyFont="1" applyFill="1" applyBorder="1" applyAlignment="1">
      <alignment horizontal="center"/>
    </xf>
    <xf numFmtId="0" fontId="8" fillId="4" borderId="138" xfId="5" applyFont="1" applyFill="1" applyBorder="1" applyAlignment="1">
      <alignment horizontal="center"/>
    </xf>
    <xf numFmtId="169" fontId="4" fillId="2" borderId="20" xfId="5" applyNumberFormat="1" applyFont="1" applyFill="1" applyBorder="1" applyAlignment="1">
      <alignment horizontal="center"/>
    </xf>
    <xf numFmtId="169" fontId="4" fillId="2" borderId="21" xfId="5" applyNumberFormat="1" applyFont="1" applyFill="1" applyBorder="1" applyAlignment="1">
      <alignment horizontal="center"/>
    </xf>
    <xf numFmtId="0" fontId="8" fillId="4" borderId="126" xfId="5" applyFont="1" applyFill="1" applyBorder="1" applyAlignment="1">
      <alignment horizontal="center"/>
    </xf>
    <xf numFmtId="169" fontId="84" fillId="7" borderId="25" xfId="5" applyNumberFormat="1" applyFont="1" applyFill="1" applyBorder="1" applyAlignment="1">
      <alignment horizontal="center"/>
    </xf>
    <xf numFmtId="0" fontId="84" fillId="7" borderId="26" xfId="5" applyFont="1" applyFill="1" applyBorder="1" applyAlignment="1">
      <alignment horizontal="center"/>
    </xf>
    <xf numFmtId="0" fontId="4" fillId="2" borderId="45" xfId="5" applyFont="1" applyFill="1" applyBorder="1" applyAlignment="1">
      <alignment horizontal="center"/>
    </xf>
    <xf numFmtId="0" fontId="4" fillId="2" borderId="46" xfId="5" applyFont="1" applyFill="1" applyBorder="1" applyAlignment="1">
      <alignment horizontal="center"/>
    </xf>
    <xf numFmtId="0" fontId="4" fillId="5" borderId="137" xfId="5" applyFont="1" applyFill="1" applyBorder="1" applyAlignment="1">
      <alignment horizontal="center"/>
    </xf>
    <xf numFmtId="169" fontId="4" fillId="5" borderId="12" xfId="5" applyNumberFormat="1" applyFont="1" applyFill="1" applyBorder="1" applyAlignment="1">
      <alignment horizontal="center"/>
    </xf>
    <xf numFmtId="169" fontId="4" fillId="5" borderId="13" xfId="5" applyNumberFormat="1" applyFont="1" applyFill="1" applyBorder="1" applyAlignment="1">
      <alignment horizontal="center"/>
    </xf>
    <xf numFmtId="173" fontId="4" fillId="5" borderId="11" xfId="5" applyNumberFormat="1" applyFont="1" applyFill="1" applyBorder="1" applyAlignment="1">
      <alignment horizontal="right"/>
    </xf>
    <xf numFmtId="169" fontId="4" fillId="2" borderId="11" xfId="5" applyNumberFormat="1" applyFont="1" applyFill="1" applyBorder="1" applyAlignment="1">
      <alignment horizontal="center"/>
    </xf>
    <xf numFmtId="173" fontId="4" fillId="2" borderId="19" xfId="5" applyNumberFormat="1" applyFont="1" applyFill="1" applyBorder="1" applyAlignment="1">
      <alignment horizontal="right"/>
    </xf>
    <xf numFmtId="169" fontId="84" fillId="10" borderId="21" xfId="5" applyNumberFormat="1" applyFont="1" applyFill="1" applyBorder="1" applyAlignment="1">
      <alignment horizontal="center"/>
    </xf>
    <xf numFmtId="0" fontId="8" fillId="2" borderId="50" xfId="5" applyFont="1" applyFill="1" applyBorder="1" applyAlignment="1">
      <alignment horizontal="center"/>
    </xf>
    <xf numFmtId="0" fontId="8" fillId="2" borderId="51" xfId="5" applyFont="1" applyFill="1" applyBorder="1" applyAlignment="1">
      <alignment horizontal="center"/>
    </xf>
    <xf numFmtId="169" fontId="84" fillId="2" borderId="20" xfId="5" applyNumberFormat="1" applyFont="1" applyFill="1" applyBorder="1" applyAlignment="1">
      <alignment horizontal="center"/>
    </xf>
    <xf numFmtId="169" fontId="84" fillId="2" borderId="21" xfId="5" applyNumberFormat="1" applyFont="1" applyFill="1" applyBorder="1" applyAlignment="1">
      <alignment horizontal="center"/>
    </xf>
    <xf numFmtId="169" fontId="84" fillId="7" borderId="26" xfId="5" applyNumberFormat="1" applyFont="1" applyFill="1" applyBorder="1" applyAlignment="1">
      <alignment horizontal="center"/>
    </xf>
    <xf numFmtId="0" fontId="4" fillId="3" borderId="0" xfId="5" applyFont="1" applyFill="1" applyAlignment="1">
      <alignment horizontal="center"/>
    </xf>
    <xf numFmtId="174" fontId="8" fillId="2" borderId="56" xfId="5" applyNumberFormat="1" applyFont="1" applyFill="1" applyBorder="1" applyAlignment="1">
      <alignment horizontal="center" vertical="center"/>
    </xf>
    <xf numFmtId="174" fontId="8" fillId="2" borderId="170" xfId="5" applyNumberFormat="1" applyFont="1" applyFill="1" applyBorder="1" applyAlignment="1">
      <alignment horizontal="center" vertical="center"/>
    </xf>
    <xf numFmtId="174" fontId="8" fillId="2" borderId="171" xfId="5" applyNumberFormat="1" applyFont="1" applyFill="1" applyBorder="1" applyAlignment="1">
      <alignment horizontal="center" vertical="center"/>
    </xf>
    <xf numFmtId="174" fontId="8" fillId="2" borderId="174" xfId="5" applyNumberFormat="1" applyFont="1" applyFill="1" applyBorder="1" applyAlignment="1">
      <alignment horizontal="center" vertical="center"/>
    </xf>
    <xf numFmtId="0" fontId="8" fillId="2" borderId="57" xfId="5" applyFont="1" applyFill="1" applyBorder="1" applyAlignment="1">
      <alignment horizontal="center" vertical="center"/>
    </xf>
    <xf numFmtId="0" fontId="4" fillId="2" borderId="60" xfId="5" applyFont="1" applyFill="1" applyBorder="1" applyAlignment="1">
      <alignment horizontal="center" vertical="center" wrapText="1"/>
    </xf>
    <xf numFmtId="0" fontId="4" fillId="2" borderId="61" xfId="5" applyFont="1" applyFill="1" applyBorder="1" applyAlignment="1">
      <alignment horizontal="center" vertical="center" wrapText="1"/>
    </xf>
    <xf numFmtId="174" fontId="4" fillId="2" borderId="61" xfId="5" applyNumberFormat="1" applyFont="1" applyFill="1" applyBorder="1" applyAlignment="1">
      <alignment horizontal="center" vertical="center"/>
    </xf>
    <xf numFmtId="174" fontId="4" fillId="2" borderId="104" xfId="5" applyNumberFormat="1" applyFont="1" applyFill="1" applyBorder="1" applyAlignment="1">
      <alignment horizontal="center" vertical="center"/>
    </xf>
    <xf numFmtId="174" fontId="4" fillId="2" borderId="105" xfId="5" applyNumberFormat="1" applyFont="1" applyFill="1" applyBorder="1" applyAlignment="1">
      <alignment horizontal="center" vertical="center"/>
    </xf>
    <xf numFmtId="174" fontId="4" fillId="2" borderId="106" xfId="5" applyNumberFormat="1" applyFont="1" applyFill="1" applyBorder="1" applyAlignment="1">
      <alignment horizontal="center" vertical="center"/>
    </xf>
    <xf numFmtId="174" fontId="4" fillId="2" borderId="62" xfId="5" applyNumberFormat="1" applyFont="1" applyFill="1" applyBorder="1" applyAlignment="1">
      <alignment horizontal="center" vertical="center"/>
    </xf>
    <xf numFmtId="0" fontId="8" fillId="2" borderId="49" xfId="5" applyFont="1" applyFill="1" applyBorder="1" applyAlignment="1">
      <alignment horizontal="center"/>
    </xf>
    <xf numFmtId="0" fontId="8" fillId="2" borderId="166" xfId="5" applyFont="1" applyFill="1" applyBorder="1" applyAlignment="1">
      <alignment horizontal="center"/>
    </xf>
    <xf numFmtId="0" fontId="8" fillId="2" borderId="167" xfId="5" applyFont="1" applyFill="1" applyBorder="1" applyAlignment="1">
      <alignment horizontal="center"/>
    </xf>
    <xf numFmtId="0" fontId="8" fillId="2" borderId="179" xfId="5" applyFont="1" applyFill="1" applyBorder="1" applyAlignment="1">
      <alignment horizontal="center"/>
    </xf>
    <xf numFmtId="0" fontId="26" fillId="2" borderId="49" xfId="1" applyFont="1" applyFill="1" applyBorder="1" applyAlignment="1">
      <alignment horizontal="center"/>
    </xf>
    <xf numFmtId="0" fontId="19" fillId="5" borderId="60" xfId="1" applyFont="1" applyFill="1" applyBorder="1" applyAlignment="1">
      <alignment horizontal="center"/>
    </xf>
    <xf numFmtId="0" fontId="19" fillId="5" borderId="61" xfId="1" applyFont="1" applyFill="1" applyBorder="1" applyAlignment="1">
      <alignment horizontal="center"/>
    </xf>
    <xf numFmtId="0" fontId="26" fillId="2" borderId="55" xfId="1" applyFont="1" applyFill="1" applyBorder="1" applyAlignment="1">
      <alignment horizontal="center"/>
    </xf>
    <xf numFmtId="0" fontId="26" fillId="2" borderId="56" xfId="1" applyFont="1" applyFill="1" applyBorder="1" applyAlignment="1">
      <alignment horizontal="center"/>
    </xf>
    <xf numFmtId="0" fontId="26" fillId="2" borderId="0" xfId="1" applyFont="1" applyFill="1" applyAlignment="1">
      <alignment horizontal="left"/>
    </xf>
    <xf numFmtId="0" fontId="4" fillId="2" borderId="61" xfId="1" applyFont="1" applyFill="1" applyBorder="1" applyAlignment="1">
      <alignment horizontal="center"/>
    </xf>
    <xf numFmtId="0" fontId="81" fillId="2" borderId="61" xfId="1" applyFont="1" applyFill="1" applyBorder="1" applyAlignment="1">
      <alignment horizontal="center"/>
    </xf>
    <xf numFmtId="0" fontId="19" fillId="2" borderId="60" xfId="1" applyFont="1" applyFill="1" applyBorder="1" applyAlignment="1">
      <alignment horizontal="left"/>
    </xf>
    <xf numFmtId="0" fontId="19" fillId="2" borderId="61" xfId="1" applyFont="1" applyFill="1" applyBorder="1" applyAlignment="1">
      <alignment horizontal="left"/>
    </xf>
    <xf numFmtId="0" fontId="26" fillId="2" borderId="185" xfId="1" applyFont="1" applyFill="1" applyBorder="1" applyAlignment="1">
      <alignment horizontal="left"/>
    </xf>
    <xf numFmtId="0" fontId="26" fillId="2" borderId="171" xfId="1" applyFont="1" applyFill="1" applyBorder="1" applyAlignment="1">
      <alignment horizontal="left"/>
    </xf>
    <xf numFmtId="0" fontId="26" fillId="2" borderId="174" xfId="1" applyFont="1" applyFill="1" applyBorder="1" applyAlignment="1">
      <alignment horizontal="left"/>
    </xf>
    <xf numFmtId="0" fontId="19" fillId="5" borderId="60" xfId="1" applyFont="1" applyFill="1" applyBorder="1" applyAlignment="1">
      <alignment horizontal="left"/>
    </xf>
    <xf numFmtId="0" fontId="19" fillId="5" borderId="61" xfId="1" applyFont="1" applyFill="1" applyBorder="1" applyAlignment="1">
      <alignment horizontal="left"/>
    </xf>
    <xf numFmtId="0" fontId="19" fillId="5" borderId="104" xfId="1" applyFont="1" applyFill="1" applyBorder="1" applyAlignment="1">
      <alignment horizontal="left"/>
    </xf>
    <xf numFmtId="0" fontId="19" fillId="5" borderId="198" xfId="1" applyFont="1" applyFill="1" applyBorder="1" applyAlignment="1">
      <alignment horizontal="left"/>
    </xf>
    <xf numFmtId="0" fontId="19" fillId="5" borderId="186" xfId="1" applyFont="1" applyFill="1" applyBorder="1" applyAlignment="1">
      <alignment horizontal="left"/>
    </xf>
    <xf numFmtId="0" fontId="19" fillId="5" borderId="117" xfId="1" applyFont="1" applyFill="1" applyBorder="1" applyAlignment="1">
      <alignment horizontal="left"/>
    </xf>
    <xf numFmtId="0" fontId="26" fillId="2" borderId="44" xfId="1" applyFont="1" applyFill="1" applyBorder="1" applyAlignment="1">
      <alignment horizontal="center"/>
    </xf>
    <xf numFmtId="0" fontId="26" fillId="2" borderId="45" xfId="1" applyFont="1" applyFill="1" applyBorder="1" applyAlignment="1">
      <alignment horizontal="center"/>
    </xf>
    <xf numFmtId="0" fontId="8" fillId="3" borderId="0" xfId="1" applyFont="1" applyFill="1" applyAlignment="1">
      <alignment horizontal="left" vertical="top" wrapText="1"/>
    </xf>
    <xf numFmtId="0" fontId="8" fillId="3" borderId="0" xfId="1" applyFont="1" applyFill="1" applyAlignment="1">
      <alignment horizontal="left" vertical="top"/>
    </xf>
    <xf numFmtId="0" fontId="19" fillId="5" borderId="184" xfId="1" applyFont="1" applyFill="1" applyBorder="1" applyAlignment="1">
      <alignment horizontal="left"/>
    </xf>
    <xf numFmtId="0" fontId="19" fillId="5" borderId="105" xfId="1" applyFont="1" applyFill="1" applyBorder="1" applyAlignment="1">
      <alignment horizontal="left"/>
    </xf>
    <xf numFmtId="0" fontId="19" fillId="5" borderId="169" xfId="1" applyFont="1" applyFill="1" applyBorder="1" applyAlignment="1">
      <alignment horizontal="left"/>
    </xf>
    <xf numFmtId="0" fontId="26" fillId="2" borderId="4" xfId="1" applyFont="1" applyFill="1" applyBorder="1" applyAlignment="1" applyProtection="1">
      <alignment horizontal="center" vertical="center" wrapText="1"/>
      <protection locked="0"/>
    </xf>
    <xf numFmtId="0" fontId="26" fillId="2" borderId="5" xfId="1" applyFont="1" applyFill="1" applyBorder="1" applyAlignment="1" applyProtection="1">
      <alignment horizontal="center" vertical="center" wrapText="1"/>
      <protection locked="0"/>
    </xf>
    <xf numFmtId="0" fontId="26" fillId="2" borderId="188" xfId="1" applyFont="1" applyFill="1" applyBorder="1" applyAlignment="1" applyProtection="1">
      <alignment horizontal="center" vertical="center" wrapText="1"/>
      <protection locked="0"/>
    </xf>
    <xf numFmtId="0" fontId="26" fillId="2" borderId="7" xfId="1" applyFont="1" applyFill="1" applyBorder="1" applyAlignment="1" applyProtection="1">
      <alignment horizontal="center" vertical="center" wrapText="1"/>
      <protection locked="0"/>
    </xf>
    <xf numFmtId="0" fontId="26" fillId="2" borderId="8" xfId="1" applyFont="1" applyFill="1" applyBorder="1" applyAlignment="1" applyProtection="1">
      <alignment horizontal="center" vertical="center" wrapText="1"/>
      <protection locked="0"/>
    </xf>
    <xf numFmtId="0" fontId="26" fillId="2" borderId="189" xfId="1" applyFont="1" applyFill="1" applyBorder="1" applyAlignment="1" applyProtection="1">
      <alignment horizontal="center" vertical="center" wrapText="1"/>
      <protection locked="0"/>
    </xf>
    <xf numFmtId="0" fontId="26" fillId="2" borderId="41" xfId="1" applyFont="1" applyFill="1" applyBorder="1" applyAlignment="1">
      <alignment horizontal="center" vertical="center"/>
    </xf>
    <xf numFmtId="0" fontId="26" fillId="2" borderId="42" xfId="1" applyFont="1" applyFill="1" applyBorder="1" applyAlignment="1">
      <alignment horizontal="center" vertical="center"/>
    </xf>
    <xf numFmtId="0" fontId="26" fillId="2" borderId="163" xfId="1" applyFont="1" applyFill="1" applyBorder="1" applyAlignment="1">
      <alignment horizontal="center" vertical="center"/>
    </xf>
    <xf numFmtId="0" fontId="26" fillId="2" borderId="43" xfId="1" applyFont="1" applyFill="1" applyBorder="1" applyAlignment="1">
      <alignment horizontal="center" vertical="center"/>
    </xf>
    <xf numFmtId="0" fontId="26" fillId="2" borderId="193" xfId="1" applyFont="1" applyFill="1" applyBorder="1" applyAlignment="1">
      <alignment horizontal="center"/>
    </xf>
    <xf numFmtId="0" fontId="26" fillId="2" borderId="194" xfId="1" applyFont="1" applyFill="1" applyBorder="1" applyAlignment="1">
      <alignment horizontal="center"/>
    </xf>
    <xf numFmtId="0" fontId="26" fillId="2" borderId="195" xfId="1" applyFont="1" applyFill="1" applyBorder="1" applyAlignment="1">
      <alignment horizontal="center"/>
    </xf>
    <xf numFmtId="0" fontId="19" fillId="5" borderId="164" xfId="1" applyFont="1" applyFill="1" applyBorder="1" applyAlignment="1">
      <alignment horizontal="left"/>
    </xf>
    <xf numFmtId="0" fontId="19" fillId="5" borderId="165" xfId="1" applyFont="1" applyFill="1" applyBorder="1" applyAlignment="1">
      <alignment horizontal="left"/>
    </xf>
    <xf numFmtId="0" fontId="19" fillId="5" borderId="116" xfId="1" applyFont="1" applyFill="1" applyBorder="1" applyAlignment="1">
      <alignment horizontal="left"/>
    </xf>
    <xf numFmtId="0" fontId="19" fillId="2" borderId="60" xfId="1" applyFont="1" applyFill="1" applyBorder="1" applyAlignment="1">
      <alignment horizontal="center"/>
    </xf>
    <xf numFmtId="0" fontId="19" fillId="2" borderId="61" xfId="1" applyFont="1" applyFill="1" applyBorder="1" applyAlignment="1">
      <alignment horizontal="center"/>
    </xf>
    <xf numFmtId="0" fontId="26" fillId="2" borderId="185" xfId="1" applyFont="1" applyFill="1" applyBorder="1" applyAlignment="1">
      <alignment horizontal="center"/>
    </xf>
    <xf numFmtId="0" fontId="26" fillId="2" borderId="174" xfId="1" applyFont="1" applyFill="1" applyBorder="1" applyAlignment="1">
      <alignment horizontal="center"/>
    </xf>
    <xf numFmtId="0" fontId="10" fillId="2" borderId="0" xfId="1" applyFont="1" applyFill="1" applyAlignment="1">
      <alignment horizontal="left"/>
    </xf>
    <xf numFmtId="0" fontId="8" fillId="2" borderId="0" xfId="1" applyFont="1" applyFill="1" applyAlignment="1">
      <alignment horizontal="left" vertical="top" wrapText="1"/>
    </xf>
    <xf numFmtId="0" fontId="4" fillId="2" borderId="0" xfId="1" applyFont="1" applyFill="1" applyAlignment="1">
      <alignment horizontal="left" vertical="top" wrapText="1"/>
    </xf>
    <xf numFmtId="0" fontId="8" fillId="2" borderId="0" xfId="1" applyFont="1" applyFill="1" applyAlignment="1">
      <alignment horizontal="left"/>
    </xf>
    <xf numFmtId="0" fontId="26" fillId="2" borderId="190" xfId="1" applyFont="1" applyFill="1" applyBorder="1" applyAlignment="1">
      <alignment horizontal="center"/>
    </xf>
    <xf numFmtId="0" fontId="26" fillId="2" borderId="191" xfId="1" applyFont="1" applyFill="1" applyBorder="1" applyAlignment="1">
      <alignment horizontal="center"/>
    </xf>
    <xf numFmtId="0" fontId="26" fillId="2" borderId="192" xfId="1" applyFont="1" applyFill="1" applyBorder="1" applyAlignment="1">
      <alignment horizontal="center"/>
    </xf>
    <xf numFmtId="0" fontId="26" fillId="2" borderId="49" xfId="1" applyFont="1" applyFill="1" applyBorder="1" applyAlignment="1">
      <alignment horizontal="center" vertical="center" wrapText="1"/>
    </xf>
    <xf numFmtId="0" fontId="26" fillId="2" borderId="50" xfId="1" applyFont="1" applyFill="1" applyBorder="1" applyAlignment="1">
      <alignment horizontal="center" vertical="center" wrapText="1"/>
    </xf>
    <xf numFmtId="9" fontId="19" fillId="5" borderId="184" xfId="8" applyFont="1" applyFill="1" applyBorder="1" applyAlignment="1">
      <alignment horizontal="center"/>
    </xf>
    <xf numFmtId="9" fontId="19" fillId="5" borderId="106" xfId="8" applyFont="1" applyFill="1" applyBorder="1" applyAlignment="1">
      <alignment horizontal="center"/>
    </xf>
    <xf numFmtId="0" fontId="26" fillId="2" borderId="49" xfId="1" applyFont="1" applyFill="1" applyBorder="1" applyAlignment="1">
      <alignment horizontal="center" wrapText="1"/>
    </xf>
    <xf numFmtId="0" fontId="26" fillId="2" borderId="50" xfId="1" applyFont="1" applyFill="1" applyBorder="1" applyAlignment="1">
      <alignment horizontal="center" wrapText="1"/>
    </xf>
    <xf numFmtId="0" fontId="26" fillId="2" borderId="51" xfId="1" applyFont="1" applyFill="1" applyBorder="1" applyAlignment="1">
      <alignment horizontal="center" wrapText="1"/>
    </xf>
    <xf numFmtId="0" fontId="26" fillId="2" borderId="60" xfId="1" applyFont="1" applyFill="1" applyBorder="1" applyAlignment="1">
      <alignment horizontal="center" wrapText="1"/>
    </xf>
    <xf numFmtId="0" fontId="26" fillId="2" borderId="61" xfId="1" applyFont="1" applyFill="1" applyBorder="1" applyAlignment="1">
      <alignment horizontal="center" wrapText="1"/>
    </xf>
    <xf numFmtId="0" fontId="26" fillId="2" borderId="62" xfId="1" applyFont="1" applyFill="1" applyBorder="1" applyAlignment="1">
      <alignment horizontal="center" wrapText="1"/>
    </xf>
    <xf numFmtId="0" fontId="26" fillId="2" borderId="184" xfId="1" applyFont="1" applyFill="1" applyBorder="1" applyAlignment="1">
      <alignment horizontal="center" wrapText="1"/>
    </xf>
    <xf numFmtId="0" fontId="26" fillId="2" borderId="106" xfId="1" applyFont="1" applyFill="1" applyBorder="1" applyAlignment="1">
      <alignment horizontal="center" wrapText="1"/>
    </xf>
    <xf numFmtId="0" fontId="4" fillId="2" borderId="60" xfId="1" applyFont="1" applyFill="1" applyBorder="1" applyAlignment="1">
      <alignment horizontal="center"/>
    </xf>
    <xf numFmtId="0" fontId="8" fillId="2" borderId="185" xfId="1" applyFont="1" applyFill="1" applyBorder="1" applyAlignment="1">
      <alignment horizontal="center"/>
    </xf>
    <xf numFmtId="0" fontId="8" fillId="2" borderId="174" xfId="1" applyFont="1" applyFill="1" applyBorder="1" applyAlignment="1">
      <alignment horizontal="center"/>
    </xf>
    <xf numFmtId="0" fontId="26" fillId="2" borderId="104" xfId="1" applyFont="1" applyFill="1" applyBorder="1" applyAlignment="1">
      <alignment horizontal="left" vertical="center"/>
    </xf>
    <xf numFmtId="0" fontId="26" fillId="2" borderId="106" xfId="1" applyFont="1" applyFill="1" applyBorder="1" applyAlignment="1">
      <alignment horizontal="left" vertical="center"/>
    </xf>
    <xf numFmtId="0" fontId="19" fillId="2" borderId="104" xfId="1" applyFont="1" applyFill="1" applyBorder="1" applyAlignment="1">
      <alignment horizontal="left"/>
    </xf>
    <xf numFmtId="0" fontId="19" fillId="2" borderId="105" xfId="1" applyFont="1" applyFill="1" applyBorder="1" applyAlignment="1">
      <alignment horizontal="left"/>
    </xf>
    <xf numFmtId="0" fontId="19" fillId="2" borderId="169" xfId="1" applyFont="1" applyFill="1" applyBorder="1" applyAlignment="1">
      <alignment horizontal="left"/>
    </xf>
    <xf numFmtId="0" fontId="19" fillId="2" borderId="170" xfId="1" applyFont="1" applyFill="1" applyBorder="1" applyAlignment="1">
      <alignment horizontal="left"/>
    </xf>
    <xf numFmtId="0" fontId="19" fillId="2" borderId="171" xfId="1" applyFont="1" applyFill="1" applyBorder="1" applyAlignment="1">
      <alignment horizontal="left"/>
    </xf>
    <xf numFmtId="0" fontId="19" fillId="2" borderId="172" xfId="1" applyFont="1" applyFill="1" applyBorder="1" applyAlignment="1">
      <alignment horizontal="left"/>
    </xf>
    <xf numFmtId="0" fontId="26" fillId="2" borderId="166" xfId="1" applyFont="1" applyFill="1" applyBorder="1" applyAlignment="1">
      <alignment horizontal="center"/>
    </xf>
    <xf numFmtId="0" fontId="26" fillId="2" borderId="167" xfId="1" applyFont="1" applyFill="1" applyBorder="1" applyAlignment="1">
      <alignment horizontal="center"/>
    </xf>
    <xf numFmtId="0" fontId="26" fillId="2" borderId="168" xfId="1" applyFont="1" applyFill="1" applyBorder="1" applyAlignment="1">
      <alignment horizontal="center"/>
    </xf>
    <xf numFmtId="0" fontId="26" fillId="2" borderId="60" xfId="1" applyFont="1" applyFill="1" applyBorder="1" applyAlignment="1">
      <alignment horizontal="center" vertical="center" wrapText="1"/>
    </xf>
    <xf numFmtId="0" fontId="26" fillId="2" borderId="62" xfId="1" applyFont="1" applyFill="1" applyBorder="1" applyAlignment="1">
      <alignment horizontal="center" vertical="center"/>
    </xf>
    <xf numFmtId="41" fontId="26" fillId="2" borderId="187" xfId="6" applyFont="1" applyFill="1" applyBorder="1" applyAlignment="1" applyProtection="1">
      <alignment horizontal="center" vertical="center" wrapText="1"/>
      <protection locked="0"/>
    </xf>
    <xf numFmtId="41" fontId="26" fillId="2" borderId="168" xfId="6" applyFont="1" applyFill="1" applyBorder="1" applyAlignment="1" applyProtection="1">
      <alignment horizontal="center" vertical="center" wrapText="1"/>
      <protection locked="0"/>
    </xf>
    <xf numFmtId="0" fontId="26" fillId="2" borderId="61" xfId="1" applyFont="1" applyFill="1" applyBorder="1" applyAlignment="1">
      <alignment horizontal="center" vertical="center" wrapText="1"/>
    </xf>
    <xf numFmtId="0" fontId="26" fillId="2" borderId="55" xfId="1" applyFont="1" applyFill="1" applyBorder="1" applyAlignment="1">
      <alignment horizontal="left"/>
    </xf>
    <xf numFmtId="0" fontId="26" fillId="2" borderId="56" xfId="1" applyFont="1" applyFill="1" applyBorder="1" applyAlignment="1">
      <alignment horizontal="left"/>
    </xf>
    <xf numFmtId="0" fontId="92" fillId="2" borderId="60" xfId="1" applyFont="1" applyFill="1" applyBorder="1" applyAlignment="1" applyProtection="1">
      <alignment horizontal="left" vertical="top" wrapText="1"/>
      <protection locked="0"/>
    </xf>
    <xf numFmtId="0" fontId="92" fillId="2" borderId="61" xfId="1" applyFont="1" applyFill="1" applyBorder="1" applyAlignment="1" applyProtection="1">
      <alignment horizontal="left" vertical="top" wrapText="1"/>
      <protection locked="0"/>
    </xf>
    <xf numFmtId="0" fontId="92" fillId="2" borderId="61" xfId="1" applyFont="1" applyFill="1" applyBorder="1" applyAlignment="1" applyProtection="1">
      <alignment horizontal="center" vertical="top" wrapText="1"/>
      <protection locked="0"/>
    </xf>
    <xf numFmtId="0" fontId="92" fillId="2" borderId="62" xfId="1" applyFont="1" applyFill="1" applyBorder="1" applyAlignment="1" applyProtection="1">
      <alignment horizontal="center" vertical="top" wrapText="1"/>
      <protection locked="0"/>
    </xf>
    <xf numFmtId="0" fontId="92" fillId="2" borderId="55" xfId="1" applyFont="1" applyFill="1" applyBorder="1" applyAlignment="1" applyProtection="1">
      <alignment horizontal="left" vertical="top" wrapText="1"/>
      <protection locked="0"/>
    </xf>
    <xf numFmtId="0" fontId="92" fillId="2" borderId="56" xfId="1" applyFont="1" applyFill="1" applyBorder="1" applyAlignment="1" applyProtection="1">
      <alignment horizontal="left" vertical="top" wrapText="1"/>
      <protection locked="0"/>
    </xf>
    <xf numFmtId="0" fontId="93" fillId="2" borderId="56" xfId="1" applyFont="1" applyFill="1" applyBorder="1" applyAlignment="1" applyProtection="1">
      <alignment horizontal="left" vertical="top" wrapText="1"/>
      <protection locked="0"/>
    </xf>
    <xf numFmtId="0" fontId="93" fillId="2" borderId="57" xfId="1" applyFont="1" applyFill="1" applyBorder="1" applyAlignment="1" applyProtection="1">
      <alignment horizontal="left" vertical="top" wrapText="1"/>
      <protection locked="0"/>
    </xf>
    <xf numFmtId="0" fontId="10" fillId="2" borderId="186" xfId="1" applyFont="1" applyFill="1" applyBorder="1" applyAlignment="1">
      <alignment horizontal="left"/>
    </xf>
    <xf numFmtId="0" fontId="8" fillId="2" borderId="49" xfId="1" applyFont="1" applyFill="1" applyBorder="1" applyAlignment="1">
      <alignment horizontal="center"/>
    </xf>
    <xf numFmtId="0" fontId="8" fillId="2" borderId="51" xfId="1" applyFont="1" applyFill="1" applyBorder="1" applyAlignment="1">
      <alignment horizontal="center"/>
    </xf>
    <xf numFmtId="0" fontId="8" fillId="2" borderId="55" xfId="1" applyFont="1" applyFill="1" applyBorder="1" applyAlignment="1">
      <alignment horizontal="right"/>
    </xf>
    <xf numFmtId="0" fontId="8" fillId="2" borderId="56" xfId="1" applyFont="1" applyFill="1" applyBorder="1" applyAlignment="1">
      <alignment horizontal="right"/>
    </xf>
    <xf numFmtId="0" fontId="91" fillId="2" borderId="56" xfId="1" applyFont="1" applyFill="1" applyBorder="1" applyAlignment="1">
      <alignment horizontal="left"/>
    </xf>
    <xf numFmtId="0" fontId="91" fillId="2" borderId="57" xfId="1" applyFont="1" applyFill="1" applyBorder="1" applyAlignment="1">
      <alignment horizontal="left"/>
    </xf>
    <xf numFmtId="0" fontId="8" fillId="2" borderId="4" xfId="1" applyFont="1" applyFill="1" applyBorder="1" applyAlignment="1">
      <alignment horizontal="center"/>
    </xf>
    <xf numFmtId="0" fontId="8" fillId="2" borderId="5" xfId="1" applyFont="1" applyFill="1" applyBorder="1" applyAlignment="1">
      <alignment horizontal="center"/>
    </xf>
    <xf numFmtId="0" fontId="8" fillId="2" borderId="6" xfId="1" applyFont="1" applyFill="1" applyBorder="1" applyAlignment="1">
      <alignment horizontal="center"/>
    </xf>
    <xf numFmtId="0" fontId="8" fillId="2" borderId="39" xfId="1" applyFont="1" applyFill="1" applyBorder="1" applyAlignment="1">
      <alignment horizontal="center"/>
    </xf>
    <xf numFmtId="0" fontId="8" fillId="2" borderId="0" xfId="1" applyFont="1" applyFill="1" applyAlignment="1">
      <alignment horizontal="center"/>
    </xf>
    <xf numFmtId="0" fontId="8" fillId="2" borderId="40" xfId="1" applyFont="1" applyFill="1" applyBorder="1" applyAlignment="1">
      <alignment horizontal="center"/>
    </xf>
    <xf numFmtId="0" fontId="8" fillId="2" borderId="7" xfId="1" applyFont="1" applyFill="1" applyBorder="1" applyAlignment="1">
      <alignment horizontal="center"/>
    </xf>
    <xf numFmtId="0" fontId="8" fillId="2" borderId="8" xfId="1" applyFont="1" applyFill="1" applyBorder="1" applyAlignment="1">
      <alignment horizontal="center"/>
    </xf>
    <xf numFmtId="0" fontId="8" fillId="2" borderId="9" xfId="1" applyFont="1" applyFill="1" applyBorder="1" applyAlignment="1">
      <alignment horizontal="center"/>
    </xf>
    <xf numFmtId="0" fontId="26" fillId="2" borderId="0" xfId="1" applyFont="1" applyFill="1" applyAlignment="1">
      <alignment horizontal="left" vertical="top" wrapText="1"/>
    </xf>
    <xf numFmtId="0" fontId="19" fillId="2" borderId="0" xfId="1" applyFont="1" applyFill="1" applyAlignment="1">
      <alignment horizontal="left" vertical="top" wrapText="1"/>
    </xf>
    <xf numFmtId="0" fontId="8" fillId="2" borderId="49" xfId="1" applyFont="1" applyFill="1" applyBorder="1" applyAlignment="1">
      <alignment horizontal="right"/>
    </xf>
    <xf numFmtId="0" fontId="8" fillId="2" borderId="50" xfId="1" applyFont="1" applyFill="1" applyBorder="1" applyAlignment="1">
      <alignment horizontal="right"/>
    </xf>
    <xf numFmtId="0" fontId="21" fillId="2" borderId="50" xfId="1" applyFont="1" applyFill="1" applyBorder="1" applyAlignment="1">
      <alignment horizontal="left"/>
    </xf>
    <xf numFmtId="0" fontId="21" fillId="2" borderId="51" xfId="1" applyFont="1" applyFill="1" applyBorder="1" applyAlignment="1">
      <alignment horizontal="left"/>
    </xf>
    <xf numFmtId="0" fontId="8" fillId="2" borderId="60" xfId="1" applyFont="1" applyFill="1" applyBorder="1" applyAlignment="1">
      <alignment horizontal="right"/>
    </xf>
    <xf numFmtId="0" fontId="8" fillId="2" borderId="61" xfId="1" applyFont="1" applyFill="1" applyBorder="1" applyAlignment="1">
      <alignment horizontal="right"/>
    </xf>
    <xf numFmtId="0" fontId="91" fillId="2" borderId="61" xfId="1" applyFont="1" applyFill="1" applyBorder="1" applyAlignment="1">
      <alignment horizontal="left"/>
    </xf>
    <xf numFmtId="0" fontId="91" fillId="2" borderId="62" xfId="1" applyFont="1" applyFill="1" applyBorder="1" applyAlignment="1">
      <alignment horizontal="left"/>
    </xf>
    <xf numFmtId="0" fontId="95" fillId="2" borderId="164" xfId="1" applyFont="1" applyFill="1" applyBorder="1" applyAlignment="1">
      <alignment horizontal="center" vertical="center"/>
    </xf>
    <xf numFmtId="0" fontId="95" fillId="2" borderId="165" xfId="1" applyFont="1" applyFill="1" applyBorder="1" applyAlignment="1">
      <alignment horizontal="center" vertical="center"/>
    </xf>
    <xf numFmtId="0" fontId="90" fillId="2" borderId="165" xfId="1" applyFont="1" applyFill="1" applyBorder="1" applyAlignment="1">
      <alignment horizontal="left" vertical="center" wrapText="1"/>
    </xf>
    <xf numFmtId="0" fontId="90" fillId="2" borderId="173" xfId="1" applyFont="1" applyFill="1" applyBorder="1" applyAlignment="1">
      <alignment horizontal="left" vertical="center" wrapText="1"/>
    </xf>
    <xf numFmtId="0" fontId="4" fillId="2" borderId="61" xfId="1" applyFont="1" applyFill="1" applyBorder="1" applyAlignment="1">
      <alignment horizontal="center" vertical="center"/>
    </xf>
    <xf numFmtId="0" fontId="4" fillId="2" borderId="62" xfId="1" applyFont="1" applyFill="1" applyBorder="1" applyAlignment="1">
      <alignment horizontal="center" vertical="center"/>
    </xf>
    <xf numFmtId="0" fontId="4" fillId="2" borderId="170" xfId="1" applyFont="1" applyFill="1" applyBorder="1" applyAlignment="1">
      <alignment horizontal="center" vertical="center"/>
    </xf>
    <xf numFmtId="0" fontId="4" fillId="2" borderId="171" xfId="1" applyFont="1" applyFill="1" applyBorder="1" applyAlignment="1">
      <alignment horizontal="center" vertical="center"/>
    </xf>
    <xf numFmtId="0" fontId="4" fillId="2" borderId="172" xfId="1" applyFont="1" applyFill="1" applyBorder="1" applyAlignment="1">
      <alignment horizontal="center" vertical="center"/>
    </xf>
    <xf numFmtId="0" fontId="8" fillId="2" borderId="165" xfId="1" applyFont="1" applyFill="1" applyBorder="1" applyAlignment="1">
      <alignment horizontal="left" vertical="top" wrapText="1"/>
    </xf>
    <xf numFmtId="0" fontId="4" fillId="2" borderId="165" xfId="1" applyFont="1" applyFill="1" applyBorder="1" applyAlignment="1">
      <alignment horizontal="left" vertical="top" wrapText="1"/>
    </xf>
    <xf numFmtId="0" fontId="8" fillId="2" borderId="41" xfId="1" applyFont="1" applyFill="1" applyBorder="1" applyAlignment="1">
      <alignment horizontal="center"/>
    </xf>
    <xf numFmtId="0" fontId="8" fillId="2" borderId="42" xfId="1" applyFont="1" applyFill="1" applyBorder="1" applyAlignment="1">
      <alignment horizontal="center"/>
    </xf>
    <xf numFmtId="0" fontId="8" fillId="2" borderId="43" xfId="1" applyFont="1" applyFill="1" applyBorder="1" applyAlignment="1">
      <alignment horizontal="center"/>
    </xf>
    <xf numFmtId="0" fontId="4" fillId="2" borderId="104" xfId="1" applyFont="1" applyFill="1" applyBorder="1" applyAlignment="1">
      <alignment horizontal="center" vertical="center"/>
    </xf>
    <xf numFmtId="0" fontId="4" fillId="2" borderId="105" xfId="1" applyFont="1" applyFill="1" applyBorder="1" applyAlignment="1">
      <alignment horizontal="center" vertical="center"/>
    </xf>
    <xf numFmtId="0" fontId="4" fillId="2" borderId="169" xfId="1" applyFont="1" applyFill="1" applyBorder="1" applyAlignment="1">
      <alignment horizontal="center" vertical="center"/>
    </xf>
    <xf numFmtId="0" fontId="26" fillId="2" borderId="117" xfId="1" applyFont="1" applyFill="1" applyBorder="1" applyAlignment="1">
      <alignment horizontal="left" vertical="center" wrapText="1"/>
    </xf>
    <xf numFmtId="0" fontId="26" fillId="2" borderId="118" xfId="1" applyFont="1" applyFill="1" applyBorder="1" applyAlignment="1">
      <alignment horizontal="left" vertical="center" wrapText="1"/>
    </xf>
    <xf numFmtId="0" fontId="26" fillId="2" borderId="119" xfId="1" applyFont="1" applyFill="1" applyBorder="1" applyAlignment="1">
      <alignment horizontal="left" vertical="center" wrapText="1"/>
    </xf>
    <xf numFmtId="0" fontId="19" fillId="2" borderId="44" xfId="1" applyFont="1" applyFill="1" applyBorder="1" applyAlignment="1">
      <alignment horizontal="center" vertical="center" wrapText="1"/>
    </xf>
    <xf numFmtId="0" fontId="19" fillId="2" borderId="45" xfId="1" applyFont="1" applyFill="1" applyBorder="1" applyAlignment="1">
      <alignment horizontal="center" vertical="center" wrapText="1"/>
    </xf>
    <xf numFmtId="0" fontId="19" fillId="2" borderId="46" xfId="1" applyFont="1" applyFill="1" applyBorder="1" applyAlignment="1">
      <alignment horizontal="center" vertical="center" wrapText="1"/>
    </xf>
    <xf numFmtId="0" fontId="8" fillId="2" borderId="61" xfId="1" applyFont="1" applyFill="1" applyBorder="1" applyAlignment="1">
      <alignment horizontal="left" vertical="top" wrapText="1"/>
    </xf>
    <xf numFmtId="0" fontId="4" fillId="2" borderId="61" xfId="1" applyFont="1" applyFill="1" applyBorder="1" applyAlignment="1">
      <alignment horizontal="left" vertical="top" wrapText="1"/>
    </xf>
    <xf numFmtId="0" fontId="4" fillId="2" borderId="50" xfId="1" applyFont="1" applyFill="1" applyBorder="1" applyAlignment="1">
      <alignment horizontal="center" vertical="center"/>
    </xf>
    <xf numFmtId="0" fontId="4" fillId="2" borderId="51" xfId="1" applyFont="1" applyFill="1" applyBorder="1" applyAlignment="1">
      <alignment horizontal="center" vertical="center"/>
    </xf>
    <xf numFmtId="0" fontId="4" fillId="5" borderId="184" xfId="1" applyFont="1" applyFill="1" applyBorder="1" applyAlignment="1">
      <alignment horizontal="left" vertical="center" wrapText="1"/>
    </xf>
    <xf numFmtId="0" fontId="4" fillId="5" borderId="106" xfId="1" applyFont="1" applyFill="1" applyBorder="1" applyAlignment="1">
      <alignment horizontal="left" vertical="center" wrapText="1"/>
    </xf>
    <xf numFmtId="0" fontId="4" fillId="2" borderId="184" xfId="1" applyFont="1" applyFill="1" applyBorder="1" applyAlignment="1">
      <alignment horizontal="left" vertical="center" wrapText="1"/>
    </xf>
    <xf numFmtId="0" fontId="4" fillId="2" borderId="106" xfId="1" applyFont="1" applyFill="1" applyBorder="1" applyAlignment="1">
      <alignment horizontal="left" vertical="center" wrapText="1"/>
    </xf>
    <xf numFmtId="0" fontId="4" fillId="5" borderId="185" xfId="1" applyFont="1" applyFill="1" applyBorder="1" applyAlignment="1">
      <alignment horizontal="left" vertical="center" wrapText="1"/>
    </xf>
    <xf numFmtId="0" fontId="4" fillId="5" borderId="174" xfId="1" applyFont="1" applyFill="1" applyBorder="1" applyAlignment="1">
      <alignment horizontal="left" vertical="center" wrapText="1"/>
    </xf>
    <xf numFmtId="0" fontId="4" fillId="2" borderId="185" xfId="1" applyFont="1" applyFill="1" applyBorder="1" applyAlignment="1">
      <alignment horizontal="left" vertical="center" wrapText="1"/>
    </xf>
    <xf numFmtId="0" fontId="4" fillId="2" borderId="174" xfId="1" applyFont="1" applyFill="1" applyBorder="1" applyAlignment="1">
      <alignment horizontal="left" vertical="center" wrapText="1"/>
    </xf>
    <xf numFmtId="0" fontId="8" fillId="2" borderId="49" xfId="1" applyFont="1" applyFill="1" applyBorder="1" applyAlignment="1">
      <alignment horizontal="center" vertical="center" wrapText="1"/>
    </xf>
    <xf numFmtId="0" fontId="8" fillId="2" borderId="50" xfId="1" applyFont="1" applyFill="1" applyBorder="1" applyAlignment="1">
      <alignment horizontal="center" vertical="center" wrapText="1"/>
    </xf>
    <xf numFmtId="0" fontId="8" fillId="2" borderId="51" xfId="1" applyFont="1" applyFill="1" applyBorder="1" applyAlignment="1">
      <alignment horizontal="center" vertical="center" wrapText="1"/>
    </xf>
    <xf numFmtId="0" fontId="8" fillId="2" borderId="61" xfId="1" applyFont="1" applyFill="1" applyBorder="1" applyAlignment="1">
      <alignment horizontal="left"/>
    </xf>
    <xf numFmtId="0" fontId="8" fillId="2" borderId="4" xfId="1" applyFont="1" applyFill="1" applyBorder="1" applyAlignment="1">
      <alignment horizontal="left" vertical="center" wrapText="1"/>
    </xf>
    <xf numFmtId="0" fontId="4" fillId="2" borderId="5" xfId="1" applyFont="1" applyFill="1" applyBorder="1" applyAlignment="1">
      <alignment horizontal="left" vertical="center"/>
    </xf>
    <xf numFmtId="0" fontId="4" fillId="2" borderId="6" xfId="1" applyFont="1" applyFill="1" applyBorder="1" applyAlignment="1">
      <alignment horizontal="left" vertical="center"/>
    </xf>
    <xf numFmtId="0" fontId="4" fillId="2" borderId="39" xfId="1" applyFont="1" applyFill="1" applyBorder="1" applyAlignment="1">
      <alignment horizontal="left" vertical="center" wrapText="1"/>
    </xf>
    <xf numFmtId="0" fontId="4" fillId="2" borderId="40" xfId="1" applyFont="1" applyFill="1" applyBorder="1" applyAlignment="1">
      <alignment horizontal="left" vertical="center"/>
    </xf>
    <xf numFmtId="0" fontId="4" fillId="2" borderId="39" xfId="1" applyFont="1" applyFill="1" applyBorder="1" applyAlignment="1">
      <alignment horizontal="left" vertical="center"/>
    </xf>
    <xf numFmtId="0" fontId="4" fillId="2" borderId="7" xfId="1" applyFont="1" applyFill="1" applyBorder="1" applyAlignment="1">
      <alignment horizontal="left" vertical="center"/>
    </xf>
    <xf numFmtId="0" fontId="4" fillId="2" borderId="8" xfId="1" applyFont="1" applyFill="1" applyBorder="1" applyAlignment="1">
      <alignment horizontal="left" vertical="center"/>
    </xf>
    <xf numFmtId="0" fontId="4" fillId="2" borderId="9" xfId="1" applyFont="1" applyFill="1" applyBorder="1" applyAlignment="1">
      <alignment horizontal="left" vertical="center"/>
    </xf>
    <xf numFmtId="0" fontId="8" fillId="2" borderId="104" xfId="1" applyFont="1" applyFill="1" applyBorder="1" applyAlignment="1">
      <alignment horizontal="left"/>
    </xf>
    <xf numFmtId="0" fontId="8" fillId="2" borderId="105" xfId="1" applyFont="1" applyFill="1" applyBorder="1" applyAlignment="1">
      <alignment horizontal="left"/>
    </xf>
    <xf numFmtId="0" fontId="8" fillId="2" borderId="106" xfId="1" applyFont="1" applyFill="1" applyBorder="1" applyAlignment="1">
      <alignment horizontal="left"/>
    </xf>
    <xf numFmtId="0" fontId="8" fillId="2" borderId="104" xfId="1" applyFont="1" applyFill="1" applyBorder="1" applyAlignment="1">
      <alignment horizontal="center"/>
    </xf>
    <xf numFmtId="0" fontId="8" fillId="2" borderId="105" xfId="1" applyFont="1" applyFill="1" applyBorder="1" applyAlignment="1">
      <alignment horizontal="center"/>
    </xf>
    <xf numFmtId="0" fontId="8" fillId="2" borderId="106" xfId="1" applyFont="1" applyFill="1" applyBorder="1" applyAlignment="1">
      <alignment horizontal="center"/>
    </xf>
    <xf numFmtId="0" fontId="88" fillId="2" borderId="105" xfId="1" applyFont="1" applyFill="1" applyBorder="1" applyAlignment="1">
      <alignment horizontal="center" vertical="center"/>
    </xf>
    <xf numFmtId="0" fontId="88" fillId="2" borderId="106" xfId="1" applyFont="1" applyFill="1" applyBorder="1" applyAlignment="1">
      <alignment horizontal="center" vertical="center"/>
    </xf>
    <xf numFmtId="0" fontId="8" fillId="2" borderId="4" xfId="1" applyFont="1" applyFill="1" applyBorder="1" applyAlignment="1" applyProtection="1">
      <alignment horizontal="left" vertical="top" wrapText="1"/>
      <protection locked="0"/>
    </xf>
    <xf numFmtId="0" fontId="8" fillId="2" borderId="5" xfId="1" applyFont="1" applyFill="1" applyBorder="1" applyAlignment="1" applyProtection="1">
      <alignment horizontal="left" vertical="top" wrapText="1"/>
      <protection locked="0"/>
    </xf>
    <xf numFmtId="0" fontId="8" fillId="2" borderId="6" xfId="1" applyFont="1" applyFill="1" applyBorder="1" applyAlignment="1" applyProtection="1">
      <alignment horizontal="left" vertical="top" wrapText="1"/>
      <protection locked="0"/>
    </xf>
    <xf numFmtId="0" fontId="8" fillId="2" borderId="39" xfId="1" applyFont="1" applyFill="1" applyBorder="1" applyAlignment="1" applyProtection="1">
      <alignment horizontal="left" vertical="top" wrapText="1"/>
      <protection locked="0"/>
    </xf>
    <xf numFmtId="0" fontId="8" fillId="2" borderId="0" xfId="1" applyFont="1" applyFill="1" applyAlignment="1" applyProtection="1">
      <alignment horizontal="left" vertical="top" wrapText="1"/>
      <protection locked="0"/>
    </xf>
    <xf numFmtId="0" fontId="8" fillId="2" borderId="40" xfId="1" applyFont="1" applyFill="1" applyBorder="1" applyAlignment="1" applyProtection="1">
      <alignment horizontal="left" vertical="top" wrapText="1"/>
      <protection locked="0"/>
    </xf>
    <xf numFmtId="0" fontId="8" fillId="2" borderId="7" xfId="1" applyFont="1" applyFill="1" applyBorder="1" applyAlignment="1" applyProtection="1">
      <alignment horizontal="left" vertical="top" wrapText="1"/>
      <protection locked="0"/>
    </xf>
    <xf numFmtId="0" fontId="8" fillId="2" borderId="8" xfId="1" applyFont="1" applyFill="1" applyBorder="1" applyAlignment="1" applyProtection="1">
      <alignment horizontal="left" vertical="top" wrapText="1"/>
      <protection locked="0"/>
    </xf>
    <xf numFmtId="0" fontId="8" fillId="2" borderId="9" xfId="1" applyFont="1" applyFill="1" applyBorder="1" applyAlignment="1" applyProtection="1">
      <alignment horizontal="left" vertical="top" wrapText="1"/>
      <protection locked="0"/>
    </xf>
    <xf numFmtId="0" fontId="14" fillId="2" borderId="0" xfId="1" applyFont="1" applyFill="1" applyAlignment="1">
      <alignment horizontal="left"/>
    </xf>
    <xf numFmtId="0" fontId="21" fillId="2" borderId="0" xfId="1" applyFont="1" applyFill="1" applyAlignment="1">
      <alignment horizontal="left" wrapText="1"/>
    </xf>
    <xf numFmtId="0" fontId="14" fillId="2" borderId="39" xfId="1" applyFont="1" applyFill="1" applyBorder="1" applyAlignment="1">
      <alignment horizontal="center"/>
    </xf>
    <xf numFmtId="0" fontId="14" fillId="2" borderId="0" xfId="1" applyFont="1" applyFill="1" applyAlignment="1">
      <alignment horizontal="center"/>
    </xf>
    <xf numFmtId="174" fontId="100" fillId="2" borderId="60" xfId="1" applyNumberFormat="1" applyFont="1" applyFill="1" applyBorder="1" applyAlignment="1">
      <alignment horizontal="center"/>
    </xf>
    <xf numFmtId="174" fontId="100" fillId="2" borderId="62" xfId="1" applyNumberFormat="1" applyFont="1" applyFill="1" applyBorder="1" applyAlignment="1">
      <alignment horizontal="center"/>
    </xf>
    <xf numFmtId="0" fontId="14" fillId="2" borderId="7" xfId="1" applyFont="1" applyFill="1" applyBorder="1" applyAlignment="1">
      <alignment horizontal="center"/>
    </xf>
    <xf numFmtId="0" fontId="14" fillId="2" borderId="8" xfId="1" applyFont="1" applyFill="1" applyBorder="1" applyAlignment="1">
      <alignment horizontal="center"/>
    </xf>
    <xf numFmtId="179" fontId="100" fillId="2" borderId="55" xfId="1" applyNumberFormat="1" applyFont="1" applyFill="1" applyBorder="1" applyAlignment="1">
      <alignment horizontal="center"/>
    </xf>
    <xf numFmtId="179" fontId="100" fillId="2" borderId="57" xfId="1" applyNumberFormat="1" applyFont="1" applyFill="1" applyBorder="1" applyAlignment="1">
      <alignment horizontal="center"/>
    </xf>
    <xf numFmtId="10" fontId="100" fillId="2" borderId="60" xfId="1" applyNumberFormat="1" applyFont="1" applyFill="1" applyBorder="1" applyAlignment="1">
      <alignment horizontal="center"/>
    </xf>
    <xf numFmtId="10" fontId="100" fillId="2" borderId="62" xfId="1" applyNumberFormat="1" applyFont="1" applyFill="1" applyBorder="1" applyAlignment="1">
      <alignment horizontal="center"/>
    </xf>
    <xf numFmtId="0" fontId="8" fillId="2" borderId="175" xfId="1" applyFont="1" applyFill="1" applyBorder="1" applyAlignment="1">
      <alignment horizontal="center"/>
    </xf>
    <xf numFmtId="0" fontId="6" fillId="2" borderId="0" xfId="1" applyFont="1" applyFill="1" applyAlignment="1">
      <alignment horizontal="left"/>
    </xf>
    <xf numFmtId="0" fontId="14" fillId="2" borderId="4" xfId="1" applyFont="1" applyFill="1" applyBorder="1" applyAlignment="1">
      <alignment horizontal="center"/>
    </xf>
    <xf numFmtId="0" fontId="14" fillId="2" borderId="5" xfId="1" applyFont="1" applyFill="1" applyBorder="1" applyAlignment="1">
      <alignment horizontal="center"/>
    </xf>
    <xf numFmtId="10" fontId="100" fillId="5" borderId="49" xfId="1" applyNumberFormat="1" applyFont="1" applyFill="1" applyBorder="1" applyAlignment="1">
      <alignment horizontal="center"/>
    </xf>
    <xf numFmtId="10" fontId="100" fillId="5" borderId="51" xfId="1" applyNumberFormat="1" applyFont="1" applyFill="1" applyBorder="1" applyAlignment="1">
      <alignment horizontal="center"/>
    </xf>
    <xf numFmtId="175" fontId="26" fillId="2" borderId="42" xfId="7" applyNumberFormat="1" applyFont="1" applyFill="1" applyBorder="1" applyAlignment="1" applyProtection="1">
      <alignment horizontal="center"/>
    </xf>
    <xf numFmtId="175" fontId="26" fillId="2" borderId="43" xfId="7" applyNumberFormat="1" applyFont="1" applyFill="1" applyBorder="1" applyAlignment="1" applyProtection="1">
      <alignment horizontal="center"/>
    </xf>
    <xf numFmtId="175" fontId="26" fillId="2" borderId="61" xfId="7" applyNumberFormat="1" applyFont="1" applyFill="1" applyBorder="1" applyAlignment="1" applyProtection="1">
      <alignment horizontal="right"/>
    </xf>
    <xf numFmtId="175" fontId="26" fillId="2" borderId="62" xfId="7" applyNumberFormat="1" applyFont="1" applyFill="1" applyBorder="1" applyAlignment="1" applyProtection="1">
      <alignment horizontal="right"/>
    </xf>
    <xf numFmtId="175" fontId="26" fillId="10" borderId="56" xfId="7" applyNumberFormat="1" applyFont="1" applyFill="1" applyBorder="1" applyAlignment="1" applyProtection="1">
      <alignment horizontal="right"/>
    </xf>
    <xf numFmtId="175" fontId="26" fillId="10" borderId="57" xfId="7" applyNumberFormat="1" applyFont="1" applyFill="1" applyBorder="1" applyAlignment="1" applyProtection="1">
      <alignment horizontal="right"/>
    </xf>
    <xf numFmtId="0" fontId="26" fillId="2" borderId="60" xfId="1" applyFont="1" applyFill="1" applyBorder="1" applyAlignment="1">
      <alignment horizontal="left"/>
    </xf>
    <xf numFmtId="0" fontId="26" fillId="2" borderId="61" xfId="1" applyFont="1" applyFill="1" applyBorder="1" applyAlignment="1">
      <alignment horizontal="left"/>
    </xf>
    <xf numFmtId="175" fontId="26" fillId="5" borderId="61" xfId="7" applyNumberFormat="1" applyFont="1" applyFill="1" applyBorder="1" applyAlignment="1" applyProtection="1">
      <alignment horizontal="right"/>
      <protection locked="0"/>
    </xf>
    <xf numFmtId="175" fontId="19" fillId="2" borderId="61" xfId="7" applyNumberFormat="1" applyFont="1" applyFill="1" applyBorder="1" applyAlignment="1" applyProtection="1">
      <alignment horizontal="right"/>
    </xf>
    <xf numFmtId="175" fontId="19" fillId="2" borderId="62" xfId="7" applyNumberFormat="1" applyFont="1" applyFill="1" applyBorder="1" applyAlignment="1" applyProtection="1">
      <alignment horizontal="right"/>
    </xf>
    <xf numFmtId="175" fontId="26" fillId="10" borderId="104" xfId="7" applyNumberFormat="1" applyFont="1" applyFill="1" applyBorder="1" applyAlignment="1" applyProtection="1">
      <alignment horizontal="center"/>
    </xf>
    <xf numFmtId="175" fontId="26" fillId="10" borderId="106" xfId="7" applyNumberFormat="1" applyFont="1" applyFill="1" applyBorder="1" applyAlignment="1" applyProtection="1">
      <alignment horizontal="center"/>
    </xf>
    <xf numFmtId="175" fontId="26" fillId="10" borderId="169" xfId="7" applyNumberFormat="1" applyFont="1" applyFill="1" applyBorder="1" applyAlignment="1" applyProtection="1">
      <alignment horizontal="center"/>
    </xf>
    <xf numFmtId="175" fontId="19" fillId="2" borderId="104" xfId="7" applyNumberFormat="1" applyFont="1" applyFill="1" applyBorder="1" applyAlignment="1" applyProtection="1">
      <alignment horizontal="right"/>
    </xf>
    <xf numFmtId="175" fontId="19" fillId="2" borderId="169" xfId="7" applyNumberFormat="1" applyFont="1" applyFill="1" applyBorder="1" applyAlignment="1" applyProtection="1">
      <alignment horizontal="right"/>
    </xf>
    <xf numFmtId="175" fontId="19" fillId="2" borderId="106" xfId="7" applyNumberFormat="1" applyFont="1" applyFill="1" applyBorder="1" applyAlignment="1" applyProtection="1">
      <alignment horizontal="right"/>
    </xf>
    <xf numFmtId="175" fontId="26" fillId="10" borderId="61" xfId="7" applyNumberFormat="1" applyFont="1" applyFill="1" applyBorder="1" applyAlignment="1" applyProtection="1">
      <alignment horizontal="right"/>
    </xf>
    <xf numFmtId="175" fontId="26" fillId="10" borderId="62" xfId="7" applyNumberFormat="1" applyFont="1" applyFill="1" applyBorder="1" applyAlignment="1" applyProtection="1">
      <alignment horizontal="right"/>
    </xf>
    <xf numFmtId="175" fontId="19" fillId="3" borderId="0" xfId="1" applyNumberFormat="1" applyFont="1" applyFill="1" applyAlignment="1">
      <alignment horizontal="center" vertical="top" wrapText="1"/>
    </xf>
    <xf numFmtId="0" fontId="19" fillId="3" borderId="0" xfId="1" applyFont="1" applyFill="1" applyAlignment="1">
      <alignment horizontal="center" vertical="top" wrapText="1"/>
    </xf>
    <xf numFmtId="3" fontId="26" fillId="2" borderId="190" xfId="1" applyNumberFormat="1" applyFont="1" applyFill="1" applyBorder="1" applyAlignment="1">
      <alignment horizontal="center" vertical="center"/>
    </xf>
    <xf numFmtId="3" fontId="26" fillId="2" borderId="191" xfId="1" applyNumberFormat="1" applyFont="1" applyFill="1" applyBorder="1" applyAlignment="1">
      <alignment horizontal="center" vertical="center"/>
    </xf>
    <xf numFmtId="3" fontId="26" fillId="2" borderId="192" xfId="1" applyNumberFormat="1" applyFont="1" applyFill="1" applyBorder="1" applyAlignment="1">
      <alignment horizontal="center" vertical="center"/>
    </xf>
    <xf numFmtId="3" fontId="26" fillId="2" borderId="49" xfId="1" applyNumberFormat="1" applyFont="1" applyFill="1" applyBorder="1" applyAlignment="1">
      <alignment horizontal="center" vertical="center"/>
    </xf>
    <xf numFmtId="3" fontId="26" fillId="2" borderId="50" xfId="1" applyNumberFormat="1" applyFont="1" applyFill="1" applyBorder="1" applyAlignment="1">
      <alignment horizontal="center" vertical="center"/>
    </xf>
    <xf numFmtId="3" fontId="26" fillId="2" borderId="51" xfId="1" applyNumberFormat="1" applyFont="1" applyFill="1" applyBorder="1" applyAlignment="1">
      <alignment horizontal="center" vertical="center"/>
    </xf>
    <xf numFmtId="3" fontId="26" fillId="2" borderId="61" xfId="1" applyNumberFormat="1" applyFont="1" applyFill="1" applyBorder="1" applyAlignment="1">
      <alignment horizontal="center" vertical="center" wrapText="1"/>
    </xf>
    <xf numFmtId="9" fontId="19" fillId="5" borderId="61" xfId="8" applyFont="1" applyFill="1" applyBorder="1" applyAlignment="1" applyProtection="1">
      <alignment horizontal="center" vertical="center"/>
      <protection locked="0"/>
    </xf>
    <xf numFmtId="3" fontId="26" fillId="2" borderId="61" xfId="1" applyNumberFormat="1" applyFont="1" applyFill="1" applyBorder="1" applyAlignment="1">
      <alignment horizontal="left" wrapText="1"/>
    </xf>
    <xf numFmtId="9" fontId="4" fillId="5" borderId="61" xfId="1" applyNumberFormat="1" applyFont="1" applyFill="1" applyBorder="1" applyAlignment="1" applyProtection="1">
      <alignment horizontal="center" vertical="center"/>
      <protection locked="0"/>
    </xf>
    <xf numFmtId="0" fontId="8" fillId="2" borderId="61" xfId="1" applyFont="1" applyFill="1" applyBorder="1" applyAlignment="1">
      <alignment horizontal="left" vertical="center"/>
    </xf>
    <xf numFmtId="175" fontId="26" fillId="2" borderId="56" xfId="7" applyNumberFormat="1" applyFont="1" applyFill="1" applyBorder="1" applyAlignment="1" applyProtection="1">
      <alignment horizontal="center"/>
    </xf>
    <xf numFmtId="175" fontId="26" fillId="2" borderId="57" xfId="7" applyNumberFormat="1" applyFont="1" applyFill="1" applyBorder="1" applyAlignment="1" applyProtection="1">
      <alignment horizontal="center"/>
    </xf>
    <xf numFmtId="175" fontId="19" fillId="2" borderId="61" xfId="7" applyNumberFormat="1" applyFont="1" applyFill="1" applyBorder="1" applyAlignment="1" applyProtection="1">
      <alignment horizontal="center"/>
    </xf>
    <xf numFmtId="175" fontId="19" fillId="2" borderId="62" xfId="7" applyNumberFormat="1" applyFont="1" applyFill="1" applyBorder="1" applyAlignment="1" applyProtection="1">
      <alignment horizontal="center"/>
    </xf>
    <xf numFmtId="3" fontId="15" fillId="2" borderId="0" xfId="1" applyNumberFormat="1" applyFont="1" applyFill="1" applyAlignment="1">
      <alignment horizontal="left"/>
    </xf>
    <xf numFmtId="3" fontId="21" fillId="2" borderId="0" xfId="1" applyNumberFormat="1" applyFont="1" applyFill="1" applyAlignment="1">
      <alignment horizontal="left"/>
    </xf>
    <xf numFmtId="3" fontId="26" fillId="2" borderId="49" xfId="1" applyNumberFormat="1" applyFont="1" applyFill="1" applyBorder="1" applyAlignment="1">
      <alignment horizontal="center" vertical="center" wrapText="1"/>
    </xf>
    <xf numFmtId="3" fontId="26" fillId="2" borderId="50" xfId="1" applyNumberFormat="1" applyFont="1" applyFill="1" applyBorder="1" applyAlignment="1">
      <alignment horizontal="center" vertical="center" wrapText="1"/>
    </xf>
    <xf numFmtId="3" fontId="26" fillId="2" borderId="55" xfId="1" applyNumberFormat="1" applyFont="1" applyFill="1" applyBorder="1" applyAlignment="1">
      <alignment horizontal="center" vertical="center" wrapText="1"/>
    </xf>
    <xf numFmtId="3" fontId="26" fillId="2" borderId="56" xfId="1" applyNumberFormat="1" applyFont="1" applyFill="1" applyBorder="1" applyAlignment="1">
      <alignment horizontal="center" vertical="center" wrapText="1"/>
    </xf>
    <xf numFmtId="0" fontId="26" fillId="2" borderId="49" xfId="1" applyFont="1" applyFill="1" applyBorder="1" applyAlignment="1">
      <alignment horizontal="center" vertical="center"/>
    </xf>
    <xf numFmtId="0" fontId="26" fillId="2" borderId="60" xfId="1" applyFont="1" applyFill="1" applyBorder="1" applyAlignment="1">
      <alignment horizontal="center" vertical="center"/>
    </xf>
    <xf numFmtId="0" fontId="26" fillId="2" borderId="61" xfId="1" applyFont="1" applyFill="1" applyBorder="1" applyAlignment="1">
      <alignment horizontal="center" vertical="center"/>
    </xf>
    <xf numFmtId="3" fontId="26" fillId="2" borderId="50" xfId="1" applyNumberFormat="1" applyFont="1" applyFill="1" applyBorder="1" applyAlignment="1">
      <alignment horizontal="center"/>
    </xf>
    <xf numFmtId="3" fontId="26" fillId="2" borderId="51" xfId="1" applyNumberFormat="1" applyFont="1" applyFill="1" applyBorder="1" applyAlignment="1">
      <alignment horizontal="center"/>
    </xf>
    <xf numFmtId="3" fontId="26" fillId="2" borderId="61" xfId="1" applyNumberFormat="1" applyFont="1" applyFill="1" applyBorder="1" applyAlignment="1">
      <alignment horizontal="center"/>
    </xf>
    <xf numFmtId="3" fontId="26" fillId="2" borderId="62" xfId="1" applyNumberFormat="1" applyFont="1" applyFill="1" applyBorder="1" applyAlignment="1">
      <alignment horizontal="center"/>
    </xf>
    <xf numFmtId="175" fontId="4" fillId="2" borderId="170" xfId="7" applyNumberFormat="1" applyFont="1" applyFill="1" applyBorder="1" applyAlignment="1" applyProtection="1">
      <alignment horizontal="center"/>
    </xf>
    <xf numFmtId="175" fontId="4" fillId="2" borderId="174" xfId="7" applyNumberFormat="1" applyFont="1" applyFill="1" applyBorder="1" applyAlignment="1" applyProtection="1">
      <alignment horizontal="center"/>
    </xf>
    <xf numFmtId="175" fontId="4" fillId="2" borderId="172" xfId="7" applyNumberFormat="1" applyFont="1" applyFill="1" applyBorder="1" applyAlignment="1" applyProtection="1">
      <alignment horizontal="center"/>
    </xf>
    <xf numFmtId="175" fontId="4" fillId="2" borderId="104" xfId="7" applyNumberFormat="1" applyFont="1" applyFill="1" applyBorder="1" applyAlignment="1" applyProtection="1">
      <alignment horizontal="center"/>
    </xf>
    <xf numFmtId="175" fontId="4" fillId="2" borderId="106" xfId="7" applyNumberFormat="1" applyFont="1" applyFill="1" applyBorder="1" applyAlignment="1" applyProtection="1">
      <alignment horizontal="center"/>
    </xf>
    <xf numFmtId="175" fontId="4" fillId="2" borderId="169" xfId="7" applyNumberFormat="1" applyFont="1" applyFill="1" applyBorder="1" applyAlignment="1" applyProtection="1">
      <alignment horizontal="center"/>
    </xf>
    <xf numFmtId="0" fontId="8" fillId="2" borderId="166" xfId="1" applyFont="1" applyFill="1" applyBorder="1" applyAlignment="1">
      <alignment horizontal="center" vertical="center"/>
    </xf>
    <xf numFmtId="0" fontId="8" fillId="2" borderId="179" xfId="1" applyFont="1" applyFill="1" applyBorder="1" applyAlignment="1">
      <alignment horizontal="center" vertical="center"/>
    </xf>
    <xf numFmtId="0" fontId="8" fillId="2" borderId="51" xfId="1" applyFont="1" applyFill="1" applyBorder="1" applyAlignment="1">
      <alignment horizontal="center" vertical="center"/>
    </xf>
    <xf numFmtId="0" fontId="4" fillId="2" borderId="104" xfId="1" applyFont="1" applyFill="1" applyBorder="1" applyAlignment="1">
      <alignment horizontal="center"/>
    </xf>
    <xf numFmtId="0" fontId="4" fillId="2" borderId="106" xfId="1" applyFont="1" applyFill="1" applyBorder="1" applyAlignment="1">
      <alignment horizontal="center"/>
    </xf>
    <xf numFmtId="175" fontId="4" fillId="2" borderId="104" xfId="1" applyNumberFormat="1" applyFont="1" applyFill="1" applyBorder="1" applyAlignment="1">
      <alignment horizontal="center"/>
    </xf>
    <xf numFmtId="0" fontId="4" fillId="2" borderId="169" xfId="1" applyFont="1" applyFill="1" applyBorder="1" applyAlignment="1">
      <alignment horizontal="center"/>
    </xf>
    <xf numFmtId="0" fontId="8" fillId="2" borderId="60" xfId="1" applyFont="1" applyFill="1" applyBorder="1" applyAlignment="1">
      <alignment horizontal="left"/>
    </xf>
    <xf numFmtId="10" fontId="4" fillId="5" borderId="61" xfId="1" applyNumberFormat="1" applyFont="1" applyFill="1" applyBorder="1" applyAlignment="1" applyProtection="1">
      <alignment horizontal="right"/>
      <protection locked="0"/>
    </xf>
    <xf numFmtId="10" fontId="4" fillId="5" borderId="62" xfId="1" applyNumberFormat="1" applyFont="1" applyFill="1" applyBorder="1" applyAlignment="1" applyProtection="1">
      <alignment horizontal="right"/>
      <protection locked="0"/>
    </xf>
    <xf numFmtId="0" fontId="4" fillId="5" borderId="61" xfId="1" applyFont="1" applyFill="1" applyBorder="1" applyAlignment="1" applyProtection="1">
      <alignment horizontal="right"/>
      <protection locked="0"/>
    </xf>
    <xf numFmtId="0" fontId="4" fillId="5" borderId="62" xfId="1" applyFont="1" applyFill="1" applyBorder="1" applyAlignment="1" applyProtection="1">
      <alignment horizontal="right"/>
      <protection locked="0"/>
    </xf>
    <xf numFmtId="0" fontId="8" fillId="2" borderId="55" xfId="1" applyFont="1" applyFill="1" applyBorder="1" applyAlignment="1">
      <alignment horizontal="left"/>
    </xf>
    <xf numFmtId="0" fontId="8" fillId="2" borderId="56" xfId="1" applyFont="1" applyFill="1" applyBorder="1" applyAlignment="1">
      <alignment horizontal="left"/>
    </xf>
    <xf numFmtId="175" fontId="4" fillId="2" borderId="56" xfId="7" applyNumberFormat="1" applyFont="1" applyFill="1" applyBorder="1" applyAlignment="1" applyProtection="1">
      <alignment horizontal="center"/>
    </xf>
    <xf numFmtId="175" fontId="4" fillId="2" borderId="57" xfId="7" applyNumberFormat="1" applyFont="1" applyFill="1" applyBorder="1" applyAlignment="1" applyProtection="1">
      <alignment horizontal="center"/>
    </xf>
    <xf numFmtId="0" fontId="4" fillId="5" borderId="104" xfId="1" applyFont="1" applyFill="1" applyBorder="1" applyAlignment="1" applyProtection="1">
      <alignment horizontal="center"/>
      <protection locked="0"/>
    </xf>
    <xf numFmtId="0" fontId="4" fillId="5" borderId="106" xfId="1" applyFont="1" applyFill="1" applyBorder="1" applyAlignment="1" applyProtection="1">
      <alignment horizontal="center"/>
      <protection locked="0"/>
    </xf>
    <xf numFmtId="175" fontId="4" fillId="2" borderId="104" xfId="7" applyNumberFormat="1" applyFont="1" applyFill="1" applyBorder="1" applyAlignment="1" applyProtection="1">
      <alignment horizontal="right"/>
    </xf>
    <xf numFmtId="175" fontId="4" fillId="2" borderId="169" xfId="7" applyNumberFormat="1" applyFont="1" applyFill="1" applyBorder="1" applyAlignment="1" applyProtection="1">
      <alignment horizontal="right"/>
    </xf>
    <xf numFmtId="0" fontId="8" fillId="2" borderId="55" xfId="1" applyFont="1" applyFill="1" applyBorder="1" applyAlignment="1">
      <alignment horizontal="center"/>
    </xf>
    <xf numFmtId="0" fontId="8" fillId="2" borderId="56" xfId="1" applyFont="1" applyFill="1" applyBorder="1" applyAlignment="1">
      <alignment horizontal="center"/>
    </xf>
    <xf numFmtId="175" fontId="8" fillId="2" borderId="170" xfId="7" applyNumberFormat="1" applyFont="1" applyFill="1" applyBorder="1" applyAlignment="1" applyProtection="1">
      <alignment horizontal="right"/>
    </xf>
    <xf numFmtId="175" fontId="8" fillId="2" borderId="172" xfId="7" applyNumberFormat="1" applyFont="1" applyFill="1" applyBorder="1" applyAlignment="1" applyProtection="1">
      <alignment horizontal="right"/>
    </xf>
    <xf numFmtId="0" fontId="16" fillId="2" borderId="0" xfId="1" applyFont="1" applyFill="1" applyAlignment="1">
      <alignment horizontal="left"/>
    </xf>
    <xf numFmtId="0" fontId="8" fillId="2" borderId="49" xfId="1" applyFont="1" applyFill="1" applyBorder="1" applyAlignment="1">
      <alignment horizontal="left"/>
    </xf>
    <xf numFmtId="0" fontId="8" fillId="2" borderId="50" xfId="1" applyFont="1" applyFill="1" applyBorder="1" applyAlignment="1">
      <alignment horizontal="left"/>
    </xf>
    <xf numFmtId="175" fontId="4" fillId="2" borderId="50" xfId="1" applyNumberFormat="1" applyFont="1" applyFill="1" applyBorder="1" applyAlignment="1">
      <alignment horizontal="center"/>
    </xf>
    <xf numFmtId="0" fontId="4" fillId="2" borderId="51" xfId="1" applyFont="1" applyFill="1" applyBorder="1" applyAlignment="1">
      <alignment horizontal="center"/>
    </xf>
    <xf numFmtId="0" fontId="4" fillId="2" borderId="60" xfId="1" applyFont="1" applyFill="1" applyBorder="1" applyAlignment="1">
      <alignment horizontal="left"/>
    </xf>
    <xf numFmtId="0" fontId="4" fillId="2" borderId="61" xfId="1" applyFont="1" applyFill="1" applyBorder="1" applyAlignment="1">
      <alignment horizontal="left"/>
    </xf>
    <xf numFmtId="0" fontId="21" fillId="2" borderId="0" xfId="1" applyFont="1" applyFill="1" applyAlignment="1">
      <alignment horizontal="left"/>
    </xf>
    <xf numFmtId="175" fontId="8" fillId="2" borderId="42" xfId="1" applyNumberFormat="1" applyFont="1" applyFill="1" applyBorder="1" applyAlignment="1">
      <alignment horizontal="center"/>
    </xf>
    <xf numFmtId="175" fontId="8" fillId="2" borderId="43" xfId="1" applyNumberFormat="1" applyFont="1" applyFill="1" applyBorder="1" applyAlignment="1">
      <alignment horizontal="center"/>
    </xf>
    <xf numFmtId="0" fontId="8" fillId="2" borderId="166" xfId="1" applyFont="1" applyFill="1" applyBorder="1" applyAlignment="1">
      <alignment horizontal="center"/>
    </xf>
    <xf numFmtId="0" fontId="8" fillId="2" borderId="168" xfId="1" applyFont="1" applyFill="1" applyBorder="1" applyAlignment="1">
      <alignment horizontal="center"/>
    </xf>
    <xf numFmtId="175" fontId="8" fillId="2" borderId="42" xfId="7" applyNumberFormat="1" applyFont="1" applyFill="1" applyBorder="1" applyAlignment="1" applyProtection="1">
      <alignment horizontal="center" vertical="center" wrapText="1"/>
    </xf>
    <xf numFmtId="175" fontId="8" fillId="2" borderId="43" xfId="7" applyNumberFormat="1" applyFont="1" applyFill="1" applyBorder="1" applyAlignment="1" applyProtection="1">
      <alignment horizontal="center" vertical="center" wrapText="1"/>
    </xf>
    <xf numFmtId="0" fontId="4" fillId="5" borderId="61" xfId="1" applyFont="1" applyFill="1" applyBorder="1" applyAlignment="1" applyProtection="1">
      <alignment horizontal="center"/>
      <protection locked="0"/>
    </xf>
    <xf numFmtId="175" fontId="4" fillId="2" borderId="56" xfId="7" applyNumberFormat="1" applyFont="1" applyFill="1" applyBorder="1" applyAlignment="1" applyProtection="1">
      <alignment horizontal="center" vertical="center" wrapText="1"/>
    </xf>
    <xf numFmtId="175" fontId="4" fillId="2" borderId="61" xfId="7" applyNumberFormat="1" applyFont="1" applyFill="1" applyBorder="1" applyAlignment="1" applyProtection="1">
      <alignment horizontal="center" vertical="center" wrapText="1"/>
    </xf>
    <xf numFmtId="175" fontId="4" fillId="2" borderId="62" xfId="7" applyNumberFormat="1" applyFont="1" applyFill="1" applyBorder="1" applyAlignment="1" applyProtection="1">
      <alignment horizontal="center" vertical="center" wrapText="1"/>
    </xf>
    <xf numFmtId="175" fontId="4" fillId="2" borderId="104" xfId="7" applyNumberFormat="1" applyFont="1" applyFill="1" applyBorder="1" applyAlignment="1" applyProtection="1">
      <alignment horizontal="center" vertical="center" wrapText="1"/>
    </xf>
    <xf numFmtId="175" fontId="4" fillId="2" borderId="106" xfId="7" applyNumberFormat="1" applyFont="1" applyFill="1" applyBorder="1" applyAlignment="1" applyProtection="1">
      <alignment horizontal="center" vertical="center" wrapText="1"/>
    </xf>
    <xf numFmtId="175" fontId="4" fillId="2" borderId="169" xfId="7" applyNumberFormat="1" applyFont="1" applyFill="1" applyBorder="1" applyAlignment="1" applyProtection="1">
      <alignment horizontal="center" vertical="center" wrapText="1"/>
    </xf>
    <xf numFmtId="0" fontId="4" fillId="3" borderId="0" xfId="1" applyFont="1" applyFill="1" applyAlignment="1">
      <alignment horizontal="center"/>
    </xf>
    <xf numFmtId="0" fontId="8" fillId="2" borderId="41" xfId="1" applyFont="1" applyFill="1" applyBorder="1" applyAlignment="1">
      <alignment horizontal="center" wrapText="1"/>
    </xf>
    <xf numFmtId="0" fontId="8" fillId="2" borderId="42" xfId="1" applyFont="1" applyFill="1" applyBorder="1" applyAlignment="1">
      <alignment horizontal="center" wrapText="1"/>
    </xf>
    <xf numFmtId="0" fontId="8" fillId="2" borderId="190" xfId="1" applyFont="1" applyFill="1" applyBorder="1" applyAlignment="1">
      <alignment horizontal="center"/>
    </xf>
    <xf numFmtId="0" fontId="8" fillId="2" borderId="191" xfId="1" applyFont="1" applyFill="1" applyBorder="1" applyAlignment="1">
      <alignment horizontal="center"/>
    </xf>
    <xf numFmtId="0" fontId="8" fillId="2" borderId="192" xfId="1" applyFont="1" applyFill="1" applyBorder="1" applyAlignment="1">
      <alignment horizontal="center"/>
    </xf>
    <xf numFmtId="0" fontId="8" fillId="2" borderId="50" xfId="1" applyFont="1" applyFill="1" applyBorder="1" applyAlignment="1" applyProtection="1">
      <alignment horizontal="center" vertical="center" wrapText="1"/>
      <protection locked="0"/>
    </xf>
    <xf numFmtId="174" fontId="4" fillId="2" borderId="56" xfId="1" applyNumberFormat="1" applyFont="1" applyFill="1" applyBorder="1" applyAlignment="1">
      <alignment horizontal="center" vertical="center" wrapText="1"/>
    </xf>
    <xf numFmtId="174" fontId="4" fillId="2" borderId="57" xfId="1" applyNumberFormat="1" applyFont="1" applyFill="1" applyBorder="1" applyAlignment="1">
      <alignment horizontal="center" vertical="center" wrapText="1"/>
    </xf>
    <xf numFmtId="174" fontId="4" fillId="2" borderId="61" xfId="1" applyNumberFormat="1" applyFont="1" applyFill="1" applyBorder="1" applyAlignment="1">
      <alignment horizontal="center" vertical="center" wrapText="1"/>
    </xf>
    <xf numFmtId="174" fontId="4" fillId="2" borderId="62" xfId="1" applyNumberFormat="1" applyFont="1" applyFill="1" applyBorder="1" applyAlignment="1">
      <alignment horizontal="center" vertical="center" wrapText="1"/>
    </xf>
    <xf numFmtId="0" fontId="4" fillId="5" borderId="56" xfId="1" applyFont="1" applyFill="1" applyBorder="1" applyAlignment="1" applyProtection="1">
      <alignment horizontal="center"/>
      <protection locked="0"/>
    </xf>
    <xf numFmtId="0" fontId="8" fillId="2" borderId="61" xfId="1" applyFont="1" applyFill="1" applyBorder="1" applyAlignment="1">
      <alignment horizontal="center"/>
    </xf>
    <xf numFmtId="0" fontId="19" fillId="2" borderId="60" xfId="1" applyFont="1" applyFill="1" applyBorder="1" applyAlignment="1">
      <alignment horizontal="left" vertical="center" wrapText="1" readingOrder="1"/>
    </xf>
    <xf numFmtId="0" fontId="19" fillId="2" borderId="61" xfId="1" applyFont="1" applyFill="1" applyBorder="1" applyAlignment="1">
      <alignment horizontal="left" vertical="center" wrapText="1" readingOrder="1"/>
    </xf>
    <xf numFmtId="0" fontId="92" fillId="2" borderId="55" xfId="1" applyFont="1" applyFill="1" applyBorder="1" applyAlignment="1">
      <alignment horizontal="left" vertical="top" wrapText="1"/>
    </xf>
    <xf numFmtId="0" fontId="92" fillId="2" borderId="56" xfId="1" applyFont="1" applyFill="1" applyBorder="1" applyAlignment="1">
      <alignment horizontal="left" vertical="top" wrapText="1"/>
    </xf>
    <xf numFmtId="0" fontId="97" fillId="2" borderId="55" xfId="1" applyFont="1" applyFill="1" applyBorder="1" applyAlignment="1">
      <alignment horizontal="left" vertical="top" wrapText="1"/>
    </xf>
    <xf numFmtId="0" fontId="97" fillId="2" borderId="56" xfId="1" applyFont="1" applyFill="1" applyBorder="1" applyAlignment="1">
      <alignment horizontal="left" vertical="top" wrapText="1"/>
    </xf>
    <xf numFmtId="0" fontId="97" fillId="2" borderId="56" xfId="1" applyFont="1" applyFill="1" applyBorder="1" applyAlignment="1">
      <alignment horizontal="center" vertical="top" wrapText="1"/>
    </xf>
    <xf numFmtId="0" fontId="97" fillId="2" borderId="57" xfId="1" applyFont="1" applyFill="1" applyBorder="1" applyAlignment="1">
      <alignment horizontal="center" vertical="top" wrapText="1"/>
    </xf>
    <xf numFmtId="0" fontId="92" fillId="2" borderId="49" xfId="1" applyFont="1" applyFill="1" applyBorder="1" applyAlignment="1">
      <alignment horizontal="center" vertical="center" wrapText="1"/>
    </xf>
    <xf numFmtId="0" fontId="92" fillId="2" borderId="50" xfId="1" applyFont="1" applyFill="1" applyBorder="1" applyAlignment="1">
      <alignment horizontal="center" vertical="center" wrapText="1"/>
    </xf>
    <xf numFmtId="0" fontId="97" fillId="2" borderId="60" xfId="1" applyFont="1" applyFill="1" applyBorder="1" applyAlignment="1">
      <alignment horizontal="left" vertical="top" wrapText="1"/>
    </xf>
    <xf numFmtId="0" fontId="97" fillId="2" borderId="61" xfId="1" applyFont="1" applyFill="1" applyBorder="1" applyAlignment="1">
      <alignment horizontal="left" vertical="top" wrapText="1"/>
    </xf>
    <xf numFmtId="0" fontId="97" fillId="2" borderId="61" xfId="1" applyFont="1" applyFill="1" applyBorder="1" applyAlignment="1">
      <alignment horizontal="center" vertical="top" wrapText="1"/>
    </xf>
    <xf numFmtId="0" fontId="97" fillId="2" borderId="62" xfId="1" applyFont="1" applyFill="1" applyBorder="1" applyAlignment="1">
      <alignment horizontal="center" vertical="top" wrapText="1"/>
    </xf>
    <xf numFmtId="0" fontId="97" fillId="5" borderId="61" xfId="1" applyFont="1" applyFill="1" applyBorder="1" applyAlignment="1" applyProtection="1">
      <alignment horizontal="center" vertical="top" wrapText="1"/>
      <protection locked="0"/>
    </xf>
    <xf numFmtId="0" fontId="97" fillId="5" borderId="62" xfId="1" applyFont="1" applyFill="1" applyBorder="1" applyAlignment="1" applyProtection="1">
      <alignment horizontal="center" vertical="top" wrapText="1"/>
      <protection locked="0"/>
    </xf>
    <xf numFmtId="0" fontId="4" fillId="3" borderId="0" xfId="1" applyFont="1" applyFill="1" applyAlignment="1">
      <alignment horizontal="left"/>
    </xf>
    <xf numFmtId="175" fontId="8" fillId="2" borderId="44" xfId="1" applyNumberFormat="1" applyFont="1" applyFill="1" applyBorder="1" applyAlignment="1">
      <alignment horizontal="center"/>
    </xf>
    <xf numFmtId="175" fontId="8" fillId="2" borderId="45" xfId="1" applyNumberFormat="1" applyFont="1" applyFill="1" applyBorder="1" applyAlignment="1">
      <alignment horizontal="center"/>
    </xf>
    <xf numFmtId="175" fontId="8" fillId="2" borderId="46" xfId="1" applyNumberFormat="1" applyFont="1" applyFill="1" applyBorder="1" applyAlignment="1">
      <alignment horizontal="center"/>
    </xf>
    <xf numFmtId="0" fontId="92" fillId="2" borderId="49" xfId="1" applyFont="1" applyFill="1" applyBorder="1" applyAlignment="1">
      <alignment horizontal="center" vertical="top" wrapText="1"/>
    </xf>
    <xf numFmtId="0" fontId="92" fillId="2" borderId="50" xfId="1" applyFont="1" applyFill="1" applyBorder="1" applyAlignment="1">
      <alignment horizontal="center" vertical="top" wrapText="1"/>
    </xf>
    <xf numFmtId="0" fontId="92" fillId="2" borderId="51" xfId="1" applyFont="1" applyFill="1" applyBorder="1" applyAlignment="1">
      <alignment horizontal="center" vertical="top" wrapText="1"/>
    </xf>
    <xf numFmtId="0" fontId="8" fillId="2" borderId="44" xfId="1" applyFont="1" applyFill="1" applyBorder="1" applyAlignment="1">
      <alignment horizontal="left"/>
    </xf>
    <xf numFmtId="0" fontId="8" fillId="2" borderId="45" xfId="1" applyFont="1" applyFill="1" applyBorder="1" applyAlignment="1">
      <alignment horizontal="left"/>
    </xf>
    <xf numFmtId="0" fontId="8" fillId="2" borderId="46" xfId="1" applyFont="1" applyFill="1" applyBorder="1" applyAlignment="1">
      <alignment horizontal="left"/>
    </xf>
    <xf numFmtId="0" fontId="4" fillId="2" borderId="105" xfId="1" applyFont="1" applyFill="1" applyBorder="1" applyAlignment="1">
      <alignment horizontal="left"/>
    </xf>
    <xf numFmtId="174" fontId="4" fillId="0" borderId="184" xfId="7" applyNumberFormat="1" applyFont="1" applyFill="1" applyBorder="1" applyAlignment="1" applyProtection="1">
      <alignment horizontal="right"/>
    </xf>
    <xf numFmtId="174" fontId="4" fillId="0" borderId="105" xfId="7" applyNumberFormat="1" applyFont="1" applyFill="1" applyBorder="1" applyAlignment="1" applyProtection="1">
      <alignment horizontal="right"/>
    </xf>
    <xf numFmtId="174" fontId="4" fillId="0" borderId="169" xfId="7" applyNumberFormat="1" applyFont="1" applyFill="1" applyBorder="1" applyAlignment="1" applyProtection="1">
      <alignment horizontal="right"/>
    </xf>
    <xf numFmtId="0" fontId="8" fillId="10" borderId="44" xfId="1" applyFont="1" applyFill="1" applyBorder="1" applyAlignment="1">
      <alignment horizontal="center"/>
    </xf>
    <xf numFmtId="0" fontId="8" fillId="10" borderId="45" xfId="1" applyFont="1" applyFill="1" applyBorder="1" applyAlignment="1">
      <alignment horizontal="center"/>
    </xf>
    <xf numFmtId="0" fontId="8" fillId="10" borderId="46" xfId="1" applyFont="1" applyFill="1" applyBorder="1" applyAlignment="1">
      <alignment horizontal="center"/>
    </xf>
    <xf numFmtId="175" fontId="8" fillId="10" borderId="44" xfId="7" applyNumberFormat="1" applyFont="1" applyFill="1" applyBorder="1" applyAlignment="1" applyProtection="1">
      <alignment horizontal="center"/>
    </xf>
    <xf numFmtId="175" fontId="8" fillId="10" borderId="45" xfId="7" applyNumberFormat="1" applyFont="1" applyFill="1" applyBorder="1" applyAlignment="1" applyProtection="1">
      <alignment horizontal="center"/>
    </xf>
    <xf numFmtId="175" fontId="8" fillId="10" borderId="46" xfId="7" applyNumberFormat="1" applyFont="1" applyFill="1" applyBorder="1" applyAlignment="1" applyProtection="1">
      <alignment horizontal="center"/>
    </xf>
    <xf numFmtId="0" fontId="8" fillId="2" borderId="45" xfId="1" applyFont="1" applyFill="1" applyBorder="1" applyAlignment="1">
      <alignment horizontal="center" vertical="center"/>
    </xf>
    <xf numFmtId="0" fontId="8" fillId="2" borderId="46" xfId="1" applyFont="1" applyFill="1" applyBorder="1" applyAlignment="1">
      <alignment horizontal="center" vertical="center"/>
    </xf>
    <xf numFmtId="174" fontId="4" fillId="0" borderId="187" xfId="7" applyNumberFormat="1" applyFont="1" applyFill="1" applyBorder="1" applyAlignment="1" applyProtection="1">
      <alignment horizontal="right"/>
    </xf>
    <xf numFmtId="174" fontId="4" fillId="0" borderId="167" xfId="7" applyNumberFormat="1" applyFont="1" applyFill="1" applyBorder="1" applyAlignment="1" applyProtection="1">
      <alignment horizontal="right"/>
    </xf>
    <xf numFmtId="174" fontId="4" fillId="0" borderId="168" xfId="7" applyNumberFormat="1" applyFont="1" applyFill="1" applyBorder="1" applyAlignment="1" applyProtection="1">
      <alignment horizontal="right"/>
    </xf>
    <xf numFmtId="0" fontId="4" fillId="2" borderId="118" xfId="1" applyFont="1" applyFill="1" applyBorder="1" applyAlignment="1">
      <alignment horizontal="left"/>
    </xf>
    <xf numFmtId="174" fontId="4" fillId="2" borderId="0" xfId="1" applyNumberFormat="1" applyFont="1" applyFill="1" applyAlignment="1">
      <alignment horizontal="center"/>
    </xf>
    <xf numFmtId="0" fontId="4" fillId="2" borderId="102" xfId="1" applyFont="1" applyFill="1" applyBorder="1" applyAlignment="1">
      <alignment horizontal="left"/>
    </xf>
    <xf numFmtId="174" fontId="4" fillId="5" borderId="187" xfId="7" applyNumberFormat="1" applyFont="1" applyFill="1" applyBorder="1" applyAlignment="1" applyProtection="1">
      <alignment horizontal="right"/>
      <protection locked="0"/>
    </xf>
    <xf numFmtId="174" fontId="4" fillId="5" borderId="167" xfId="7" applyNumberFormat="1" applyFont="1" applyFill="1" applyBorder="1" applyAlignment="1" applyProtection="1">
      <alignment horizontal="right"/>
      <protection locked="0"/>
    </xf>
    <xf numFmtId="174" fontId="4" fillId="5" borderId="168" xfId="7" applyNumberFormat="1" applyFont="1" applyFill="1" applyBorder="1" applyAlignment="1" applyProtection="1">
      <alignment horizontal="right"/>
      <protection locked="0"/>
    </xf>
    <xf numFmtId="0" fontId="8" fillId="2" borderId="189" xfId="1" applyFont="1" applyFill="1" applyBorder="1" applyAlignment="1">
      <alignment horizontal="right" vertical="center"/>
    </xf>
    <xf numFmtId="0" fontId="8" fillId="2" borderId="194" xfId="1" applyFont="1" applyFill="1" applyBorder="1" applyAlignment="1">
      <alignment horizontal="right" vertical="center"/>
    </xf>
    <xf numFmtId="0" fontId="8" fillId="2" borderId="195" xfId="1" applyFont="1" applyFill="1" applyBorder="1" applyAlignment="1">
      <alignment horizontal="right" vertical="center"/>
    </xf>
    <xf numFmtId="0" fontId="8" fillId="2" borderId="193" xfId="1" applyFont="1" applyFill="1" applyBorder="1" applyAlignment="1">
      <alignment horizontal="center" vertical="center"/>
    </xf>
    <xf numFmtId="0" fontId="8" fillId="2" borderId="194" xfId="1" applyFont="1" applyFill="1" applyBorder="1" applyAlignment="1">
      <alignment horizontal="center" vertical="center"/>
    </xf>
    <xf numFmtId="0" fontId="8" fillId="2" borderId="196" xfId="1" applyFont="1" applyFill="1" applyBorder="1" applyAlignment="1">
      <alignment horizontal="center" vertical="center"/>
    </xf>
    <xf numFmtId="0" fontId="8" fillId="2" borderId="102" xfId="1" applyFont="1" applyFill="1" applyBorder="1" applyAlignment="1">
      <alignment horizontal="center"/>
    </xf>
    <xf numFmtId="9" fontId="4" fillId="2" borderId="203" xfId="1" applyNumberFormat="1" applyFont="1" applyFill="1" applyBorder="1" applyAlignment="1">
      <alignment horizontal="center"/>
    </xf>
    <xf numFmtId="0" fontId="4" fillId="2" borderId="102" xfId="1" applyFont="1" applyFill="1" applyBorder="1" applyAlignment="1">
      <alignment horizontal="center"/>
    </xf>
    <xf numFmtId="0" fontId="4" fillId="2" borderId="197" xfId="1" applyFont="1" applyFill="1" applyBorder="1" applyAlignment="1">
      <alignment horizontal="center"/>
    </xf>
    <xf numFmtId="0" fontId="96" fillId="2" borderId="0" xfId="1" applyFont="1" applyFill="1" applyAlignment="1">
      <alignment horizontal="center" vertical="center"/>
    </xf>
    <xf numFmtId="0" fontId="8" fillId="2" borderId="200" xfId="1" applyFont="1" applyFill="1" applyBorder="1" applyAlignment="1">
      <alignment horizontal="center" vertical="center"/>
    </xf>
    <xf numFmtId="0" fontId="8" fillId="2" borderId="201" xfId="1" applyFont="1" applyFill="1" applyBorder="1" applyAlignment="1">
      <alignment horizontal="center" vertical="center"/>
    </xf>
    <xf numFmtId="0" fontId="8" fillId="2" borderId="175" xfId="1" applyFont="1" applyFill="1" applyBorder="1" applyAlignment="1">
      <alignment horizontal="center" vertical="center"/>
    </xf>
    <xf numFmtId="0" fontId="8" fillId="2" borderId="42" xfId="1" applyFont="1" applyFill="1" applyBorder="1" applyAlignment="1">
      <alignment horizontal="center" vertical="center"/>
    </xf>
    <xf numFmtId="0" fontId="8" fillId="2" borderId="163" xfId="1" applyFont="1" applyFill="1" applyBorder="1" applyAlignment="1">
      <alignment horizontal="center" vertical="center"/>
    </xf>
    <xf numFmtId="0" fontId="8" fillId="2" borderId="41" xfId="1" applyFont="1" applyFill="1" applyBorder="1" applyAlignment="1">
      <alignment horizontal="center" vertical="center"/>
    </xf>
    <xf numFmtId="0" fontId="8" fillId="2" borderId="43" xfId="1" applyFont="1" applyFill="1" applyBorder="1" applyAlignment="1">
      <alignment horizontal="center" vertical="center"/>
    </xf>
    <xf numFmtId="0" fontId="45" fillId="7" borderId="108" xfId="0" applyFont="1" applyFill="1" applyBorder="1" applyAlignment="1">
      <alignment horizontal="center"/>
    </xf>
    <xf numFmtId="0" fontId="45" fillId="7" borderId="109" xfId="0" applyFont="1" applyFill="1" applyBorder="1" applyAlignment="1">
      <alignment horizontal="center"/>
    </xf>
    <xf numFmtId="0" fontId="0" fillId="0" borderId="0" xfId="0" applyAlignment="1">
      <alignment horizontal="center"/>
    </xf>
    <xf numFmtId="0" fontId="39" fillId="9" borderId="99" xfId="0" applyFont="1" applyFill="1" applyBorder="1" applyAlignment="1">
      <alignment horizontal="left" vertical="center"/>
    </xf>
    <xf numFmtId="0" fontId="39" fillId="9" borderId="0" xfId="0" applyFont="1" applyFill="1" applyAlignment="1">
      <alignment horizontal="left" vertical="center"/>
    </xf>
    <xf numFmtId="0" fontId="39" fillId="9" borderId="100" xfId="0" applyFont="1" applyFill="1" applyBorder="1" applyAlignment="1">
      <alignment horizontal="left" vertical="center"/>
    </xf>
    <xf numFmtId="0" fontId="52" fillId="0" borderId="0" xfId="3" applyFont="1" applyAlignment="1">
      <alignment vertical="center"/>
    </xf>
    <xf numFmtId="0" fontId="38" fillId="15" borderId="0" xfId="3" applyFont="1" applyFill="1" applyAlignment="1">
      <alignment horizontal="center"/>
    </xf>
    <xf numFmtId="0" fontId="57" fillId="9" borderId="0" xfId="3" applyFont="1" applyFill="1" applyAlignment="1">
      <alignment horizontal="center" vertical="center" wrapText="1"/>
    </xf>
    <xf numFmtId="0" fontId="58" fillId="16" borderId="102" xfId="3" applyFont="1" applyFill="1" applyBorder="1" applyAlignment="1">
      <alignment horizontal="center" vertical="center" wrapText="1"/>
    </xf>
    <xf numFmtId="0" fontId="58" fillId="16" borderId="103" xfId="3" applyFont="1" applyFill="1" applyBorder="1" applyAlignment="1">
      <alignment horizontal="center" vertical="center" wrapText="1"/>
    </xf>
    <xf numFmtId="49" fontId="59" fillId="17" borderId="104" xfId="3" applyNumberFormat="1" applyFont="1" applyFill="1" applyBorder="1" applyAlignment="1">
      <alignment horizontal="center" vertical="center"/>
    </xf>
    <xf numFmtId="49" fontId="59" fillId="17" borderId="105" xfId="3" applyNumberFormat="1" applyFont="1" applyFill="1" applyBorder="1" applyAlignment="1">
      <alignment horizontal="center" vertical="center"/>
    </xf>
    <xf numFmtId="49" fontId="59" fillId="17" borderId="106" xfId="3" applyNumberFormat="1" applyFont="1" applyFill="1" applyBorder="1" applyAlignment="1">
      <alignment horizontal="center" vertical="center"/>
    </xf>
    <xf numFmtId="0" fontId="40" fillId="15" borderId="118" xfId="3" applyFont="1" applyFill="1" applyBorder="1" applyAlignment="1">
      <alignment horizontal="center" vertical="center" wrapText="1"/>
    </xf>
    <xf numFmtId="0" fontId="40" fillId="15" borderId="102" xfId="3" applyFont="1" applyFill="1" applyBorder="1" applyAlignment="1">
      <alignment horizontal="center" vertical="center" wrapText="1"/>
    </xf>
    <xf numFmtId="0" fontId="58" fillId="15" borderId="105" xfId="3" applyFont="1" applyFill="1" applyBorder="1" applyAlignment="1">
      <alignment horizontal="center"/>
    </xf>
    <xf numFmtId="0" fontId="58" fillId="15" borderId="106" xfId="3" applyFont="1" applyFill="1" applyBorder="1" applyAlignment="1">
      <alignment horizontal="center"/>
    </xf>
  </cellXfs>
  <cellStyles count="10">
    <cellStyle name="Hipervínculo" xfId="2" builtinId="8"/>
    <cellStyle name="Millares [0] 2" xfId="6" xr:uid="{D93BC491-B430-433B-AD3F-DA066BD07F68}"/>
    <cellStyle name="Moneda" xfId="4" builtinId="4"/>
    <cellStyle name="Moneda 2" xfId="7" xr:uid="{C19538E3-1787-408D-B475-FA9195016E27}"/>
    <cellStyle name="Normal" xfId="0" builtinId="0"/>
    <cellStyle name="Normal 2" xfId="1" xr:uid="{8D7C3983-932B-4808-9108-1AB8D536495F}"/>
    <cellStyle name="Normal 2 2" xfId="3" xr:uid="{A33866D8-86CA-451D-9EB5-815151E31046}"/>
    <cellStyle name="Normal 3" xfId="5" xr:uid="{0C95ECE4-51D3-405A-9254-623FFA0ED66B}"/>
    <cellStyle name="Porcentaje" xfId="9" builtinId="5"/>
    <cellStyle name="Porcentaje 2" xfId="8" xr:uid="{F3106486-DB62-4650-A9BC-CA770CC157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5050"/>
      <color rgb="FFFB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connections" Target="connections.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22/10/relationships/richValueRel" Target="richData/richValueRel.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Tasa Variación PIB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Proyecciones!$C$5</c:f>
              <c:strCache>
                <c:ptCount val="1"/>
                <c:pt idx="0">
                  <c:v>Tasa Variación</c:v>
                </c:pt>
              </c:strCache>
            </c:strRef>
          </c:tx>
          <c:spPr>
            <a:ln w="28575" cap="rnd">
              <a:solidFill>
                <a:schemeClr val="accent1"/>
              </a:solidFill>
              <a:round/>
            </a:ln>
            <a:effectLst/>
          </c:spPr>
          <c:marker>
            <c:symbol val="none"/>
          </c:marker>
          <c:trendline>
            <c:spPr>
              <a:ln w="19050" cap="rnd">
                <a:solidFill>
                  <a:srgbClr val="FF0000"/>
                </a:solidFill>
                <a:prstDash val="dash"/>
              </a:ln>
              <a:effectLst/>
            </c:spPr>
            <c:trendlineType val="poly"/>
            <c:order val="6"/>
            <c:dispRSqr val="1"/>
            <c:dispEq val="1"/>
            <c:trendlineLbl>
              <c:layout>
                <c:manualLayout>
                  <c:x val="-4.771528585039761E-2"/>
                  <c:y val="-0.16554632460538957"/>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-0,0001x</a:t>
                    </a:r>
                    <a:r>
                      <a:rPr lang="en-US" baseline="30000"/>
                      <a:t>6</a:t>
                    </a:r>
                    <a:r>
                      <a:rPr lang="en-US" baseline="0"/>
                      <a:t> + 0,0078x</a:t>
                    </a:r>
                    <a:r>
                      <a:rPr lang="en-US" baseline="30000"/>
                      <a:t>5</a:t>
                    </a:r>
                    <a:r>
                      <a:rPr lang="en-US" baseline="0"/>
                      <a:t> - 0,1769x</a:t>
                    </a:r>
                    <a:r>
                      <a:rPr lang="en-US" baseline="30000"/>
                      <a:t>4</a:t>
                    </a:r>
                    <a:r>
                      <a:rPr lang="en-US" baseline="0"/>
                      <a:t> + 1,9316x</a:t>
                    </a:r>
                    <a:r>
                      <a:rPr lang="en-US" baseline="30000"/>
                      <a:t>3</a:t>
                    </a:r>
                    <a:r>
                      <a:rPr lang="en-US" baseline="0"/>
                      <a:t> - 10,379x</a:t>
                    </a:r>
                    <a:r>
                      <a:rPr lang="en-US" baseline="30000"/>
                      <a:t>2</a:t>
                    </a:r>
                    <a:r>
                      <a:rPr lang="en-US" baseline="0"/>
                      <a:t> + 24,817x - 14,343</a:t>
                    </a:r>
                    <a:br>
                      <a:rPr lang="en-US" baseline="0"/>
                    </a:br>
                    <a:r>
                      <a:rPr lang="en-US" baseline="0"/>
                      <a:t>R² = 0,6513</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cat>
            <c:strRef>
              <c:f>Proyecciones!$B$6:$B$23</c:f>
              <c:strCache>
                <c:ptCount val="18"/>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2021p</c:v>
                </c:pt>
                <c:pt idx="16">
                  <c:v>2022p</c:v>
                </c:pt>
                <c:pt idx="17">
                  <c:v>2023pr</c:v>
                </c:pt>
              </c:strCache>
            </c:strRef>
          </c:cat>
          <c:val>
            <c:numRef>
              <c:f>Proyecciones!$C$6:$C$23</c:f>
              <c:numCache>
                <c:formatCode>#,##0.0</c:formatCode>
                <c:ptCount val="18"/>
                <c:pt idx="0">
                  <c:v>1.37</c:v>
                </c:pt>
                <c:pt idx="1">
                  <c:v>8.26</c:v>
                </c:pt>
                <c:pt idx="2">
                  <c:v>5.6</c:v>
                </c:pt>
                <c:pt idx="3">
                  <c:v>3.1</c:v>
                </c:pt>
                <c:pt idx="4">
                  <c:v>2.7</c:v>
                </c:pt>
                <c:pt idx="5">
                  <c:v>5.8</c:v>
                </c:pt>
                <c:pt idx="6">
                  <c:v>5.5</c:v>
                </c:pt>
                <c:pt idx="7">
                  <c:v>4.9000000000000004</c:v>
                </c:pt>
                <c:pt idx="8">
                  <c:v>4.9000000000000004</c:v>
                </c:pt>
                <c:pt idx="9">
                  <c:v>4.3</c:v>
                </c:pt>
                <c:pt idx="10">
                  <c:v>5</c:v>
                </c:pt>
                <c:pt idx="11">
                  <c:v>3.8</c:v>
                </c:pt>
                <c:pt idx="12">
                  <c:v>7.4708257814238834</c:v>
                </c:pt>
                <c:pt idx="13">
                  <c:v>3.7</c:v>
                </c:pt>
                <c:pt idx="14">
                  <c:v>-4.0999999999999996</c:v>
                </c:pt>
                <c:pt idx="15">
                  <c:v>0.7</c:v>
                </c:pt>
                <c:pt idx="16">
                  <c:v>8.3000000000000007</c:v>
                </c:pt>
                <c:pt idx="17">
                  <c:v>0.2</c:v>
                </c:pt>
              </c:numCache>
            </c:numRef>
          </c:val>
          <c:smooth val="0"/>
          <c:extLst>
            <c:ext xmlns:c16="http://schemas.microsoft.com/office/drawing/2014/chart" uri="{C3380CC4-5D6E-409C-BE32-E72D297353CC}">
              <c16:uniqueId val="{00000001-307B-448C-BE59-308478FBA194}"/>
            </c:ext>
          </c:extLst>
        </c:ser>
        <c:dLbls>
          <c:showLegendKey val="0"/>
          <c:showVal val="0"/>
          <c:showCatName val="0"/>
          <c:showSerName val="0"/>
          <c:showPercent val="0"/>
          <c:showBubbleSize val="0"/>
        </c:dLbls>
        <c:smooth val="0"/>
        <c:axId val="376104735"/>
        <c:axId val="376096095"/>
      </c:lineChart>
      <c:catAx>
        <c:axId val="37610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76096095"/>
        <c:crosses val="autoZero"/>
        <c:auto val="1"/>
        <c:lblAlgn val="ctr"/>
        <c:lblOffset val="100"/>
        <c:noMultiLvlLbl val="0"/>
      </c:catAx>
      <c:valAx>
        <c:axId val="376096095"/>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76104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Tasa Variación IPC</a:t>
            </a:r>
          </a:p>
        </c:rich>
      </c:tx>
      <c:overlay val="0"/>
      <c:spPr>
        <a:noFill/>
        <a:ln>
          <a:noFill/>
        </a:ln>
        <a:effectLst/>
      </c:spPr>
    </c:title>
    <c:autoTitleDeleted val="0"/>
    <c:plotArea>
      <c:layout/>
      <c:lineChart>
        <c:grouping val="standard"/>
        <c:varyColors val="0"/>
        <c:ser>
          <c:idx val="2"/>
          <c:order val="0"/>
          <c:tx>
            <c:strRef>
              <c:f>Proyecciones!$P$5</c:f>
              <c:strCache>
                <c:ptCount val="1"/>
                <c:pt idx="0">
                  <c:v>Tasa Variación</c:v>
                </c:pt>
              </c:strCache>
            </c:strRef>
          </c:tx>
          <c:marker>
            <c:symbol val="none"/>
          </c:marker>
          <c:cat>
            <c:numRef>
              <c:f>Proyecciones!$O$6:$O$19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Proyecciones!$P$6:$P$19</c:f>
              <c:numCache>
                <c:formatCode>#,##0.00</c:formatCode>
                <c:ptCount val="14"/>
                <c:pt idx="0">
                  <c:v>3.55</c:v>
                </c:pt>
                <c:pt idx="1">
                  <c:v>4.34</c:v>
                </c:pt>
                <c:pt idx="2">
                  <c:v>3.92</c:v>
                </c:pt>
                <c:pt idx="3">
                  <c:v>3.64</c:v>
                </c:pt>
                <c:pt idx="4">
                  <c:v>3.52</c:v>
                </c:pt>
                <c:pt idx="5">
                  <c:v>4.53</c:v>
                </c:pt>
                <c:pt idx="6">
                  <c:v>5.46</c:v>
                </c:pt>
                <c:pt idx="7">
                  <c:v>5.52</c:v>
                </c:pt>
                <c:pt idx="8">
                  <c:v>3.65</c:v>
                </c:pt>
                <c:pt idx="9">
                  <c:v>3.75</c:v>
                </c:pt>
                <c:pt idx="10">
                  <c:v>1.6</c:v>
                </c:pt>
                <c:pt idx="11">
                  <c:v>2.48</c:v>
                </c:pt>
                <c:pt idx="12">
                  <c:v>7.35</c:v>
                </c:pt>
                <c:pt idx="13">
                  <c:v>9.33</c:v>
                </c:pt>
              </c:numCache>
            </c:numRef>
          </c:val>
          <c:smooth val="0"/>
          <c:extLst>
            <c:ext xmlns:c16="http://schemas.microsoft.com/office/drawing/2014/chart" uri="{C3380CC4-5D6E-409C-BE32-E72D297353CC}">
              <c16:uniqueId val="{0000000A-5460-4CC6-8152-C83D636A84CA}"/>
            </c:ext>
          </c:extLst>
        </c:ser>
        <c:ser>
          <c:idx val="3"/>
          <c:order val="1"/>
          <c:tx>
            <c:strRef>
              <c:f>Proyecciones!$P$5</c:f>
              <c:strCache>
                <c:ptCount val="1"/>
                <c:pt idx="0">
                  <c:v>Tasa Variación</c:v>
                </c:pt>
              </c:strCache>
            </c:strRef>
          </c:tx>
          <c:spPr>
            <a:ln w="28575" cap="rnd">
              <a:solidFill>
                <a:schemeClr val="accent1"/>
              </a:solidFill>
              <a:round/>
            </a:ln>
            <a:effectLst/>
          </c:spPr>
          <c:marker>
            <c:symbol val="none"/>
          </c:marker>
          <c:cat>
            <c:numRef>
              <c:f>Proyecciones!$O$6:$O$19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Proyecciones!$P$6:$P$19</c:f>
              <c:numCache>
                <c:formatCode>#,##0.00</c:formatCode>
                <c:ptCount val="14"/>
                <c:pt idx="0">
                  <c:v>3.55</c:v>
                </c:pt>
                <c:pt idx="1">
                  <c:v>4.34</c:v>
                </c:pt>
                <c:pt idx="2">
                  <c:v>3.92</c:v>
                </c:pt>
                <c:pt idx="3">
                  <c:v>3.64</c:v>
                </c:pt>
                <c:pt idx="4">
                  <c:v>3.52</c:v>
                </c:pt>
                <c:pt idx="5">
                  <c:v>4.53</c:v>
                </c:pt>
                <c:pt idx="6">
                  <c:v>5.46</c:v>
                </c:pt>
                <c:pt idx="7">
                  <c:v>5.52</c:v>
                </c:pt>
                <c:pt idx="8">
                  <c:v>3.65</c:v>
                </c:pt>
                <c:pt idx="9">
                  <c:v>3.75</c:v>
                </c:pt>
                <c:pt idx="10">
                  <c:v>1.6</c:v>
                </c:pt>
                <c:pt idx="11">
                  <c:v>2.48</c:v>
                </c:pt>
                <c:pt idx="12">
                  <c:v>7.35</c:v>
                </c:pt>
                <c:pt idx="13">
                  <c:v>9.33</c:v>
                </c:pt>
              </c:numCache>
            </c:numRef>
          </c:val>
          <c:smooth val="0"/>
          <c:extLst>
            <c:ext xmlns:c16="http://schemas.microsoft.com/office/drawing/2014/chart" uri="{C3380CC4-5D6E-409C-BE32-E72D297353CC}">
              <c16:uniqueId val="{0000000B-5460-4CC6-8152-C83D636A84CA}"/>
            </c:ext>
          </c:extLst>
        </c:ser>
        <c:ser>
          <c:idx val="1"/>
          <c:order val="2"/>
          <c:tx>
            <c:strRef>
              <c:f>Proyecciones!$P$5</c:f>
              <c:strCache>
                <c:ptCount val="1"/>
                <c:pt idx="0">
                  <c:v>Tasa Variación</c:v>
                </c:pt>
              </c:strCache>
            </c:strRef>
          </c:tx>
          <c:marker>
            <c:symbol val="none"/>
          </c:marker>
          <c:cat>
            <c:numRef>
              <c:f>Proyecciones!$O$6:$O$19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Proyecciones!$P$6:$P$19</c:f>
              <c:numCache>
                <c:formatCode>#,##0.00</c:formatCode>
                <c:ptCount val="14"/>
                <c:pt idx="0">
                  <c:v>3.55</c:v>
                </c:pt>
                <c:pt idx="1">
                  <c:v>4.34</c:v>
                </c:pt>
                <c:pt idx="2">
                  <c:v>3.92</c:v>
                </c:pt>
                <c:pt idx="3">
                  <c:v>3.64</c:v>
                </c:pt>
                <c:pt idx="4">
                  <c:v>3.52</c:v>
                </c:pt>
                <c:pt idx="5">
                  <c:v>4.53</c:v>
                </c:pt>
                <c:pt idx="6">
                  <c:v>5.46</c:v>
                </c:pt>
                <c:pt idx="7">
                  <c:v>5.52</c:v>
                </c:pt>
                <c:pt idx="8">
                  <c:v>3.65</c:v>
                </c:pt>
                <c:pt idx="9">
                  <c:v>3.75</c:v>
                </c:pt>
                <c:pt idx="10">
                  <c:v>1.6</c:v>
                </c:pt>
                <c:pt idx="11">
                  <c:v>2.48</c:v>
                </c:pt>
                <c:pt idx="12">
                  <c:v>7.35</c:v>
                </c:pt>
                <c:pt idx="13">
                  <c:v>9.33</c:v>
                </c:pt>
              </c:numCache>
            </c:numRef>
          </c:val>
          <c:smooth val="0"/>
          <c:extLst>
            <c:ext xmlns:c16="http://schemas.microsoft.com/office/drawing/2014/chart" uri="{C3380CC4-5D6E-409C-BE32-E72D297353CC}">
              <c16:uniqueId val="{00000006-5460-4CC6-8152-C83D636A84CA}"/>
            </c:ext>
          </c:extLst>
        </c:ser>
        <c:ser>
          <c:idx val="0"/>
          <c:order val="3"/>
          <c:tx>
            <c:strRef>
              <c:f>Proyecciones!$P$5</c:f>
              <c:strCache>
                <c:ptCount val="1"/>
                <c:pt idx="0">
                  <c:v>Tasa Variación</c:v>
                </c:pt>
              </c:strCache>
            </c:strRef>
          </c:tx>
          <c:spPr>
            <a:ln w="28575" cap="rnd">
              <a:solidFill>
                <a:schemeClr val="accent1"/>
              </a:solidFill>
              <a:round/>
            </a:ln>
            <a:effectLst/>
          </c:spPr>
          <c:marker>
            <c:symbol val="none"/>
          </c:marker>
          <c:trendline>
            <c:spPr>
              <a:ln w="19050" cap="rnd">
                <a:solidFill>
                  <a:srgbClr val="FF0000"/>
                </a:solidFill>
                <a:prstDash val="dash"/>
              </a:ln>
              <a:effectLst/>
            </c:spPr>
            <c:trendlineType val="poly"/>
            <c:order val="6"/>
            <c:dispRSqr val="1"/>
            <c:dispEq val="1"/>
            <c:trendlineLbl>
              <c:layout>
                <c:manualLayout>
                  <c:x val="3.2284339457567805E-2"/>
                  <c:y val="-5.85130582081495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cat>
            <c:numRef>
              <c:f>Proyecciones!$O$6:$O$19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Proyecciones!$P$6:$P$19</c:f>
              <c:numCache>
                <c:formatCode>#,##0.00</c:formatCode>
                <c:ptCount val="14"/>
                <c:pt idx="0">
                  <c:v>3.55</c:v>
                </c:pt>
                <c:pt idx="1">
                  <c:v>4.34</c:v>
                </c:pt>
                <c:pt idx="2">
                  <c:v>3.92</c:v>
                </c:pt>
                <c:pt idx="3">
                  <c:v>3.64</c:v>
                </c:pt>
                <c:pt idx="4">
                  <c:v>3.52</c:v>
                </c:pt>
                <c:pt idx="5">
                  <c:v>4.53</c:v>
                </c:pt>
                <c:pt idx="6">
                  <c:v>5.46</c:v>
                </c:pt>
                <c:pt idx="7">
                  <c:v>5.52</c:v>
                </c:pt>
                <c:pt idx="8">
                  <c:v>3.65</c:v>
                </c:pt>
                <c:pt idx="9">
                  <c:v>3.75</c:v>
                </c:pt>
                <c:pt idx="10">
                  <c:v>1.6</c:v>
                </c:pt>
                <c:pt idx="11">
                  <c:v>2.48</c:v>
                </c:pt>
                <c:pt idx="12">
                  <c:v>7.35</c:v>
                </c:pt>
                <c:pt idx="13">
                  <c:v>9.33</c:v>
                </c:pt>
              </c:numCache>
            </c:numRef>
          </c:val>
          <c:smooth val="0"/>
          <c:extLst>
            <c:ext xmlns:c16="http://schemas.microsoft.com/office/drawing/2014/chart" uri="{C3380CC4-5D6E-409C-BE32-E72D297353CC}">
              <c16:uniqueId val="{00000009-5460-4CC6-8152-C83D636A84CA}"/>
            </c:ext>
          </c:extLst>
        </c:ser>
        <c:dLbls>
          <c:showLegendKey val="0"/>
          <c:showVal val="0"/>
          <c:showCatName val="0"/>
          <c:showSerName val="0"/>
          <c:showPercent val="0"/>
          <c:showBubbleSize val="0"/>
        </c:dLbls>
        <c:smooth val="0"/>
        <c:axId val="92768159"/>
        <c:axId val="92770079"/>
      </c:lineChart>
      <c:catAx>
        <c:axId val="9276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2770079"/>
        <c:crosses val="autoZero"/>
        <c:auto val="1"/>
        <c:lblAlgn val="ctr"/>
        <c:lblOffset val="100"/>
        <c:noMultiLvlLbl val="0"/>
      </c:catAx>
      <c:valAx>
        <c:axId val="927700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2768159"/>
        <c:crosses val="autoZero"/>
        <c:crossBetween val="between"/>
      </c:valAx>
    </c:plotArea>
    <c:plotVisOnly val="1"/>
    <c:dispBlanksAs val="gap"/>
    <c:showDLblsOverMax val="0"/>
  </c:chart>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variación salario minimo</a:t>
            </a:r>
          </a:p>
        </c:rich>
      </c:tx>
      <c:overlay val="0"/>
      <c:spPr>
        <a:noFill/>
        <a:ln>
          <a:noFill/>
        </a:ln>
        <a:effectLst/>
      </c:spPr>
    </c:title>
    <c:autoTitleDeleted val="0"/>
    <c:plotArea>
      <c:layout>
        <c:manualLayout>
          <c:layoutTarget val="inner"/>
          <c:xMode val="edge"/>
          <c:yMode val="edge"/>
          <c:x val="8.485245729430084E-2"/>
          <c:y val="0.20160520056063141"/>
          <c:w val="0.87623614273786998"/>
          <c:h val="0.7723998221661077"/>
        </c:manualLayout>
      </c:layout>
      <c:lineChart>
        <c:grouping val="standard"/>
        <c:varyColors val="0"/>
        <c:ser>
          <c:idx val="1"/>
          <c:order val="0"/>
          <c:tx>
            <c:strRef>
              <c:f>Proyecciones!$C$51</c:f>
              <c:strCache>
                <c:ptCount val="1"/>
              </c:strCache>
            </c:strRef>
          </c:tx>
          <c:marker>
            <c:symbol val="none"/>
          </c:marker>
          <c:cat>
            <c:numRef>
              <c:f>Proyecciones!$B$52:$B$90</c:f>
              <c:numCache>
                <c:formatCode>General</c:formatCode>
                <c:ptCount val="39"/>
              </c:numCache>
            </c:numRef>
          </c:cat>
          <c:val>
            <c:numRef>
              <c:f>Proyecciones!$C$6:$C$28</c:f>
              <c:numCache>
                <c:formatCode>#,##0.0</c:formatCode>
                <c:ptCount val="23"/>
                <c:pt idx="0">
                  <c:v>1.37</c:v>
                </c:pt>
                <c:pt idx="1">
                  <c:v>8.26</c:v>
                </c:pt>
                <c:pt idx="2">
                  <c:v>5.6</c:v>
                </c:pt>
                <c:pt idx="3">
                  <c:v>3.1</c:v>
                </c:pt>
                <c:pt idx="4">
                  <c:v>2.7</c:v>
                </c:pt>
                <c:pt idx="5">
                  <c:v>5.8</c:v>
                </c:pt>
                <c:pt idx="6">
                  <c:v>5.5</c:v>
                </c:pt>
                <c:pt idx="7">
                  <c:v>4.9000000000000004</c:v>
                </c:pt>
                <c:pt idx="8">
                  <c:v>4.9000000000000004</c:v>
                </c:pt>
                <c:pt idx="9">
                  <c:v>4.3</c:v>
                </c:pt>
                <c:pt idx="10">
                  <c:v>5</c:v>
                </c:pt>
                <c:pt idx="11">
                  <c:v>3.8</c:v>
                </c:pt>
                <c:pt idx="12">
                  <c:v>7.4708257814238834</c:v>
                </c:pt>
                <c:pt idx="13">
                  <c:v>3.7</c:v>
                </c:pt>
                <c:pt idx="14">
                  <c:v>-4.0999999999999996</c:v>
                </c:pt>
                <c:pt idx="15">
                  <c:v>0.7</c:v>
                </c:pt>
                <c:pt idx="16">
                  <c:v>8.3000000000000007</c:v>
                </c:pt>
                <c:pt idx="17">
                  <c:v>0.2</c:v>
                </c:pt>
                <c:pt idx="18" formatCode="0.00">
                  <c:v>1.8574000000000019</c:v>
                </c:pt>
                <c:pt idx="19" formatCode="0.00">
                  <c:v>6.6406000000000027</c:v>
                </c:pt>
                <c:pt idx="20" formatCode="0.00">
                  <c:v>6.343799999999991</c:v>
                </c:pt>
                <c:pt idx="21" formatCode="0.00">
                  <c:v>4.7746000000000102</c:v>
                </c:pt>
                <c:pt idx="22" formatCode="0.00">
                  <c:v>3.9670000000000307</c:v>
                </c:pt>
              </c:numCache>
            </c:numRef>
          </c:val>
          <c:smooth val="0"/>
          <c:extLst>
            <c:ext xmlns:c16="http://schemas.microsoft.com/office/drawing/2014/chart" uri="{C3380CC4-5D6E-409C-BE32-E72D297353CC}">
              <c16:uniqueId val="{00000004-D53D-428D-99F6-9B61C928A334}"/>
            </c:ext>
          </c:extLst>
        </c:ser>
        <c:ser>
          <c:idx val="0"/>
          <c:order val="1"/>
          <c:tx>
            <c:strRef>
              <c:f>Proyecciones!$C$51</c:f>
              <c:strCache>
                <c:ptCount val="1"/>
              </c:strCache>
            </c:strRef>
          </c:tx>
          <c:spPr>
            <a:ln w="28575" cap="rnd">
              <a:solidFill>
                <a:schemeClr val="accent1"/>
              </a:solidFill>
              <a:round/>
            </a:ln>
            <a:effectLst/>
          </c:spPr>
          <c:marker>
            <c:symbol val="none"/>
          </c:marker>
          <c:trendline>
            <c:spPr>
              <a:ln w="19050" cap="rnd">
                <a:solidFill>
                  <a:srgbClr val="FF0000"/>
                </a:solidFill>
                <a:prstDash val="dash"/>
              </a:ln>
              <a:effectLst/>
            </c:spPr>
            <c:trendlineType val="poly"/>
            <c:order val="6"/>
            <c:dispRSqr val="1"/>
            <c:dispEq val="1"/>
            <c:trendlineLbl>
              <c:layout>
                <c:manualLayout>
                  <c:x val="3.2284339457567805E-2"/>
                  <c:y val="-5.85130582081495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cat>
            <c:numRef>
              <c:f>Proyecciones!$B$52:$B$90</c:f>
              <c:numCache>
                <c:formatCode>General</c:formatCode>
                <c:ptCount val="39"/>
              </c:numCache>
            </c:numRef>
          </c:cat>
          <c:val>
            <c:numRef>
              <c:f>Proyecciones!$C$6:$C$28</c:f>
              <c:numCache>
                <c:formatCode>#,##0.0</c:formatCode>
                <c:ptCount val="23"/>
                <c:pt idx="0">
                  <c:v>1.37</c:v>
                </c:pt>
                <c:pt idx="1">
                  <c:v>8.26</c:v>
                </c:pt>
                <c:pt idx="2">
                  <c:v>5.6</c:v>
                </c:pt>
                <c:pt idx="3">
                  <c:v>3.1</c:v>
                </c:pt>
                <c:pt idx="4">
                  <c:v>2.7</c:v>
                </c:pt>
                <c:pt idx="5">
                  <c:v>5.8</c:v>
                </c:pt>
                <c:pt idx="6">
                  <c:v>5.5</c:v>
                </c:pt>
                <c:pt idx="7">
                  <c:v>4.9000000000000004</c:v>
                </c:pt>
                <c:pt idx="8">
                  <c:v>4.9000000000000004</c:v>
                </c:pt>
                <c:pt idx="9">
                  <c:v>4.3</c:v>
                </c:pt>
                <c:pt idx="10">
                  <c:v>5</c:v>
                </c:pt>
                <c:pt idx="11">
                  <c:v>3.8</c:v>
                </c:pt>
                <c:pt idx="12">
                  <c:v>7.4708257814238834</c:v>
                </c:pt>
                <c:pt idx="13">
                  <c:v>3.7</c:v>
                </c:pt>
                <c:pt idx="14">
                  <c:v>-4.0999999999999996</c:v>
                </c:pt>
                <c:pt idx="15">
                  <c:v>0.7</c:v>
                </c:pt>
                <c:pt idx="16">
                  <c:v>8.3000000000000007</c:v>
                </c:pt>
                <c:pt idx="17">
                  <c:v>0.2</c:v>
                </c:pt>
                <c:pt idx="18" formatCode="0.00">
                  <c:v>1.8574000000000019</c:v>
                </c:pt>
                <c:pt idx="19" formatCode="0.00">
                  <c:v>6.6406000000000027</c:v>
                </c:pt>
                <c:pt idx="20" formatCode="0.00">
                  <c:v>6.343799999999991</c:v>
                </c:pt>
                <c:pt idx="21" formatCode="0.00">
                  <c:v>4.7746000000000102</c:v>
                </c:pt>
                <c:pt idx="22" formatCode="0.00">
                  <c:v>3.9670000000000307</c:v>
                </c:pt>
              </c:numCache>
            </c:numRef>
          </c:val>
          <c:smooth val="0"/>
          <c:extLst>
            <c:ext xmlns:c16="http://schemas.microsoft.com/office/drawing/2014/chart" uri="{C3380CC4-5D6E-409C-BE32-E72D297353CC}">
              <c16:uniqueId val="{00000003-D53D-428D-99F6-9B61C928A334}"/>
            </c:ext>
          </c:extLst>
        </c:ser>
        <c:dLbls>
          <c:showLegendKey val="0"/>
          <c:showVal val="0"/>
          <c:showCatName val="0"/>
          <c:showSerName val="0"/>
          <c:showPercent val="0"/>
          <c:showBubbleSize val="0"/>
        </c:dLbls>
        <c:smooth val="0"/>
        <c:axId val="92768159"/>
        <c:axId val="92770079"/>
      </c:lineChart>
      <c:catAx>
        <c:axId val="9276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2770079"/>
        <c:crosses val="autoZero"/>
        <c:auto val="1"/>
        <c:lblAlgn val="ctr"/>
        <c:lblOffset val="100"/>
        <c:noMultiLvlLbl val="0"/>
      </c:catAx>
      <c:valAx>
        <c:axId val="927700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2768159"/>
        <c:crosses val="autoZero"/>
        <c:crossBetween val="between"/>
      </c:valAx>
    </c:plotArea>
    <c:plotVisOnly val="1"/>
    <c:dispBlanksAs val="gap"/>
    <c:showDLblsOverMax val="0"/>
  </c:chart>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2">
  <dgm:title val=""/>
  <dgm:desc val=""/>
  <dgm:catLst>
    <dgm:cat type="colorful" pri="10200"/>
  </dgm:catLst>
  <dgm:styleLbl name="node0">
    <dgm:fillClrLst meth="repeat">
      <a:schemeClr val="accent1"/>
    </dgm:fillClrLst>
    <dgm:linClrLst meth="repeat">
      <a:schemeClr val="lt1"/>
    </dgm:linClrLst>
    <dgm:effectClrLst/>
    <dgm:txLinClrLst/>
    <dgm:txFillClrLst/>
    <dgm:txEffectClrLst/>
  </dgm:styleLbl>
  <dgm:styleLbl name="node1">
    <dgm:fillClrLst>
      <a:schemeClr val="accent2"/>
      <a:schemeClr val="accent3"/>
    </dgm:fillClrLst>
    <dgm:linClrLst meth="repeat">
      <a:schemeClr val="lt1"/>
    </dgm:linClrLst>
    <dgm:effectClrLst/>
    <dgm:txLinClrLst/>
    <dgm:txFillClrLst/>
    <dgm:txEffectClrLst/>
  </dgm:styleLbl>
  <dgm:styleLbl name="alignNode1">
    <dgm:fillClrLst>
      <a:schemeClr val="accent2"/>
      <a:schemeClr val="accent3"/>
    </dgm:fillClrLst>
    <dgm:linClrLst>
      <a:schemeClr val="accent2"/>
      <a:schemeClr val="accent3"/>
    </dgm:linClrLst>
    <dgm:effectClrLst/>
    <dgm:txLinClrLst/>
    <dgm:txFillClrLst/>
    <dgm:txEffectClrLst/>
  </dgm:styleLbl>
  <dgm:styleLbl name="lnNode1">
    <dgm:fillClrLst>
      <a:schemeClr val="accent2"/>
      <a:schemeClr val="accent3"/>
    </dgm:fillClrLst>
    <dgm:linClrLst meth="repeat">
      <a:schemeClr val="lt1"/>
    </dgm:linClrLst>
    <dgm:effectClrLst/>
    <dgm:txLinClrLst/>
    <dgm:txFillClrLst/>
    <dgm:txEffectClrLst/>
  </dgm:styleLbl>
  <dgm:styleLbl name="vennNode1">
    <dgm:fillClrLst>
      <a:schemeClr val="accent2">
        <a:alpha val="50000"/>
      </a:schemeClr>
      <a:schemeClr val="accent3">
        <a:alpha val="50000"/>
      </a:schemeClr>
    </dgm:fillClrLst>
    <dgm:linClrLst meth="repeat">
      <a:schemeClr val="lt1"/>
    </dgm:linClrLst>
    <dgm:effectClrLst/>
    <dgm:txLinClrLst/>
    <dgm:txFillClrLst/>
    <dgm:txEffectClrLst/>
  </dgm:styleLbl>
  <dgm:styleLbl name="node2">
    <dgm:fillClrLst>
      <a:schemeClr val="accent3"/>
    </dgm:fillClrLst>
    <dgm:linClrLst meth="repeat">
      <a:schemeClr val="lt1"/>
    </dgm:linClrLst>
    <dgm:effectClrLst/>
    <dgm:txLinClrLst/>
    <dgm:txFillClrLst/>
    <dgm:txEffectClrLst/>
  </dgm:styleLbl>
  <dgm:styleLbl name="node3">
    <dgm:fillClrLst>
      <a:schemeClr val="accent4"/>
    </dgm:fillClrLst>
    <dgm:linClrLst meth="repeat">
      <a:schemeClr val="lt1"/>
    </dgm:linClrLst>
    <dgm:effectClrLst/>
    <dgm:txLinClrLst/>
    <dgm:txFillClrLst/>
    <dgm:txEffectClrLst/>
  </dgm:styleLbl>
  <dgm:styleLbl name="node4">
    <dgm:fillClrLst>
      <a:schemeClr val="accent5"/>
    </dgm:fillClrLst>
    <dgm:linClrLst meth="repeat">
      <a:schemeClr val="lt1"/>
    </dgm:linClrLst>
    <dgm:effectClrLst/>
    <dgm:txLinClrLst/>
    <dgm:txFillClrLst/>
    <dgm:txEffectClrLst/>
  </dgm:styleLbl>
  <dgm:styleLbl name="fgImgPlace1">
    <dgm:fillClrLst>
      <a:schemeClr val="accent2">
        <a:tint val="50000"/>
      </a:schemeClr>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chemeClr val="accent3"/>
    </dgm:fillClrLst>
    <dgm:linClrLst meth="repeat">
      <a:schemeClr val="lt1"/>
    </dgm:linClrLst>
    <dgm:effectClrLst/>
    <dgm:txLinClrLst/>
    <dgm:txFillClrLst/>
    <dgm:txEffectClrLst/>
  </dgm:styleLbl>
  <dgm:styleLbl name="fgSibTrans2D1">
    <dgm:fillClrLst>
      <a:schemeClr val="accent2"/>
      <a:schemeClr val="accent3"/>
    </dgm:fillClrLst>
    <dgm:linClrLst meth="repeat">
      <a:schemeClr val="lt1"/>
    </dgm:linClrLst>
    <dgm:effectClrLst/>
    <dgm:txLinClrLst/>
    <dgm:txFillClrLst meth="repeat">
      <a:schemeClr val="lt1"/>
    </dgm:txFillClrLst>
    <dgm:txEffectClrLst/>
  </dgm:styleLbl>
  <dgm:styleLbl name="bgSibTrans2D1">
    <dgm:fillClrLst>
      <a:schemeClr val="accent2"/>
      <a:schemeClr val="accent3"/>
    </dgm:fillClrLst>
    <dgm:linClrLst meth="repeat">
      <a:schemeClr val="lt1"/>
    </dgm:linClrLst>
    <dgm:effectClrLst/>
    <dgm:txLinClrLst/>
    <dgm:txFillClrLst meth="repeat">
      <a:schemeClr val="lt1"/>
    </dgm:txFillClrLst>
    <dgm:txEffectClrLst/>
  </dgm:styleLbl>
  <dgm:styleLbl name="sibTrans1D1">
    <dgm:fillClrLst/>
    <dgm:linClrLst>
      <a:schemeClr val="accent2"/>
      <a:schemeClr val="accent3"/>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a:shade val="80000"/>
      </a:schemeClr>
    </dgm:linClrLst>
    <dgm:effectClrLst/>
    <dgm:txLinClrLst/>
    <dgm:txFillClrLst/>
    <dgm:txEffectClrLst/>
  </dgm:styleLbl>
  <dgm:styleLbl name="asst1">
    <dgm:fillClrLst meth="repeat">
      <a:schemeClr val="accent3"/>
    </dgm:fillClrLst>
    <dgm:linClrLst meth="repeat">
      <a:schemeClr val="lt1">
        <a:shade val="80000"/>
      </a:schemeClr>
    </dgm:linClrLst>
    <dgm:effectClrLst/>
    <dgm:txLinClrLst/>
    <dgm:txFillClrLst/>
    <dgm:txEffectClrLst/>
  </dgm:styleLbl>
  <dgm:styleLbl name="asst2">
    <dgm:fillClrLst>
      <a:schemeClr val="accent4"/>
    </dgm:fillClrLst>
    <dgm:linClrLst meth="repeat">
      <a:schemeClr val="lt1"/>
    </dgm:linClrLst>
    <dgm:effectClrLst/>
    <dgm:txLinClrLst/>
    <dgm:txFillClrLst/>
    <dgm:txEffectClrLst/>
  </dgm:styleLbl>
  <dgm:styleLbl name="asst3">
    <dgm:fillClrLst>
      <a:schemeClr val="accent5"/>
    </dgm:fillClrLst>
    <dgm:linClrLst meth="repeat">
      <a:schemeClr val="lt1"/>
    </dgm:linClrLst>
    <dgm:effectClrLst/>
    <dgm:txLinClrLst/>
    <dgm:txFillClrLst/>
    <dgm:txEffectClrLst/>
  </dgm:styleLbl>
  <dgm:styleLbl name="asst4">
    <dgm:fillClrLst>
      <a:schemeClr val="accent6"/>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2"/>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3"/>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4"/>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5"/>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solidFgAcc1">
    <dgm:fillClrLst meth="repeat">
      <a:schemeClr val="lt1"/>
    </dgm:fillClrLst>
    <dgm:linClrLst>
      <a:schemeClr val="accent2"/>
      <a:schemeClr val="accent3"/>
    </dgm:linClrLst>
    <dgm:effectClrLst/>
    <dgm:txLinClrLst/>
    <dgm:txFillClrLst meth="repeat">
      <a:schemeClr val="dk1"/>
    </dgm:txFillClrLst>
    <dgm:txEffectClrLst/>
  </dgm:styleLbl>
  <dgm:styleLbl name="solidAlignAcc1">
    <dgm:fillClrLst meth="repeat">
      <a:schemeClr val="lt1"/>
    </dgm:fillClrLst>
    <dgm:linClrLst>
      <a:schemeClr val="accent2"/>
      <a:schemeClr val="accent3"/>
    </dgm:linClrLst>
    <dgm:effectClrLst/>
    <dgm:txLinClrLst/>
    <dgm:txFillClrLst meth="repeat">
      <a:schemeClr val="dk1"/>
    </dgm:txFillClrLst>
    <dgm:txEffectClrLst/>
  </dgm:styleLbl>
  <dgm:styleLbl name="solidBgAcc1">
    <dgm:fillClrLst meth="repeat">
      <a:schemeClr val="lt1"/>
    </dgm:fillClrLst>
    <dgm:linClrLst>
      <a:schemeClr val="accent2"/>
      <a:schemeClr val="accent3"/>
    </dgm:linClrLst>
    <dgm:effectClrLst/>
    <dgm:txLinClrLst/>
    <dgm:txFillClrLst meth="repeat">
      <a:schemeClr val="dk1"/>
    </dgm:txFillClrLst>
    <dgm:txEffectClrLst/>
  </dgm:styleLbl>
  <dgm:styleLbl name="f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align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b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3"/>
    </dgm:linClrLst>
    <dgm:effectClrLst/>
    <dgm:txLinClrLst/>
    <dgm:txFillClrLst meth="repeat">
      <a:schemeClr val="dk1"/>
    </dgm:txFillClrLst>
    <dgm:txEffectClrLst/>
  </dgm:styleLbl>
  <dgm:styleLbl name="fgAcc3">
    <dgm:fillClrLst meth="repeat">
      <a:schemeClr val="lt1">
        <a:alpha val="90000"/>
      </a:schemeClr>
    </dgm:fillClrLst>
    <dgm:linClrLst>
      <a:schemeClr val="accent4"/>
    </dgm:linClrLst>
    <dgm:effectClrLst/>
    <dgm:txLinClrLst/>
    <dgm:txFillClrLst meth="repeat">
      <a:schemeClr val="dk1"/>
    </dgm:txFillClrLst>
    <dgm:txEffectClrLst/>
  </dgm:styleLbl>
  <dgm:styleLbl name="fgAcc4">
    <dgm:fillClrLst meth="repeat">
      <a:schemeClr val="lt1">
        <a:alpha val="90000"/>
      </a:schemeClr>
    </dgm:fillClrLst>
    <dgm:linClrLst>
      <a:schemeClr val="accent5"/>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F68C3CC6-2A65-43C3-BD8A-424864640711}" type="doc">
      <dgm:prSet loTypeId="urn:microsoft.com/office/officeart/2008/layout/NameandTitleOrganizationalChart" loCatId="hierarchy" qsTypeId="urn:microsoft.com/office/officeart/2005/8/quickstyle/3d1" qsCatId="3D" csTypeId="urn:microsoft.com/office/officeart/2005/8/colors/colorful2" csCatId="colorful" phldr="1"/>
      <dgm:spPr/>
      <dgm:t>
        <a:bodyPr/>
        <a:lstStyle/>
        <a:p>
          <a:endParaRPr lang="es-CO"/>
        </a:p>
      </dgm:t>
    </dgm:pt>
    <dgm:pt modelId="{95698C4A-C60A-4320-8BAA-339CFBECE254}">
      <dgm:prSet phldrT="[Texto]"/>
      <dgm:spPr/>
      <dgm:t>
        <a:bodyPr/>
        <a:lstStyle/>
        <a:p>
          <a:pPr algn="ctr"/>
          <a:r>
            <a:rPr lang="es-CO"/>
            <a:t>Administración</a:t>
          </a:r>
        </a:p>
      </dgm:t>
    </dgm:pt>
    <dgm:pt modelId="{04D0C325-AE29-4D00-8432-7695FAB7F815}" type="parTrans" cxnId="{A113B0D1-1AB6-4C22-B2AB-208250546084}">
      <dgm:prSet/>
      <dgm:spPr/>
      <dgm:t>
        <a:bodyPr/>
        <a:lstStyle/>
        <a:p>
          <a:pPr algn="ctr"/>
          <a:endParaRPr lang="es-CO"/>
        </a:p>
      </dgm:t>
    </dgm:pt>
    <dgm:pt modelId="{F3C6D862-9B82-403F-8E9F-F1F46BBC8029}" type="sibTrans" cxnId="{A113B0D1-1AB6-4C22-B2AB-208250546084}">
      <dgm:prSet/>
      <dgm:spPr/>
      <dgm:t>
        <a:bodyPr/>
        <a:lstStyle/>
        <a:p>
          <a:pPr algn="ctr"/>
          <a:r>
            <a:rPr lang="es-CO"/>
            <a:t>Cargos: 1</a:t>
          </a:r>
        </a:p>
      </dgm:t>
    </dgm:pt>
    <dgm:pt modelId="{0864645D-14C6-409F-9388-028CCB1DFA22}" type="asst">
      <dgm:prSet phldrT="[Texto]"/>
      <dgm:spPr/>
      <dgm:t>
        <a:bodyPr/>
        <a:lstStyle/>
        <a:p>
          <a:pPr algn="ctr"/>
          <a:r>
            <a:rPr lang="es-CO"/>
            <a:t>Secretaría</a:t>
          </a:r>
        </a:p>
      </dgm:t>
    </dgm:pt>
    <dgm:pt modelId="{A105A7E9-D359-4B2C-9447-6DC5DC3E2883}" type="parTrans" cxnId="{64015D2D-6B03-4B30-8A04-A8DDCF2649F6}">
      <dgm:prSet/>
      <dgm:spPr/>
      <dgm:t>
        <a:bodyPr/>
        <a:lstStyle/>
        <a:p>
          <a:pPr algn="ctr"/>
          <a:endParaRPr lang="es-CO"/>
        </a:p>
      </dgm:t>
    </dgm:pt>
    <dgm:pt modelId="{E870E756-3814-4454-84B3-C5BE5C8456B9}" type="sibTrans" cxnId="{64015D2D-6B03-4B30-8A04-A8DDCF2649F6}">
      <dgm:prSet/>
      <dgm:spPr/>
      <dgm:t>
        <a:bodyPr/>
        <a:lstStyle/>
        <a:p>
          <a:pPr algn="ctr"/>
          <a:r>
            <a:rPr lang="es-CO"/>
            <a:t>Cargos: 1</a:t>
          </a:r>
        </a:p>
      </dgm:t>
    </dgm:pt>
    <dgm:pt modelId="{431AA0FE-7489-4FCE-8012-95CAE07EB513}">
      <dgm:prSet phldrT="[Texto]"/>
      <dgm:spPr/>
      <dgm:t>
        <a:bodyPr/>
        <a:lstStyle/>
        <a:p>
          <a:pPr algn="ctr"/>
          <a:r>
            <a:rPr lang="es-CO"/>
            <a:t>Servicio</a:t>
          </a:r>
        </a:p>
      </dgm:t>
    </dgm:pt>
    <dgm:pt modelId="{79B81045-E9F6-40FA-BC6B-A18B659E5818}" type="parTrans" cxnId="{817B4E7C-7EDD-4977-8F3D-59BB3379B584}">
      <dgm:prSet/>
      <dgm:spPr/>
      <dgm:t>
        <a:bodyPr/>
        <a:lstStyle/>
        <a:p>
          <a:pPr algn="ctr"/>
          <a:endParaRPr lang="es-CO"/>
        </a:p>
      </dgm:t>
    </dgm:pt>
    <dgm:pt modelId="{AA1878C6-9809-4A0B-894C-975C9BAFC829}" type="sibTrans" cxnId="{817B4E7C-7EDD-4977-8F3D-59BB3379B584}">
      <dgm:prSet/>
      <dgm:spPr/>
      <dgm:t>
        <a:bodyPr/>
        <a:lstStyle/>
        <a:p>
          <a:pPr algn="ctr"/>
          <a:r>
            <a:rPr lang="es-CO"/>
            <a:t>Cargos: 7</a:t>
          </a:r>
        </a:p>
      </dgm:t>
    </dgm:pt>
    <dgm:pt modelId="{5D29869C-C8CC-4E3A-9161-9C332208D6E7}">
      <dgm:prSet phldrT="[Texto]"/>
      <dgm:spPr/>
      <dgm:t>
        <a:bodyPr/>
        <a:lstStyle/>
        <a:p>
          <a:pPr algn="ctr"/>
          <a:r>
            <a:rPr lang="es-CO"/>
            <a:t>Sistemas</a:t>
          </a:r>
        </a:p>
      </dgm:t>
    </dgm:pt>
    <dgm:pt modelId="{499D6E7C-8452-40D5-93CA-34840502C528}" type="parTrans" cxnId="{D6561B83-8C4D-4E8D-A634-9BFC7AFA1F25}">
      <dgm:prSet/>
      <dgm:spPr/>
      <dgm:t>
        <a:bodyPr/>
        <a:lstStyle/>
        <a:p>
          <a:pPr algn="ctr"/>
          <a:endParaRPr lang="es-CO"/>
        </a:p>
      </dgm:t>
    </dgm:pt>
    <dgm:pt modelId="{5F760FF6-8DAD-46F7-B397-022E9AF44474}" type="sibTrans" cxnId="{D6561B83-8C4D-4E8D-A634-9BFC7AFA1F25}">
      <dgm:prSet/>
      <dgm:spPr/>
      <dgm:t>
        <a:bodyPr/>
        <a:lstStyle/>
        <a:p>
          <a:pPr algn="ctr"/>
          <a:r>
            <a:rPr lang="es-CO"/>
            <a:t>Cargos: 1</a:t>
          </a:r>
        </a:p>
      </dgm:t>
    </dgm:pt>
    <dgm:pt modelId="{C40CA194-932E-4E3A-8C07-74A446AE89DE}">
      <dgm:prSet phldrT="[Texto]"/>
      <dgm:spPr/>
      <dgm:t>
        <a:bodyPr/>
        <a:lstStyle/>
        <a:p>
          <a:pPr algn="ctr"/>
          <a:r>
            <a:rPr lang="es-CO"/>
            <a:t>Ventas</a:t>
          </a:r>
        </a:p>
      </dgm:t>
    </dgm:pt>
    <dgm:pt modelId="{7B451850-5C57-41CB-8B93-FA983C684E24}" type="parTrans" cxnId="{AC9E6EA2-2295-47CE-94FE-4B40D7554FD8}">
      <dgm:prSet/>
      <dgm:spPr/>
      <dgm:t>
        <a:bodyPr/>
        <a:lstStyle/>
        <a:p>
          <a:pPr algn="ctr"/>
          <a:endParaRPr lang="es-CO"/>
        </a:p>
      </dgm:t>
    </dgm:pt>
    <dgm:pt modelId="{06C86745-6A73-43B7-AE9A-CDAD3F826E66}" type="sibTrans" cxnId="{AC9E6EA2-2295-47CE-94FE-4B40D7554FD8}">
      <dgm:prSet/>
      <dgm:spPr/>
      <dgm:t>
        <a:bodyPr/>
        <a:lstStyle/>
        <a:p>
          <a:pPr algn="ctr"/>
          <a:r>
            <a:rPr lang="es-CO"/>
            <a:t>Cargos: 1</a:t>
          </a:r>
        </a:p>
      </dgm:t>
    </dgm:pt>
    <dgm:pt modelId="{79D8342D-3BF9-4F4D-BB5C-74BF4A536DBC}">
      <dgm:prSet phldrT="[Texto]"/>
      <dgm:spPr/>
      <dgm:t>
        <a:bodyPr/>
        <a:lstStyle/>
        <a:p>
          <a:pPr algn="ctr"/>
          <a:r>
            <a:rPr lang="es-CO"/>
            <a:t>Tesorería</a:t>
          </a:r>
        </a:p>
      </dgm:t>
    </dgm:pt>
    <dgm:pt modelId="{66087FD2-899F-4D65-A6C3-16D288951DAB}" type="parTrans" cxnId="{0A08D9EF-CFBB-4574-96FA-10DB708D8FAC}">
      <dgm:prSet/>
      <dgm:spPr/>
      <dgm:t>
        <a:bodyPr/>
        <a:lstStyle/>
        <a:p>
          <a:pPr algn="ctr"/>
          <a:endParaRPr lang="es-CO"/>
        </a:p>
      </dgm:t>
    </dgm:pt>
    <dgm:pt modelId="{E5F8F1ED-C78D-44F3-8618-C39283264D5E}" type="sibTrans" cxnId="{0A08D9EF-CFBB-4574-96FA-10DB708D8FAC}">
      <dgm:prSet/>
      <dgm:spPr/>
      <dgm:t>
        <a:bodyPr/>
        <a:lstStyle/>
        <a:p>
          <a:pPr algn="ctr"/>
          <a:r>
            <a:rPr lang="es-CO"/>
            <a:t>Cargos: 1</a:t>
          </a:r>
        </a:p>
      </dgm:t>
    </dgm:pt>
    <dgm:pt modelId="{939B1D08-7506-40AD-A67A-90924FA297F2}" type="pres">
      <dgm:prSet presAssocID="{F68C3CC6-2A65-43C3-BD8A-424864640711}" presName="hierChild1" presStyleCnt="0">
        <dgm:presLayoutVars>
          <dgm:orgChart val="1"/>
          <dgm:chPref val="1"/>
          <dgm:dir/>
          <dgm:animOne val="branch"/>
          <dgm:animLvl val="lvl"/>
          <dgm:resizeHandles/>
        </dgm:presLayoutVars>
      </dgm:prSet>
      <dgm:spPr/>
    </dgm:pt>
    <dgm:pt modelId="{79F59B06-4F77-4CC6-AC4D-16EF02043E5C}" type="pres">
      <dgm:prSet presAssocID="{95698C4A-C60A-4320-8BAA-339CFBECE254}" presName="hierRoot1" presStyleCnt="0">
        <dgm:presLayoutVars>
          <dgm:hierBranch val="init"/>
        </dgm:presLayoutVars>
      </dgm:prSet>
      <dgm:spPr/>
    </dgm:pt>
    <dgm:pt modelId="{4C19A106-DD64-4903-A1F5-DA2588F42175}" type="pres">
      <dgm:prSet presAssocID="{95698C4A-C60A-4320-8BAA-339CFBECE254}" presName="rootComposite1" presStyleCnt="0"/>
      <dgm:spPr/>
    </dgm:pt>
    <dgm:pt modelId="{463561F0-1068-4112-ABE4-82DB757E936B}" type="pres">
      <dgm:prSet presAssocID="{95698C4A-C60A-4320-8BAA-339CFBECE254}" presName="rootText1" presStyleLbl="node0" presStyleIdx="0" presStyleCnt="1">
        <dgm:presLayoutVars>
          <dgm:chMax/>
          <dgm:chPref val="3"/>
        </dgm:presLayoutVars>
      </dgm:prSet>
      <dgm:spPr/>
    </dgm:pt>
    <dgm:pt modelId="{5D67CE6B-C76B-445C-B800-40DEAC3F4C94}" type="pres">
      <dgm:prSet presAssocID="{95698C4A-C60A-4320-8BAA-339CFBECE254}" presName="titleText1" presStyleLbl="fgAcc0" presStyleIdx="0" presStyleCnt="1">
        <dgm:presLayoutVars>
          <dgm:chMax val="0"/>
          <dgm:chPref val="0"/>
        </dgm:presLayoutVars>
      </dgm:prSet>
      <dgm:spPr/>
    </dgm:pt>
    <dgm:pt modelId="{7CAF69B1-6C93-4E80-AFA1-FCC3C0E9EFD9}" type="pres">
      <dgm:prSet presAssocID="{95698C4A-C60A-4320-8BAA-339CFBECE254}" presName="rootConnector1" presStyleLbl="node1" presStyleIdx="0" presStyleCnt="4"/>
      <dgm:spPr/>
    </dgm:pt>
    <dgm:pt modelId="{9EC9DC71-937B-43D0-9A8B-514EE9B6AD61}" type="pres">
      <dgm:prSet presAssocID="{95698C4A-C60A-4320-8BAA-339CFBECE254}" presName="hierChild2" presStyleCnt="0"/>
      <dgm:spPr/>
    </dgm:pt>
    <dgm:pt modelId="{97F2E289-DFEC-47B2-B6AD-45245A79402C}" type="pres">
      <dgm:prSet presAssocID="{79B81045-E9F6-40FA-BC6B-A18B659E5818}" presName="Name37" presStyleLbl="parChTrans1D2" presStyleIdx="0" presStyleCnt="5"/>
      <dgm:spPr/>
    </dgm:pt>
    <dgm:pt modelId="{B694477E-0ADD-4D1F-89E0-B62EBF82BF88}" type="pres">
      <dgm:prSet presAssocID="{431AA0FE-7489-4FCE-8012-95CAE07EB513}" presName="hierRoot2" presStyleCnt="0">
        <dgm:presLayoutVars>
          <dgm:hierBranch val="init"/>
        </dgm:presLayoutVars>
      </dgm:prSet>
      <dgm:spPr/>
    </dgm:pt>
    <dgm:pt modelId="{FA153355-6703-4A6A-A285-685635442229}" type="pres">
      <dgm:prSet presAssocID="{431AA0FE-7489-4FCE-8012-95CAE07EB513}" presName="rootComposite" presStyleCnt="0"/>
      <dgm:spPr/>
    </dgm:pt>
    <dgm:pt modelId="{8510FB0E-3515-4BE9-9D10-A22A9255CCCD}" type="pres">
      <dgm:prSet presAssocID="{431AA0FE-7489-4FCE-8012-95CAE07EB513}" presName="rootText" presStyleLbl="node1" presStyleIdx="0" presStyleCnt="4">
        <dgm:presLayoutVars>
          <dgm:chMax/>
          <dgm:chPref val="3"/>
        </dgm:presLayoutVars>
      </dgm:prSet>
      <dgm:spPr/>
    </dgm:pt>
    <dgm:pt modelId="{BBEFC61C-CE4D-43E0-9CA6-A5063014F78F}" type="pres">
      <dgm:prSet presAssocID="{431AA0FE-7489-4FCE-8012-95CAE07EB513}" presName="titleText2" presStyleLbl="fgAcc1" presStyleIdx="0" presStyleCnt="4">
        <dgm:presLayoutVars>
          <dgm:chMax val="0"/>
          <dgm:chPref val="0"/>
        </dgm:presLayoutVars>
      </dgm:prSet>
      <dgm:spPr/>
    </dgm:pt>
    <dgm:pt modelId="{2C983050-C9B1-4954-B4B4-6D3391B7FCC4}" type="pres">
      <dgm:prSet presAssocID="{431AA0FE-7489-4FCE-8012-95CAE07EB513}" presName="rootConnector" presStyleLbl="node2" presStyleIdx="0" presStyleCnt="0"/>
      <dgm:spPr/>
    </dgm:pt>
    <dgm:pt modelId="{7D4D2303-5854-43AB-BB78-54C19E4432CE}" type="pres">
      <dgm:prSet presAssocID="{431AA0FE-7489-4FCE-8012-95CAE07EB513}" presName="hierChild4" presStyleCnt="0"/>
      <dgm:spPr/>
    </dgm:pt>
    <dgm:pt modelId="{FC6C6148-A617-4AD4-A06F-34D2080CCF72}" type="pres">
      <dgm:prSet presAssocID="{431AA0FE-7489-4FCE-8012-95CAE07EB513}" presName="hierChild5" presStyleCnt="0"/>
      <dgm:spPr/>
    </dgm:pt>
    <dgm:pt modelId="{1EA9A90D-4405-4CF7-AD99-46FA5541043F}" type="pres">
      <dgm:prSet presAssocID="{499D6E7C-8452-40D5-93CA-34840502C528}" presName="Name37" presStyleLbl="parChTrans1D2" presStyleIdx="1" presStyleCnt="5"/>
      <dgm:spPr/>
    </dgm:pt>
    <dgm:pt modelId="{95ECE725-1198-4E64-BDB4-702C26C4577D}" type="pres">
      <dgm:prSet presAssocID="{5D29869C-C8CC-4E3A-9161-9C332208D6E7}" presName="hierRoot2" presStyleCnt="0">
        <dgm:presLayoutVars>
          <dgm:hierBranch val="init"/>
        </dgm:presLayoutVars>
      </dgm:prSet>
      <dgm:spPr/>
    </dgm:pt>
    <dgm:pt modelId="{583BB47D-0C38-4FFE-914A-154E81062D85}" type="pres">
      <dgm:prSet presAssocID="{5D29869C-C8CC-4E3A-9161-9C332208D6E7}" presName="rootComposite" presStyleCnt="0"/>
      <dgm:spPr/>
    </dgm:pt>
    <dgm:pt modelId="{6F9405F1-42EC-4BD3-9C75-DE0F92F0FD35}" type="pres">
      <dgm:prSet presAssocID="{5D29869C-C8CC-4E3A-9161-9C332208D6E7}" presName="rootText" presStyleLbl="node1" presStyleIdx="1" presStyleCnt="4">
        <dgm:presLayoutVars>
          <dgm:chMax/>
          <dgm:chPref val="3"/>
        </dgm:presLayoutVars>
      </dgm:prSet>
      <dgm:spPr/>
    </dgm:pt>
    <dgm:pt modelId="{70193E00-596F-4BFD-B752-674ABB260ED1}" type="pres">
      <dgm:prSet presAssocID="{5D29869C-C8CC-4E3A-9161-9C332208D6E7}" presName="titleText2" presStyleLbl="fgAcc1" presStyleIdx="1" presStyleCnt="4">
        <dgm:presLayoutVars>
          <dgm:chMax val="0"/>
          <dgm:chPref val="0"/>
        </dgm:presLayoutVars>
      </dgm:prSet>
      <dgm:spPr/>
    </dgm:pt>
    <dgm:pt modelId="{5679821F-AF4B-4FAC-9AB5-82DA4FEFAD76}" type="pres">
      <dgm:prSet presAssocID="{5D29869C-C8CC-4E3A-9161-9C332208D6E7}" presName="rootConnector" presStyleLbl="node2" presStyleIdx="0" presStyleCnt="0"/>
      <dgm:spPr/>
    </dgm:pt>
    <dgm:pt modelId="{18DD9733-3A4F-4666-B416-15405B998207}" type="pres">
      <dgm:prSet presAssocID="{5D29869C-C8CC-4E3A-9161-9C332208D6E7}" presName="hierChild4" presStyleCnt="0"/>
      <dgm:spPr/>
    </dgm:pt>
    <dgm:pt modelId="{C5E67D6E-307A-48E7-8943-BE2A7D1E5B17}" type="pres">
      <dgm:prSet presAssocID="{5D29869C-C8CC-4E3A-9161-9C332208D6E7}" presName="hierChild5" presStyleCnt="0"/>
      <dgm:spPr/>
    </dgm:pt>
    <dgm:pt modelId="{85ED05C6-7941-4989-A008-736925BFB5E1}" type="pres">
      <dgm:prSet presAssocID="{7B451850-5C57-41CB-8B93-FA983C684E24}" presName="Name37" presStyleLbl="parChTrans1D2" presStyleIdx="2" presStyleCnt="5"/>
      <dgm:spPr/>
    </dgm:pt>
    <dgm:pt modelId="{5577760D-5053-47B4-B4E5-8F891E72EC3D}" type="pres">
      <dgm:prSet presAssocID="{C40CA194-932E-4E3A-8C07-74A446AE89DE}" presName="hierRoot2" presStyleCnt="0">
        <dgm:presLayoutVars>
          <dgm:hierBranch val="init"/>
        </dgm:presLayoutVars>
      </dgm:prSet>
      <dgm:spPr/>
    </dgm:pt>
    <dgm:pt modelId="{147FAC35-5FA7-4E85-8AEA-F3F44A9C0791}" type="pres">
      <dgm:prSet presAssocID="{C40CA194-932E-4E3A-8C07-74A446AE89DE}" presName="rootComposite" presStyleCnt="0"/>
      <dgm:spPr/>
    </dgm:pt>
    <dgm:pt modelId="{CAA64188-A422-4194-94F9-793B9614EC21}" type="pres">
      <dgm:prSet presAssocID="{C40CA194-932E-4E3A-8C07-74A446AE89DE}" presName="rootText" presStyleLbl="node1" presStyleIdx="2" presStyleCnt="4">
        <dgm:presLayoutVars>
          <dgm:chMax/>
          <dgm:chPref val="3"/>
        </dgm:presLayoutVars>
      </dgm:prSet>
      <dgm:spPr/>
    </dgm:pt>
    <dgm:pt modelId="{329ED61F-19C3-4FFD-89FD-201413F3CA99}" type="pres">
      <dgm:prSet presAssocID="{C40CA194-932E-4E3A-8C07-74A446AE89DE}" presName="titleText2" presStyleLbl="fgAcc1" presStyleIdx="2" presStyleCnt="4">
        <dgm:presLayoutVars>
          <dgm:chMax val="0"/>
          <dgm:chPref val="0"/>
        </dgm:presLayoutVars>
      </dgm:prSet>
      <dgm:spPr/>
    </dgm:pt>
    <dgm:pt modelId="{37E570A0-3661-4013-8E1D-DB33180789BB}" type="pres">
      <dgm:prSet presAssocID="{C40CA194-932E-4E3A-8C07-74A446AE89DE}" presName="rootConnector" presStyleLbl="node2" presStyleIdx="0" presStyleCnt="0"/>
      <dgm:spPr/>
    </dgm:pt>
    <dgm:pt modelId="{8A3DAD00-6008-4167-B1CB-B9863FE55A5A}" type="pres">
      <dgm:prSet presAssocID="{C40CA194-932E-4E3A-8C07-74A446AE89DE}" presName="hierChild4" presStyleCnt="0"/>
      <dgm:spPr/>
    </dgm:pt>
    <dgm:pt modelId="{B99405E5-2D63-445D-98E9-F9E690C6ACB3}" type="pres">
      <dgm:prSet presAssocID="{C40CA194-932E-4E3A-8C07-74A446AE89DE}" presName="hierChild5" presStyleCnt="0"/>
      <dgm:spPr/>
    </dgm:pt>
    <dgm:pt modelId="{FE011319-FA46-4FFA-B5EF-6216DA522F83}" type="pres">
      <dgm:prSet presAssocID="{66087FD2-899F-4D65-A6C3-16D288951DAB}" presName="Name37" presStyleLbl="parChTrans1D2" presStyleIdx="3" presStyleCnt="5"/>
      <dgm:spPr/>
    </dgm:pt>
    <dgm:pt modelId="{29BEB80D-A9FF-48C2-9F00-4F588CE4BA4C}" type="pres">
      <dgm:prSet presAssocID="{79D8342D-3BF9-4F4D-BB5C-74BF4A536DBC}" presName="hierRoot2" presStyleCnt="0">
        <dgm:presLayoutVars>
          <dgm:hierBranch val="init"/>
        </dgm:presLayoutVars>
      </dgm:prSet>
      <dgm:spPr/>
    </dgm:pt>
    <dgm:pt modelId="{B380C194-594D-4927-997A-0F93197DD2EF}" type="pres">
      <dgm:prSet presAssocID="{79D8342D-3BF9-4F4D-BB5C-74BF4A536DBC}" presName="rootComposite" presStyleCnt="0"/>
      <dgm:spPr/>
    </dgm:pt>
    <dgm:pt modelId="{76E81A63-4397-443F-9687-51F640ED816F}" type="pres">
      <dgm:prSet presAssocID="{79D8342D-3BF9-4F4D-BB5C-74BF4A536DBC}" presName="rootText" presStyleLbl="node1" presStyleIdx="3" presStyleCnt="4">
        <dgm:presLayoutVars>
          <dgm:chMax/>
          <dgm:chPref val="3"/>
        </dgm:presLayoutVars>
      </dgm:prSet>
      <dgm:spPr/>
    </dgm:pt>
    <dgm:pt modelId="{DF6CE4EC-836B-474D-9280-2CC3A3B5328F}" type="pres">
      <dgm:prSet presAssocID="{79D8342D-3BF9-4F4D-BB5C-74BF4A536DBC}" presName="titleText2" presStyleLbl="fgAcc1" presStyleIdx="3" presStyleCnt="4">
        <dgm:presLayoutVars>
          <dgm:chMax val="0"/>
          <dgm:chPref val="0"/>
        </dgm:presLayoutVars>
      </dgm:prSet>
      <dgm:spPr/>
    </dgm:pt>
    <dgm:pt modelId="{C802329A-3DF8-449A-A6D3-0D58497B0F22}" type="pres">
      <dgm:prSet presAssocID="{79D8342D-3BF9-4F4D-BB5C-74BF4A536DBC}" presName="rootConnector" presStyleLbl="node2" presStyleIdx="0" presStyleCnt="0"/>
      <dgm:spPr/>
    </dgm:pt>
    <dgm:pt modelId="{63436D79-52D9-4DA0-9574-DA1CC01B53F4}" type="pres">
      <dgm:prSet presAssocID="{79D8342D-3BF9-4F4D-BB5C-74BF4A536DBC}" presName="hierChild4" presStyleCnt="0"/>
      <dgm:spPr/>
    </dgm:pt>
    <dgm:pt modelId="{46D0329D-FC2F-4CF7-A596-E93B0C937B77}" type="pres">
      <dgm:prSet presAssocID="{79D8342D-3BF9-4F4D-BB5C-74BF4A536DBC}" presName="hierChild5" presStyleCnt="0"/>
      <dgm:spPr/>
    </dgm:pt>
    <dgm:pt modelId="{34EBD8DD-6A5F-4434-B8C0-F65AA60CAD69}" type="pres">
      <dgm:prSet presAssocID="{95698C4A-C60A-4320-8BAA-339CFBECE254}" presName="hierChild3" presStyleCnt="0"/>
      <dgm:spPr/>
    </dgm:pt>
    <dgm:pt modelId="{F76A258E-07FD-4F8D-AAAF-0562E15AE3A8}" type="pres">
      <dgm:prSet presAssocID="{A105A7E9-D359-4B2C-9447-6DC5DC3E2883}" presName="Name96" presStyleLbl="parChTrans1D2" presStyleIdx="4" presStyleCnt="5"/>
      <dgm:spPr/>
    </dgm:pt>
    <dgm:pt modelId="{F630A41F-8CD5-4766-A74C-8DB2F1B057D7}" type="pres">
      <dgm:prSet presAssocID="{0864645D-14C6-409F-9388-028CCB1DFA22}" presName="hierRoot3" presStyleCnt="0">
        <dgm:presLayoutVars>
          <dgm:hierBranch val="init"/>
        </dgm:presLayoutVars>
      </dgm:prSet>
      <dgm:spPr/>
    </dgm:pt>
    <dgm:pt modelId="{EC3D6838-0102-4348-9B4F-FA08BB8336B8}" type="pres">
      <dgm:prSet presAssocID="{0864645D-14C6-409F-9388-028CCB1DFA22}" presName="rootComposite3" presStyleCnt="0"/>
      <dgm:spPr/>
    </dgm:pt>
    <dgm:pt modelId="{3D2022EE-24CC-4F7E-AAC6-C783BE0DF4AC}" type="pres">
      <dgm:prSet presAssocID="{0864645D-14C6-409F-9388-028CCB1DFA22}" presName="rootText3" presStyleLbl="asst1" presStyleIdx="0" presStyleCnt="1">
        <dgm:presLayoutVars>
          <dgm:chPref val="3"/>
        </dgm:presLayoutVars>
      </dgm:prSet>
      <dgm:spPr/>
    </dgm:pt>
    <dgm:pt modelId="{231B69F5-B3C8-4DB9-A31A-227065760B84}" type="pres">
      <dgm:prSet presAssocID="{0864645D-14C6-409F-9388-028CCB1DFA22}" presName="titleText3" presStyleLbl="fgAcc2" presStyleIdx="0" presStyleCnt="1">
        <dgm:presLayoutVars>
          <dgm:chMax val="0"/>
          <dgm:chPref val="0"/>
        </dgm:presLayoutVars>
      </dgm:prSet>
      <dgm:spPr/>
    </dgm:pt>
    <dgm:pt modelId="{A54CFB7C-2911-4321-8E07-34CA8343186F}" type="pres">
      <dgm:prSet presAssocID="{0864645D-14C6-409F-9388-028CCB1DFA22}" presName="rootConnector3" presStyleLbl="asst1" presStyleIdx="0" presStyleCnt="1"/>
      <dgm:spPr/>
    </dgm:pt>
    <dgm:pt modelId="{099B7C6D-7777-4654-9736-49A45A6F0141}" type="pres">
      <dgm:prSet presAssocID="{0864645D-14C6-409F-9388-028CCB1DFA22}" presName="hierChild6" presStyleCnt="0"/>
      <dgm:spPr/>
    </dgm:pt>
    <dgm:pt modelId="{69997497-14E5-46EF-9BAF-39404D08F331}" type="pres">
      <dgm:prSet presAssocID="{0864645D-14C6-409F-9388-028CCB1DFA22}" presName="hierChild7" presStyleCnt="0"/>
      <dgm:spPr/>
    </dgm:pt>
  </dgm:ptLst>
  <dgm:cxnLst>
    <dgm:cxn modelId="{AAA20101-2910-4161-93C1-74E3E642617B}" type="presOf" srcId="{A105A7E9-D359-4B2C-9447-6DC5DC3E2883}" destId="{F76A258E-07FD-4F8D-AAAF-0562E15AE3A8}" srcOrd="0" destOrd="0" presId="urn:microsoft.com/office/officeart/2008/layout/NameandTitleOrganizationalChart"/>
    <dgm:cxn modelId="{0B138301-860D-4A22-9C9A-A52DD05DE525}" type="presOf" srcId="{F3C6D862-9B82-403F-8E9F-F1F46BBC8029}" destId="{5D67CE6B-C76B-445C-B800-40DEAC3F4C94}" srcOrd="0" destOrd="0" presId="urn:microsoft.com/office/officeart/2008/layout/NameandTitleOrganizationalChart"/>
    <dgm:cxn modelId="{5AE8E124-9E43-4C8E-8056-6C959312BE67}" type="presOf" srcId="{431AA0FE-7489-4FCE-8012-95CAE07EB513}" destId="{8510FB0E-3515-4BE9-9D10-A22A9255CCCD}" srcOrd="0" destOrd="0" presId="urn:microsoft.com/office/officeart/2008/layout/NameandTitleOrganizationalChart"/>
    <dgm:cxn modelId="{3F50E526-CDF6-4F0A-A778-CBA9E636C58E}" type="presOf" srcId="{95698C4A-C60A-4320-8BAA-339CFBECE254}" destId="{463561F0-1068-4112-ABE4-82DB757E936B}" srcOrd="0" destOrd="0" presId="urn:microsoft.com/office/officeart/2008/layout/NameandTitleOrganizationalChart"/>
    <dgm:cxn modelId="{A7CB3B2B-986A-4489-B44B-B45DA7AEE804}" type="presOf" srcId="{79D8342D-3BF9-4F4D-BB5C-74BF4A536DBC}" destId="{C802329A-3DF8-449A-A6D3-0D58497B0F22}" srcOrd="1" destOrd="0" presId="urn:microsoft.com/office/officeart/2008/layout/NameandTitleOrganizationalChart"/>
    <dgm:cxn modelId="{64015D2D-6B03-4B30-8A04-A8DDCF2649F6}" srcId="{95698C4A-C60A-4320-8BAA-339CFBECE254}" destId="{0864645D-14C6-409F-9388-028CCB1DFA22}" srcOrd="0" destOrd="0" parTransId="{A105A7E9-D359-4B2C-9447-6DC5DC3E2883}" sibTransId="{E870E756-3814-4454-84B3-C5BE5C8456B9}"/>
    <dgm:cxn modelId="{45F3372E-DDCA-4859-9255-E6066349FC97}" type="presOf" srcId="{79D8342D-3BF9-4F4D-BB5C-74BF4A536DBC}" destId="{76E81A63-4397-443F-9687-51F640ED816F}" srcOrd="0" destOrd="0" presId="urn:microsoft.com/office/officeart/2008/layout/NameandTitleOrganizationalChart"/>
    <dgm:cxn modelId="{5D0AA937-71B8-4E64-A15E-9F1881EEA97A}" type="presOf" srcId="{95698C4A-C60A-4320-8BAA-339CFBECE254}" destId="{7CAF69B1-6C93-4E80-AFA1-FCC3C0E9EFD9}" srcOrd="1" destOrd="0" presId="urn:microsoft.com/office/officeart/2008/layout/NameandTitleOrganizationalChart"/>
    <dgm:cxn modelId="{A254A55E-16B0-4E62-80BD-99A8B72BA784}" type="presOf" srcId="{5F760FF6-8DAD-46F7-B397-022E9AF44474}" destId="{70193E00-596F-4BFD-B752-674ABB260ED1}" srcOrd="0" destOrd="0" presId="urn:microsoft.com/office/officeart/2008/layout/NameandTitleOrganizationalChart"/>
    <dgm:cxn modelId="{CEC70762-436A-464B-86AD-F8156673BFD3}" type="presOf" srcId="{0864645D-14C6-409F-9388-028CCB1DFA22}" destId="{3D2022EE-24CC-4F7E-AAC6-C783BE0DF4AC}" srcOrd="0" destOrd="0" presId="urn:microsoft.com/office/officeart/2008/layout/NameandTitleOrganizationalChart"/>
    <dgm:cxn modelId="{AD20A863-81D1-4192-A5E7-39D4D8CA3BA9}" type="presOf" srcId="{5D29869C-C8CC-4E3A-9161-9C332208D6E7}" destId="{5679821F-AF4B-4FAC-9AB5-82DA4FEFAD76}" srcOrd="1" destOrd="0" presId="urn:microsoft.com/office/officeart/2008/layout/NameandTitleOrganizationalChart"/>
    <dgm:cxn modelId="{6A8D1164-BCE5-49CA-A836-211453DBBF5F}" type="presOf" srcId="{431AA0FE-7489-4FCE-8012-95CAE07EB513}" destId="{2C983050-C9B1-4954-B4B4-6D3391B7FCC4}" srcOrd="1" destOrd="0" presId="urn:microsoft.com/office/officeart/2008/layout/NameandTitleOrganizationalChart"/>
    <dgm:cxn modelId="{B26D0845-3637-4A48-95B0-8EA7DF5CCC9E}" type="presOf" srcId="{499D6E7C-8452-40D5-93CA-34840502C528}" destId="{1EA9A90D-4405-4CF7-AD99-46FA5541043F}" srcOrd="0" destOrd="0" presId="urn:microsoft.com/office/officeart/2008/layout/NameandTitleOrganizationalChart"/>
    <dgm:cxn modelId="{FCC0864B-23C5-4C63-B189-6E9A1E544A8C}" type="presOf" srcId="{E5F8F1ED-C78D-44F3-8618-C39283264D5E}" destId="{DF6CE4EC-836B-474D-9280-2CC3A3B5328F}" srcOrd="0" destOrd="0" presId="urn:microsoft.com/office/officeart/2008/layout/NameandTitleOrganizationalChart"/>
    <dgm:cxn modelId="{817B4E7C-7EDD-4977-8F3D-59BB3379B584}" srcId="{95698C4A-C60A-4320-8BAA-339CFBECE254}" destId="{431AA0FE-7489-4FCE-8012-95CAE07EB513}" srcOrd="1" destOrd="0" parTransId="{79B81045-E9F6-40FA-BC6B-A18B659E5818}" sibTransId="{AA1878C6-9809-4A0B-894C-975C9BAFC829}"/>
    <dgm:cxn modelId="{D6561B83-8C4D-4E8D-A634-9BFC7AFA1F25}" srcId="{95698C4A-C60A-4320-8BAA-339CFBECE254}" destId="{5D29869C-C8CC-4E3A-9161-9C332208D6E7}" srcOrd="2" destOrd="0" parTransId="{499D6E7C-8452-40D5-93CA-34840502C528}" sibTransId="{5F760FF6-8DAD-46F7-B397-022E9AF44474}"/>
    <dgm:cxn modelId="{CFA1FE83-2A5A-4394-B43C-1D9BF409A544}" type="presOf" srcId="{06C86745-6A73-43B7-AE9A-CDAD3F826E66}" destId="{329ED61F-19C3-4FFD-89FD-201413F3CA99}" srcOrd="0" destOrd="0" presId="urn:microsoft.com/office/officeart/2008/layout/NameandTitleOrganizationalChart"/>
    <dgm:cxn modelId="{645B1C89-150E-4491-A902-A7201B4D5008}" type="presOf" srcId="{AA1878C6-9809-4A0B-894C-975C9BAFC829}" destId="{BBEFC61C-CE4D-43E0-9CA6-A5063014F78F}" srcOrd="0" destOrd="0" presId="urn:microsoft.com/office/officeart/2008/layout/NameandTitleOrganizationalChart"/>
    <dgm:cxn modelId="{6D8A008E-46B2-4D3C-ABC9-E25F82225448}" type="presOf" srcId="{F68C3CC6-2A65-43C3-BD8A-424864640711}" destId="{939B1D08-7506-40AD-A67A-90924FA297F2}" srcOrd="0" destOrd="0" presId="urn:microsoft.com/office/officeart/2008/layout/NameandTitleOrganizationalChart"/>
    <dgm:cxn modelId="{7F984091-62EB-418C-A953-01F15387A396}" type="presOf" srcId="{79B81045-E9F6-40FA-BC6B-A18B659E5818}" destId="{97F2E289-DFEC-47B2-B6AD-45245A79402C}" srcOrd="0" destOrd="0" presId="urn:microsoft.com/office/officeart/2008/layout/NameandTitleOrganizationalChart"/>
    <dgm:cxn modelId="{AD04DE9A-6563-4D02-ADC1-696AD33E0F73}" type="presOf" srcId="{0864645D-14C6-409F-9388-028CCB1DFA22}" destId="{A54CFB7C-2911-4321-8E07-34CA8343186F}" srcOrd="1" destOrd="0" presId="urn:microsoft.com/office/officeart/2008/layout/NameandTitleOrganizationalChart"/>
    <dgm:cxn modelId="{DBCC60A1-571E-4CE7-9D8F-71B5D5C3F8A7}" type="presOf" srcId="{7B451850-5C57-41CB-8B93-FA983C684E24}" destId="{85ED05C6-7941-4989-A008-736925BFB5E1}" srcOrd="0" destOrd="0" presId="urn:microsoft.com/office/officeart/2008/layout/NameandTitleOrganizationalChart"/>
    <dgm:cxn modelId="{AC9E6EA2-2295-47CE-94FE-4B40D7554FD8}" srcId="{95698C4A-C60A-4320-8BAA-339CFBECE254}" destId="{C40CA194-932E-4E3A-8C07-74A446AE89DE}" srcOrd="3" destOrd="0" parTransId="{7B451850-5C57-41CB-8B93-FA983C684E24}" sibTransId="{06C86745-6A73-43B7-AE9A-CDAD3F826E66}"/>
    <dgm:cxn modelId="{627396A9-4373-4C34-B0FD-C71A894D468E}" type="presOf" srcId="{E870E756-3814-4454-84B3-C5BE5C8456B9}" destId="{231B69F5-B3C8-4DB9-A31A-227065760B84}" srcOrd="0" destOrd="0" presId="urn:microsoft.com/office/officeart/2008/layout/NameandTitleOrganizationalChart"/>
    <dgm:cxn modelId="{16E72FAF-9A2C-4DB8-B33C-C1410C9FC097}" type="presOf" srcId="{C40CA194-932E-4E3A-8C07-74A446AE89DE}" destId="{CAA64188-A422-4194-94F9-793B9614EC21}" srcOrd="0" destOrd="0" presId="urn:microsoft.com/office/officeart/2008/layout/NameandTitleOrganizationalChart"/>
    <dgm:cxn modelId="{5DD4E9D0-6FBD-4916-8E90-879D81E3E02F}" type="presOf" srcId="{C40CA194-932E-4E3A-8C07-74A446AE89DE}" destId="{37E570A0-3661-4013-8E1D-DB33180789BB}" srcOrd="1" destOrd="0" presId="urn:microsoft.com/office/officeart/2008/layout/NameandTitleOrganizationalChart"/>
    <dgm:cxn modelId="{A113B0D1-1AB6-4C22-B2AB-208250546084}" srcId="{F68C3CC6-2A65-43C3-BD8A-424864640711}" destId="{95698C4A-C60A-4320-8BAA-339CFBECE254}" srcOrd="0" destOrd="0" parTransId="{04D0C325-AE29-4D00-8432-7695FAB7F815}" sibTransId="{F3C6D862-9B82-403F-8E9F-F1F46BBC8029}"/>
    <dgm:cxn modelId="{90AAC9DA-6B91-42F9-A8FD-93B61CF82723}" type="presOf" srcId="{66087FD2-899F-4D65-A6C3-16D288951DAB}" destId="{FE011319-FA46-4FFA-B5EF-6216DA522F83}" srcOrd="0" destOrd="0" presId="urn:microsoft.com/office/officeart/2008/layout/NameandTitleOrganizationalChart"/>
    <dgm:cxn modelId="{E966F6E9-01F2-4A89-9B1B-C572CF95768E}" type="presOf" srcId="{5D29869C-C8CC-4E3A-9161-9C332208D6E7}" destId="{6F9405F1-42EC-4BD3-9C75-DE0F92F0FD35}" srcOrd="0" destOrd="0" presId="urn:microsoft.com/office/officeart/2008/layout/NameandTitleOrganizationalChart"/>
    <dgm:cxn modelId="{0A08D9EF-CFBB-4574-96FA-10DB708D8FAC}" srcId="{95698C4A-C60A-4320-8BAA-339CFBECE254}" destId="{79D8342D-3BF9-4F4D-BB5C-74BF4A536DBC}" srcOrd="4" destOrd="0" parTransId="{66087FD2-899F-4D65-A6C3-16D288951DAB}" sibTransId="{E5F8F1ED-C78D-44F3-8618-C39283264D5E}"/>
    <dgm:cxn modelId="{BD390D9B-EEE7-45D7-B2F2-7F491458CE04}" type="presParOf" srcId="{939B1D08-7506-40AD-A67A-90924FA297F2}" destId="{79F59B06-4F77-4CC6-AC4D-16EF02043E5C}" srcOrd="0" destOrd="0" presId="urn:microsoft.com/office/officeart/2008/layout/NameandTitleOrganizationalChart"/>
    <dgm:cxn modelId="{BA6E4FB7-078E-4FA8-9878-4A4FE27C5B32}" type="presParOf" srcId="{79F59B06-4F77-4CC6-AC4D-16EF02043E5C}" destId="{4C19A106-DD64-4903-A1F5-DA2588F42175}" srcOrd="0" destOrd="0" presId="urn:microsoft.com/office/officeart/2008/layout/NameandTitleOrganizationalChart"/>
    <dgm:cxn modelId="{CEC5D107-4D10-42FB-B532-1DC6457EF15F}" type="presParOf" srcId="{4C19A106-DD64-4903-A1F5-DA2588F42175}" destId="{463561F0-1068-4112-ABE4-82DB757E936B}" srcOrd="0" destOrd="0" presId="urn:microsoft.com/office/officeart/2008/layout/NameandTitleOrganizationalChart"/>
    <dgm:cxn modelId="{9E51FE90-3509-47B4-A4A3-9B2C6F986873}" type="presParOf" srcId="{4C19A106-DD64-4903-A1F5-DA2588F42175}" destId="{5D67CE6B-C76B-445C-B800-40DEAC3F4C94}" srcOrd="1" destOrd="0" presId="urn:microsoft.com/office/officeart/2008/layout/NameandTitleOrganizationalChart"/>
    <dgm:cxn modelId="{FBF6CF2D-4C84-4E9E-8FF6-F425BCC60D82}" type="presParOf" srcId="{4C19A106-DD64-4903-A1F5-DA2588F42175}" destId="{7CAF69B1-6C93-4E80-AFA1-FCC3C0E9EFD9}" srcOrd="2" destOrd="0" presId="urn:microsoft.com/office/officeart/2008/layout/NameandTitleOrganizationalChart"/>
    <dgm:cxn modelId="{4C5E6C94-F7B3-4162-AF96-97D0788015CD}" type="presParOf" srcId="{79F59B06-4F77-4CC6-AC4D-16EF02043E5C}" destId="{9EC9DC71-937B-43D0-9A8B-514EE9B6AD61}" srcOrd="1" destOrd="0" presId="urn:microsoft.com/office/officeart/2008/layout/NameandTitleOrganizationalChart"/>
    <dgm:cxn modelId="{2F68B342-C058-4BCB-88A3-25EC420A5809}" type="presParOf" srcId="{9EC9DC71-937B-43D0-9A8B-514EE9B6AD61}" destId="{97F2E289-DFEC-47B2-B6AD-45245A79402C}" srcOrd="0" destOrd="0" presId="urn:microsoft.com/office/officeart/2008/layout/NameandTitleOrganizationalChart"/>
    <dgm:cxn modelId="{7FB2C347-71C2-47E9-A44C-C538BFE0E0B3}" type="presParOf" srcId="{9EC9DC71-937B-43D0-9A8B-514EE9B6AD61}" destId="{B694477E-0ADD-4D1F-89E0-B62EBF82BF88}" srcOrd="1" destOrd="0" presId="urn:microsoft.com/office/officeart/2008/layout/NameandTitleOrganizationalChart"/>
    <dgm:cxn modelId="{6F29F2CD-589B-4FBB-BF53-7868DCF1B41C}" type="presParOf" srcId="{B694477E-0ADD-4D1F-89E0-B62EBF82BF88}" destId="{FA153355-6703-4A6A-A285-685635442229}" srcOrd="0" destOrd="0" presId="urn:microsoft.com/office/officeart/2008/layout/NameandTitleOrganizationalChart"/>
    <dgm:cxn modelId="{CF4E1B6D-9FA9-46E7-B85A-A833921D35F1}" type="presParOf" srcId="{FA153355-6703-4A6A-A285-685635442229}" destId="{8510FB0E-3515-4BE9-9D10-A22A9255CCCD}" srcOrd="0" destOrd="0" presId="urn:microsoft.com/office/officeart/2008/layout/NameandTitleOrganizationalChart"/>
    <dgm:cxn modelId="{AAB45D40-271D-41D2-8494-C5F4A664284C}" type="presParOf" srcId="{FA153355-6703-4A6A-A285-685635442229}" destId="{BBEFC61C-CE4D-43E0-9CA6-A5063014F78F}" srcOrd="1" destOrd="0" presId="urn:microsoft.com/office/officeart/2008/layout/NameandTitleOrganizationalChart"/>
    <dgm:cxn modelId="{A36C7638-47ED-4901-A0BB-B501C37D2482}" type="presParOf" srcId="{FA153355-6703-4A6A-A285-685635442229}" destId="{2C983050-C9B1-4954-B4B4-6D3391B7FCC4}" srcOrd="2" destOrd="0" presId="urn:microsoft.com/office/officeart/2008/layout/NameandTitleOrganizationalChart"/>
    <dgm:cxn modelId="{3A3A611F-8C9D-4612-B2F0-AD3405B9D265}" type="presParOf" srcId="{B694477E-0ADD-4D1F-89E0-B62EBF82BF88}" destId="{7D4D2303-5854-43AB-BB78-54C19E4432CE}" srcOrd="1" destOrd="0" presId="urn:microsoft.com/office/officeart/2008/layout/NameandTitleOrganizationalChart"/>
    <dgm:cxn modelId="{A83D8A1C-3132-40CC-955C-7B79DB40290B}" type="presParOf" srcId="{B694477E-0ADD-4D1F-89E0-B62EBF82BF88}" destId="{FC6C6148-A617-4AD4-A06F-34D2080CCF72}" srcOrd="2" destOrd="0" presId="urn:microsoft.com/office/officeart/2008/layout/NameandTitleOrganizationalChart"/>
    <dgm:cxn modelId="{9D962A8E-EE98-4167-ABFC-F6213640B600}" type="presParOf" srcId="{9EC9DC71-937B-43D0-9A8B-514EE9B6AD61}" destId="{1EA9A90D-4405-4CF7-AD99-46FA5541043F}" srcOrd="2" destOrd="0" presId="urn:microsoft.com/office/officeart/2008/layout/NameandTitleOrganizationalChart"/>
    <dgm:cxn modelId="{6343962E-3267-49D7-A7B3-62CF7D8DE84B}" type="presParOf" srcId="{9EC9DC71-937B-43D0-9A8B-514EE9B6AD61}" destId="{95ECE725-1198-4E64-BDB4-702C26C4577D}" srcOrd="3" destOrd="0" presId="urn:microsoft.com/office/officeart/2008/layout/NameandTitleOrganizationalChart"/>
    <dgm:cxn modelId="{3B5E1304-E1C9-4620-99D3-DE40E4388683}" type="presParOf" srcId="{95ECE725-1198-4E64-BDB4-702C26C4577D}" destId="{583BB47D-0C38-4FFE-914A-154E81062D85}" srcOrd="0" destOrd="0" presId="urn:microsoft.com/office/officeart/2008/layout/NameandTitleOrganizationalChart"/>
    <dgm:cxn modelId="{47E3DD06-20E1-4C01-9FFA-45862CDD0983}" type="presParOf" srcId="{583BB47D-0C38-4FFE-914A-154E81062D85}" destId="{6F9405F1-42EC-4BD3-9C75-DE0F92F0FD35}" srcOrd="0" destOrd="0" presId="urn:microsoft.com/office/officeart/2008/layout/NameandTitleOrganizationalChart"/>
    <dgm:cxn modelId="{8610D697-4021-47C6-AD1C-38AFEF80DE97}" type="presParOf" srcId="{583BB47D-0C38-4FFE-914A-154E81062D85}" destId="{70193E00-596F-4BFD-B752-674ABB260ED1}" srcOrd="1" destOrd="0" presId="urn:microsoft.com/office/officeart/2008/layout/NameandTitleOrganizationalChart"/>
    <dgm:cxn modelId="{D3C030CC-BB57-47D2-8C78-3C74259CA0B6}" type="presParOf" srcId="{583BB47D-0C38-4FFE-914A-154E81062D85}" destId="{5679821F-AF4B-4FAC-9AB5-82DA4FEFAD76}" srcOrd="2" destOrd="0" presId="urn:microsoft.com/office/officeart/2008/layout/NameandTitleOrganizationalChart"/>
    <dgm:cxn modelId="{6DA5373A-2181-4725-BC9E-A124400DC730}" type="presParOf" srcId="{95ECE725-1198-4E64-BDB4-702C26C4577D}" destId="{18DD9733-3A4F-4666-B416-15405B998207}" srcOrd="1" destOrd="0" presId="urn:microsoft.com/office/officeart/2008/layout/NameandTitleOrganizationalChart"/>
    <dgm:cxn modelId="{219654AD-9302-4CDE-8319-1A6CCD9B7DEE}" type="presParOf" srcId="{95ECE725-1198-4E64-BDB4-702C26C4577D}" destId="{C5E67D6E-307A-48E7-8943-BE2A7D1E5B17}" srcOrd="2" destOrd="0" presId="urn:microsoft.com/office/officeart/2008/layout/NameandTitleOrganizationalChart"/>
    <dgm:cxn modelId="{6D7EF0A8-F4B5-4395-B55D-A1B12272ED4D}" type="presParOf" srcId="{9EC9DC71-937B-43D0-9A8B-514EE9B6AD61}" destId="{85ED05C6-7941-4989-A008-736925BFB5E1}" srcOrd="4" destOrd="0" presId="urn:microsoft.com/office/officeart/2008/layout/NameandTitleOrganizationalChart"/>
    <dgm:cxn modelId="{D1AF2C56-D3AB-4104-83FE-ABB7E0D282C4}" type="presParOf" srcId="{9EC9DC71-937B-43D0-9A8B-514EE9B6AD61}" destId="{5577760D-5053-47B4-B4E5-8F891E72EC3D}" srcOrd="5" destOrd="0" presId="urn:microsoft.com/office/officeart/2008/layout/NameandTitleOrganizationalChart"/>
    <dgm:cxn modelId="{B855975B-368A-4D37-AD1E-D20223D9E2F7}" type="presParOf" srcId="{5577760D-5053-47B4-B4E5-8F891E72EC3D}" destId="{147FAC35-5FA7-4E85-8AEA-F3F44A9C0791}" srcOrd="0" destOrd="0" presId="urn:microsoft.com/office/officeart/2008/layout/NameandTitleOrganizationalChart"/>
    <dgm:cxn modelId="{F6B2ACF8-24F7-4022-A7B5-A23BD20EE74C}" type="presParOf" srcId="{147FAC35-5FA7-4E85-8AEA-F3F44A9C0791}" destId="{CAA64188-A422-4194-94F9-793B9614EC21}" srcOrd="0" destOrd="0" presId="urn:microsoft.com/office/officeart/2008/layout/NameandTitleOrganizationalChart"/>
    <dgm:cxn modelId="{640E5040-35DC-4C57-A95D-F49A7D99B802}" type="presParOf" srcId="{147FAC35-5FA7-4E85-8AEA-F3F44A9C0791}" destId="{329ED61F-19C3-4FFD-89FD-201413F3CA99}" srcOrd="1" destOrd="0" presId="urn:microsoft.com/office/officeart/2008/layout/NameandTitleOrganizationalChart"/>
    <dgm:cxn modelId="{C855E098-A81D-4E5E-B80B-E80AAD9CB7FE}" type="presParOf" srcId="{147FAC35-5FA7-4E85-8AEA-F3F44A9C0791}" destId="{37E570A0-3661-4013-8E1D-DB33180789BB}" srcOrd="2" destOrd="0" presId="urn:microsoft.com/office/officeart/2008/layout/NameandTitleOrganizationalChart"/>
    <dgm:cxn modelId="{FF1D0F1E-32F7-4546-A03F-81970F4F9571}" type="presParOf" srcId="{5577760D-5053-47B4-B4E5-8F891E72EC3D}" destId="{8A3DAD00-6008-4167-B1CB-B9863FE55A5A}" srcOrd="1" destOrd="0" presId="urn:microsoft.com/office/officeart/2008/layout/NameandTitleOrganizationalChart"/>
    <dgm:cxn modelId="{00D21D48-015B-465A-80A3-A93BF8F7CAF0}" type="presParOf" srcId="{5577760D-5053-47B4-B4E5-8F891E72EC3D}" destId="{B99405E5-2D63-445D-98E9-F9E690C6ACB3}" srcOrd="2" destOrd="0" presId="urn:microsoft.com/office/officeart/2008/layout/NameandTitleOrganizationalChart"/>
    <dgm:cxn modelId="{E2BBE109-1467-4AD2-BCC8-671CCDEFAF3F}" type="presParOf" srcId="{9EC9DC71-937B-43D0-9A8B-514EE9B6AD61}" destId="{FE011319-FA46-4FFA-B5EF-6216DA522F83}" srcOrd="6" destOrd="0" presId="urn:microsoft.com/office/officeart/2008/layout/NameandTitleOrganizationalChart"/>
    <dgm:cxn modelId="{E5ED17BA-09A5-4068-8B9D-FAAA99097135}" type="presParOf" srcId="{9EC9DC71-937B-43D0-9A8B-514EE9B6AD61}" destId="{29BEB80D-A9FF-48C2-9F00-4F588CE4BA4C}" srcOrd="7" destOrd="0" presId="urn:microsoft.com/office/officeart/2008/layout/NameandTitleOrganizationalChart"/>
    <dgm:cxn modelId="{0119F639-B69A-45AA-B98D-4DD620553224}" type="presParOf" srcId="{29BEB80D-A9FF-48C2-9F00-4F588CE4BA4C}" destId="{B380C194-594D-4927-997A-0F93197DD2EF}" srcOrd="0" destOrd="0" presId="urn:microsoft.com/office/officeart/2008/layout/NameandTitleOrganizationalChart"/>
    <dgm:cxn modelId="{7643E3B0-B997-4818-A8CB-5E15379EC0D7}" type="presParOf" srcId="{B380C194-594D-4927-997A-0F93197DD2EF}" destId="{76E81A63-4397-443F-9687-51F640ED816F}" srcOrd="0" destOrd="0" presId="urn:microsoft.com/office/officeart/2008/layout/NameandTitleOrganizationalChart"/>
    <dgm:cxn modelId="{3FCA2DAD-664B-4A6D-8EFE-1CC1AE0F56DB}" type="presParOf" srcId="{B380C194-594D-4927-997A-0F93197DD2EF}" destId="{DF6CE4EC-836B-474D-9280-2CC3A3B5328F}" srcOrd="1" destOrd="0" presId="urn:microsoft.com/office/officeart/2008/layout/NameandTitleOrganizationalChart"/>
    <dgm:cxn modelId="{AD1AF5C0-7252-4982-8994-458458277D84}" type="presParOf" srcId="{B380C194-594D-4927-997A-0F93197DD2EF}" destId="{C802329A-3DF8-449A-A6D3-0D58497B0F22}" srcOrd="2" destOrd="0" presId="urn:microsoft.com/office/officeart/2008/layout/NameandTitleOrganizationalChart"/>
    <dgm:cxn modelId="{40EFBDD3-8FFB-48A0-8EEA-7521D83BC785}" type="presParOf" srcId="{29BEB80D-A9FF-48C2-9F00-4F588CE4BA4C}" destId="{63436D79-52D9-4DA0-9574-DA1CC01B53F4}" srcOrd="1" destOrd="0" presId="urn:microsoft.com/office/officeart/2008/layout/NameandTitleOrganizationalChart"/>
    <dgm:cxn modelId="{D59D1E6B-DAD6-4B5E-B06A-595051250BD2}" type="presParOf" srcId="{29BEB80D-A9FF-48C2-9F00-4F588CE4BA4C}" destId="{46D0329D-FC2F-4CF7-A596-E93B0C937B77}" srcOrd="2" destOrd="0" presId="urn:microsoft.com/office/officeart/2008/layout/NameandTitleOrganizationalChart"/>
    <dgm:cxn modelId="{CD5CF440-F176-469A-BC51-520C4C73B07F}" type="presParOf" srcId="{79F59B06-4F77-4CC6-AC4D-16EF02043E5C}" destId="{34EBD8DD-6A5F-4434-B8C0-F65AA60CAD69}" srcOrd="2" destOrd="0" presId="urn:microsoft.com/office/officeart/2008/layout/NameandTitleOrganizationalChart"/>
    <dgm:cxn modelId="{3BEFB4A9-C3DB-4544-B80F-F03D13F25E74}" type="presParOf" srcId="{34EBD8DD-6A5F-4434-B8C0-F65AA60CAD69}" destId="{F76A258E-07FD-4F8D-AAAF-0562E15AE3A8}" srcOrd="0" destOrd="0" presId="urn:microsoft.com/office/officeart/2008/layout/NameandTitleOrganizationalChart"/>
    <dgm:cxn modelId="{27420992-5079-4FA0-823C-7DEB461A8B59}" type="presParOf" srcId="{34EBD8DD-6A5F-4434-B8C0-F65AA60CAD69}" destId="{F630A41F-8CD5-4766-A74C-8DB2F1B057D7}" srcOrd="1" destOrd="0" presId="urn:microsoft.com/office/officeart/2008/layout/NameandTitleOrganizationalChart"/>
    <dgm:cxn modelId="{C4509C29-E4A9-4723-89E4-CB3404B146FE}" type="presParOf" srcId="{F630A41F-8CD5-4766-A74C-8DB2F1B057D7}" destId="{EC3D6838-0102-4348-9B4F-FA08BB8336B8}" srcOrd="0" destOrd="0" presId="urn:microsoft.com/office/officeart/2008/layout/NameandTitleOrganizationalChart"/>
    <dgm:cxn modelId="{632B3997-89CE-4925-9292-4FB92AB1AC24}" type="presParOf" srcId="{EC3D6838-0102-4348-9B4F-FA08BB8336B8}" destId="{3D2022EE-24CC-4F7E-AAC6-C783BE0DF4AC}" srcOrd="0" destOrd="0" presId="urn:microsoft.com/office/officeart/2008/layout/NameandTitleOrganizationalChart"/>
    <dgm:cxn modelId="{A6F56A96-B340-4B21-B608-6AF7A7883965}" type="presParOf" srcId="{EC3D6838-0102-4348-9B4F-FA08BB8336B8}" destId="{231B69F5-B3C8-4DB9-A31A-227065760B84}" srcOrd="1" destOrd="0" presId="urn:microsoft.com/office/officeart/2008/layout/NameandTitleOrganizationalChart"/>
    <dgm:cxn modelId="{EF055F30-15A4-44DA-9814-104A1FA0E7ED}" type="presParOf" srcId="{EC3D6838-0102-4348-9B4F-FA08BB8336B8}" destId="{A54CFB7C-2911-4321-8E07-34CA8343186F}" srcOrd="2" destOrd="0" presId="urn:microsoft.com/office/officeart/2008/layout/NameandTitleOrganizationalChart"/>
    <dgm:cxn modelId="{EFFF7ABE-9663-4C1B-9CF2-1736FCD29037}" type="presParOf" srcId="{F630A41F-8CD5-4766-A74C-8DB2F1B057D7}" destId="{099B7C6D-7777-4654-9736-49A45A6F0141}" srcOrd="1" destOrd="0" presId="urn:microsoft.com/office/officeart/2008/layout/NameandTitleOrganizationalChart"/>
    <dgm:cxn modelId="{6099C2BE-98B7-4C62-8290-5AE55E3A0286}" type="presParOf" srcId="{F630A41F-8CD5-4766-A74C-8DB2F1B057D7}" destId="{69997497-14E5-46EF-9BAF-39404D08F331}" srcOrd="2" destOrd="0" presId="urn:microsoft.com/office/officeart/2008/layout/NameandTitleOrganizationalChart"/>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76A258E-07FD-4F8D-AAAF-0562E15AE3A8}">
      <dsp:nvSpPr>
        <dsp:cNvPr id="0" name=""/>
        <dsp:cNvSpPr/>
      </dsp:nvSpPr>
      <dsp:spPr>
        <a:xfrm>
          <a:off x="4318622" y="997696"/>
          <a:ext cx="308163" cy="1006751"/>
        </a:xfrm>
        <a:custGeom>
          <a:avLst/>
          <a:gdLst/>
          <a:ahLst/>
          <a:cxnLst/>
          <a:rect l="0" t="0" r="0" b="0"/>
          <a:pathLst>
            <a:path>
              <a:moveTo>
                <a:pt x="308163" y="0"/>
              </a:moveTo>
              <a:lnTo>
                <a:pt x="308163" y="1006751"/>
              </a:lnTo>
              <a:lnTo>
                <a:pt x="0" y="1006751"/>
              </a:lnTo>
            </a:path>
          </a:pathLst>
        </a:custGeom>
        <a:noFill/>
        <a:ln w="12700" cap="flat" cmpd="sng" algn="ctr">
          <a:solidFill>
            <a:schemeClr val="accent3">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FE011319-FA46-4FFA-B5EF-6216DA522F83}">
      <dsp:nvSpPr>
        <dsp:cNvPr id="0" name=""/>
        <dsp:cNvSpPr/>
      </dsp:nvSpPr>
      <dsp:spPr>
        <a:xfrm>
          <a:off x="4626785" y="997696"/>
          <a:ext cx="3630685" cy="2013502"/>
        </a:xfrm>
        <a:custGeom>
          <a:avLst/>
          <a:gdLst/>
          <a:ahLst/>
          <a:cxnLst/>
          <a:rect l="0" t="0" r="0" b="0"/>
          <a:pathLst>
            <a:path>
              <a:moveTo>
                <a:pt x="0" y="0"/>
              </a:moveTo>
              <a:lnTo>
                <a:pt x="0" y="1795546"/>
              </a:lnTo>
              <a:lnTo>
                <a:pt x="3630685" y="1795546"/>
              </a:lnTo>
              <a:lnTo>
                <a:pt x="3630685" y="2013502"/>
              </a:lnTo>
            </a:path>
          </a:pathLst>
        </a:custGeom>
        <a:noFill/>
        <a:ln w="12700" cap="flat" cmpd="sng" algn="ctr">
          <a:solidFill>
            <a:schemeClr val="accent3">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85ED05C6-7941-4989-A008-736925BFB5E1}">
      <dsp:nvSpPr>
        <dsp:cNvPr id="0" name=""/>
        <dsp:cNvSpPr/>
      </dsp:nvSpPr>
      <dsp:spPr>
        <a:xfrm>
          <a:off x="4626785" y="997696"/>
          <a:ext cx="1210228" cy="2013502"/>
        </a:xfrm>
        <a:custGeom>
          <a:avLst/>
          <a:gdLst/>
          <a:ahLst/>
          <a:cxnLst/>
          <a:rect l="0" t="0" r="0" b="0"/>
          <a:pathLst>
            <a:path>
              <a:moveTo>
                <a:pt x="0" y="0"/>
              </a:moveTo>
              <a:lnTo>
                <a:pt x="0" y="1795546"/>
              </a:lnTo>
              <a:lnTo>
                <a:pt x="1210228" y="1795546"/>
              </a:lnTo>
              <a:lnTo>
                <a:pt x="1210228" y="2013502"/>
              </a:lnTo>
            </a:path>
          </a:pathLst>
        </a:custGeom>
        <a:noFill/>
        <a:ln w="12700" cap="flat" cmpd="sng" algn="ctr">
          <a:solidFill>
            <a:schemeClr val="accent3">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1EA9A90D-4405-4CF7-AD99-46FA5541043F}">
      <dsp:nvSpPr>
        <dsp:cNvPr id="0" name=""/>
        <dsp:cNvSpPr/>
      </dsp:nvSpPr>
      <dsp:spPr>
        <a:xfrm>
          <a:off x="3416556" y="997696"/>
          <a:ext cx="1210228" cy="2013502"/>
        </a:xfrm>
        <a:custGeom>
          <a:avLst/>
          <a:gdLst/>
          <a:ahLst/>
          <a:cxnLst/>
          <a:rect l="0" t="0" r="0" b="0"/>
          <a:pathLst>
            <a:path>
              <a:moveTo>
                <a:pt x="1210228" y="0"/>
              </a:moveTo>
              <a:lnTo>
                <a:pt x="1210228" y="1795546"/>
              </a:lnTo>
              <a:lnTo>
                <a:pt x="0" y="1795546"/>
              </a:lnTo>
              <a:lnTo>
                <a:pt x="0" y="2013502"/>
              </a:lnTo>
            </a:path>
          </a:pathLst>
        </a:custGeom>
        <a:noFill/>
        <a:ln w="12700" cap="flat" cmpd="sng" algn="ctr">
          <a:solidFill>
            <a:schemeClr val="accent3">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97F2E289-DFEC-47B2-B6AD-45245A79402C}">
      <dsp:nvSpPr>
        <dsp:cNvPr id="0" name=""/>
        <dsp:cNvSpPr/>
      </dsp:nvSpPr>
      <dsp:spPr>
        <a:xfrm>
          <a:off x="996099" y="997696"/>
          <a:ext cx="3630685" cy="2013502"/>
        </a:xfrm>
        <a:custGeom>
          <a:avLst/>
          <a:gdLst/>
          <a:ahLst/>
          <a:cxnLst/>
          <a:rect l="0" t="0" r="0" b="0"/>
          <a:pathLst>
            <a:path>
              <a:moveTo>
                <a:pt x="3630685" y="0"/>
              </a:moveTo>
              <a:lnTo>
                <a:pt x="3630685" y="1795546"/>
              </a:lnTo>
              <a:lnTo>
                <a:pt x="0" y="1795546"/>
              </a:lnTo>
              <a:lnTo>
                <a:pt x="0" y="2013502"/>
              </a:lnTo>
            </a:path>
          </a:pathLst>
        </a:custGeom>
        <a:noFill/>
        <a:ln w="12700" cap="flat" cmpd="sng" algn="ctr">
          <a:solidFill>
            <a:schemeClr val="accent3">
              <a:hueOff val="0"/>
              <a:satOff val="0"/>
              <a:lumOff val="0"/>
              <a:alphaOff val="0"/>
            </a:schemeClr>
          </a:solidFill>
          <a:prstDash val="solid"/>
          <a:miter lim="800000"/>
        </a:ln>
        <a:effectLst/>
        <a:scene3d>
          <a:camera prst="orthographicFront"/>
          <a:lightRig rig="flat" dir="t"/>
        </a:scene3d>
        <a:sp3d prstMaterial="matte"/>
      </dsp:spPr>
      <dsp:style>
        <a:lnRef idx="2">
          <a:scrgbClr r="0" g="0" b="0"/>
        </a:lnRef>
        <a:fillRef idx="0">
          <a:scrgbClr r="0" g="0" b="0"/>
        </a:fillRef>
        <a:effectRef idx="0">
          <a:scrgbClr r="0" g="0" b="0"/>
        </a:effectRef>
        <a:fontRef idx="minor"/>
      </dsp:style>
    </dsp:sp>
    <dsp:sp modelId="{463561F0-1068-4112-ABE4-82DB757E936B}">
      <dsp:nvSpPr>
        <dsp:cNvPr id="0" name=""/>
        <dsp:cNvSpPr/>
      </dsp:nvSpPr>
      <dsp:spPr>
        <a:xfrm>
          <a:off x="3724719" y="63597"/>
          <a:ext cx="1804131" cy="934099"/>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1812" numCol="1" spcCol="1270" anchor="ctr" anchorCtr="0">
          <a:noAutofit/>
        </a:bodyPr>
        <a:lstStyle/>
        <a:p>
          <a:pPr marL="0" lvl="0" indent="0" algn="ctr" defTabSz="977900">
            <a:lnSpc>
              <a:spcPct val="90000"/>
            </a:lnSpc>
            <a:spcBef>
              <a:spcPct val="0"/>
            </a:spcBef>
            <a:spcAft>
              <a:spcPct val="35000"/>
            </a:spcAft>
            <a:buNone/>
          </a:pPr>
          <a:r>
            <a:rPr lang="es-CO" sz="2200" kern="1200"/>
            <a:t>Administración</a:t>
          </a:r>
        </a:p>
      </dsp:txBody>
      <dsp:txXfrm>
        <a:off x="3724719" y="63597"/>
        <a:ext cx="1804131" cy="934099"/>
      </dsp:txXfrm>
    </dsp:sp>
    <dsp:sp modelId="{5D67CE6B-C76B-445C-B800-40DEAC3F4C94}">
      <dsp:nvSpPr>
        <dsp:cNvPr id="0" name=""/>
        <dsp:cNvSpPr/>
      </dsp:nvSpPr>
      <dsp:spPr>
        <a:xfrm>
          <a:off x="4085546" y="790118"/>
          <a:ext cx="1623718" cy="311366"/>
        </a:xfrm>
        <a:prstGeom prst="rect">
          <a:avLst/>
        </a:prstGeom>
        <a:solidFill>
          <a:schemeClr val="lt1">
            <a:alpha val="90000"/>
            <a:hueOff val="0"/>
            <a:satOff val="0"/>
            <a:lumOff val="0"/>
            <a:alphaOff val="0"/>
          </a:schemeClr>
        </a:solidFill>
        <a:ln w="6350" cap="flat" cmpd="sng" algn="ctr">
          <a:solidFill>
            <a:schemeClr val="accent1">
              <a:hueOff val="0"/>
              <a:satOff val="0"/>
              <a:lumOff val="0"/>
              <a:alphaOff val="0"/>
            </a:schemeClr>
          </a:solidFill>
          <a:prstDash val="solid"/>
          <a:miter lim="800000"/>
        </a:ln>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50800" tIns="12700" rIns="50800" bIns="12700" numCol="1" spcCol="1270" anchor="ctr" anchorCtr="0">
          <a:noAutofit/>
        </a:bodyPr>
        <a:lstStyle/>
        <a:p>
          <a:pPr marL="0" lvl="0" indent="0" algn="ctr" defTabSz="889000">
            <a:lnSpc>
              <a:spcPct val="90000"/>
            </a:lnSpc>
            <a:spcBef>
              <a:spcPct val="0"/>
            </a:spcBef>
            <a:spcAft>
              <a:spcPct val="35000"/>
            </a:spcAft>
            <a:buNone/>
          </a:pPr>
          <a:r>
            <a:rPr lang="es-CO" sz="2000" kern="1200"/>
            <a:t>Cargos: 1</a:t>
          </a:r>
        </a:p>
      </dsp:txBody>
      <dsp:txXfrm>
        <a:off x="4085546" y="790118"/>
        <a:ext cx="1623718" cy="311366"/>
      </dsp:txXfrm>
    </dsp:sp>
    <dsp:sp modelId="{8510FB0E-3515-4BE9-9D10-A22A9255CCCD}">
      <dsp:nvSpPr>
        <dsp:cNvPr id="0" name=""/>
        <dsp:cNvSpPr/>
      </dsp:nvSpPr>
      <dsp:spPr>
        <a:xfrm>
          <a:off x="94034" y="3011198"/>
          <a:ext cx="1804131" cy="934099"/>
        </a:xfrm>
        <a:prstGeom prst="rect">
          <a:avLst/>
        </a:prstGeom>
        <a:gradFill rotWithShape="0">
          <a:gsLst>
            <a:gs pos="0">
              <a:schemeClr val="accent2">
                <a:hueOff val="0"/>
                <a:satOff val="0"/>
                <a:lumOff val="0"/>
                <a:alphaOff val="0"/>
                <a:satMod val="103000"/>
                <a:lumMod val="102000"/>
                <a:tint val="94000"/>
              </a:schemeClr>
            </a:gs>
            <a:gs pos="50000">
              <a:schemeClr val="accent2">
                <a:hueOff val="0"/>
                <a:satOff val="0"/>
                <a:lumOff val="0"/>
                <a:alphaOff val="0"/>
                <a:satMod val="110000"/>
                <a:lumMod val="100000"/>
                <a:shade val="100000"/>
              </a:schemeClr>
            </a:gs>
            <a:gs pos="100000">
              <a:schemeClr val="accent2">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1812" numCol="1" spcCol="1270" anchor="ctr" anchorCtr="0">
          <a:noAutofit/>
        </a:bodyPr>
        <a:lstStyle/>
        <a:p>
          <a:pPr marL="0" lvl="0" indent="0" algn="ctr" defTabSz="977900">
            <a:lnSpc>
              <a:spcPct val="90000"/>
            </a:lnSpc>
            <a:spcBef>
              <a:spcPct val="0"/>
            </a:spcBef>
            <a:spcAft>
              <a:spcPct val="35000"/>
            </a:spcAft>
            <a:buNone/>
          </a:pPr>
          <a:r>
            <a:rPr lang="es-CO" sz="2200" kern="1200"/>
            <a:t>Servicio</a:t>
          </a:r>
        </a:p>
      </dsp:txBody>
      <dsp:txXfrm>
        <a:off x="94034" y="3011198"/>
        <a:ext cx="1804131" cy="934099"/>
      </dsp:txXfrm>
    </dsp:sp>
    <dsp:sp modelId="{BBEFC61C-CE4D-43E0-9CA6-A5063014F78F}">
      <dsp:nvSpPr>
        <dsp:cNvPr id="0" name=""/>
        <dsp:cNvSpPr/>
      </dsp:nvSpPr>
      <dsp:spPr>
        <a:xfrm>
          <a:off x="454860" y="3737720"/>
          <a:ext cx="1623718" cy="311366"/>
        </a:xfrm>
        <a:prstGeom prst="rect">
          <a:avLst/>
        </a:prstGeom>
        <a:solidFill>
          <a:schemeClr val="lt1">
            <a:alpha val="90000"/>
            <a:hueOff val="0"/>
            <a:satOff val="0"/>
            <a:lumOff val="0"/>
            <a:alphaOff val="0"/>
          </a:schemeClr>
        </a:solidFill>
        <a:ln w="6350" cap="flat" cmpd="sng" algn="ctr">
          <a:solidFill>
            <a:schemeClr val="accent2">
              <a:hueOff val="0"/>
              <a:satOff val="0"/>
              <a:lumOff val="0"/>
              <a:alphaOff val="0"/>
            </a:schemeClr>
          </a:solidFill>
          <a:prstDash val="solid"/>
          <a:miter lim="800000"/>
        </a:ln>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50800" tIns="12700" rIns="50800" bIns="12700" numCol="1" spcCol="1270" anchor="ctr" anchorCtr="0">
          <a:noAutofit/>
        </a:bodyPr>
        <a:lstStyle/>
        <a:p>
          <a:pPr marL="0" lvl="0" indent="0" algn="ctr" defTabSz="889000">
            <a:lnSpc>
              <a:spcPct val="90000"/>
            </a:lnSpc>
            <a:spcBef>
              <a:spcPct val="0"/>
            </a:spcBef>
            <a:spcAft>
              <a:spcPct val="35000"/>
            </a:spcAft>
            <a:buNone/>
          </a:pPr>
          <a:r>
            <a:rPr lang="es-CO" sz="2000" kern="1200"/>
            <a:t>Cargos: 7</a:t>
          </a:r>
        </a:p>
      </dsp:txBody>
      <dsp:txXfrm>
        <a:off x="454860" y="3737720"/>
        <a:ext cx="1623718" cy="311366"/>
      </dsp:txXfrm>
    </dsp:sp>
    <dsp:sp modelId="{6F9405F1-42EC-4BD3-9C75-DE0F92F0FD35}">
      <dsp:nvSpPr>
        <dsp:cNvPr id="0" name=""/>
        <dsp:cNvSpPr/>
      </dsp:nvSpPr>
      <dsp:spPr>
        <a:xfrm>
          <a:off x="2514491" y="3011198"/>
          <a:ext cx="1804131" cy="934099"/>
        </a:xfrm>
        <a:prstGeom prst="rect">
          <a:avLst/>
        </a:prstGeom>
        <a:gradFill rotWithShape="0">
          <a:gsLst>
            <a:gs pos="0">
              <a:schemeClr val="accent2">
                <a:hueOff val="-485121"/>
                <a:satOff val="-27976"/>
                <a:lumOff val="2876"/>
                <a:alphaOff val="0"/>
                <a:satMod val="103000"/>
                <a:lumMod val="102000"/>
                <a:tint val="94000"/>
              </a:schemeClr>
            </a:gs>
            <a:gs pos="50000">
              <a:schemeClr val="accent2">
                <a:hueOff val="-485121"/>
                <a:satOff val="-27976"/>
                <a:lumOff val="2876"/>
                <a:alphaOff val="0"/>
                <a:satMod val="110000"/>
                <a:lumMod val="100000"/>
                <a:shade val="100000"/>
              </a:schemeClr>
            </a:gs>
            <a:gs pos="100000">
              <a:schemeClr val="accent2">
                <a:hueOff val="-485121"/>
                <a:satOff val="-27976"/>
                <a:lumOff val="2876"/>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1812" numCol="1" spcCol="1270" anchor="ctr" anchorCtr="0">
          <a:noAutofit/>
        </a:bodyPr>
        <a:lstStyle/>
        <a:p>
          <a:pPr marL="0" lvl="0" indent="0" algn="ctr" defTabSz="977900">
            <a:lnSpc>
              <a:spcPct val="90000"/>
            </a:lnSpc>
            <a:spcBef>
              <a:spcPct val="0"/>
            </a:spcBef>
            <a:spcAft>
              <a:spcPct val="35000"/>
            </a:spcAft>
            <a:buNone/>
          </a:pPr>
          <a:r>
            <a:rPr lang="es-CO" sz="2200" kern="1200"/>
            <a:t>Sistemas</a:t>
          </a:r>
        </a:p>
      </dsp:txBody>
      <dsp:txXfrm>
        <a:off x="2514491" y="3011198"/>
        <a:ext cx="1804131" cy="934099"/>
      </dsp:txXfrm>
    </dsp:sp>
    <dsp:sp modelId="{70193E00-596F-4BFD-B752-674ABB260ED1}">
      <dsp:nvSpPr>
        <dsp:cNvPr id="0" name=""/>
        <dsp:cNvSpPr/>
      </dsp:nvSpPr>
      <dsp:spPr>
        <a:xfrm>
          <a:off x="2875317" y="3737720"/>
          <a:ext cx="1623718" cy="311366"/>
        </a:xfrm>
        <a:prstGeom prst="rect">
          <a:avLst/>
        </a:prstGeom>
        <a:solidFill>
          <a:schemeClr val="lt1">
            <a:alpha val="90000"/>
            <a:hueOff val="0"/>
            <a:satOff val="0"/>
            <a:lumOff val="0"/>
            <a:alphaOff val="0"/>
          </a:schemeClr>
        </a:solidFill>
        <a:ln w="6350" cap="flat" cmpd="sng" algn="ctr">
          <a:solidFill>
            <a:schemeClr val="accent2">
              <a:hueOff val="-485121"/>
              <a:satOff val="-27976"/>
              <a:lumOff val="2876"/>
              <a:alphaOff val="0"/>
            </a:schemeClr>
          </a:solidFill>
          <a:prstDash val="solid"/>
          <a:miter lim="800000"/>
        </a:ln>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50800" tIns="12700" rIns="50800" bIns="12700" numCol="1" spcCol="1270" anchor="ctr" anchorCtr="0">
          <a:noAutofit/>
        </a:bodyPr>
        <a:lstStyle/>
        <a:p>
          <a:pPr marL="0" lvl="0" indent="0" algn="ctr" defTabSz="889000">
            <a:lnSpc>
              <a:spcPct val="90000"/>
            </a:lnSpc>
            <a:spcBef>
              <a:spcPct val="0"/>
            </a:spcBef>
            <a:spcAft>
              <a:spcPct val="35000"/>
            </a:spcAft>
            <a:buNone/>
          </a:pPr>
          <a:r>
            <a:rPr lang="es-CO" sz="2000" kern="1200"/>
            <a:t>Cargos: 1</a:t>
          </a:r>
        </a:p>
      </dsp:txBody>
      <dsp:txXfrm>
        <a:off x="2875317" y="3737720"/>
        <a:ext cx="1623718" cy="311366"/>
      </dsp:txXfrm>
    </dsp:sp>
    <dsp:sp modelId="{CAA64188-A422-4194-94F9-793B9614EC21}">
      <dsp:nvSpPr>
        <dsp:cNvPr id="0" name=""/>
        <dsp:cNvSpPr/>
      </dsp:nvSpPr>
      <dsp:spPr>
        <a:xfrm>
          <a:off x="4934948" y="3011198"/>
          <a:ext cx="1804131" cy="934099"/>
        </a:xfrm>
        <a:prstGeom prst="rect">
          <a:avLst/>
        </a:prstGeom>
        <a:gradFill rotWithShape="0">
          <a:gsLst>
            <a:gs pos="0">
              <a:schemeClr val="accent2">
                <a:hueOff val="-970242"/>
                <a:satOff val="-55952"/>
                <a:lumOff val="5752"/>
                <a:alphaOff val="0"/>
                <a:satMod val="103000"/>
                <a:lumMod val="102000"/>
                <a:tint val="94000"/>
              </a:schemeClr>
            </a:gs>
            <a:gs pos="50000">
              <a:schemeClr val="accent2">
                <a:hueOff val="-970242"/>
                <a:satOff val="-55952"/>
                <a:lumOff val="5752"/>
                <a:alphaOff val="0"/>
                <a:satMod val="110000"/>
                <a:lumMod val="100000"/>
                <a:shade val="100000"/>
              </a:schemeClr>
            </a:gs>
            <a:gs pos="100000">
              <a:schemeClr val="accent2">
                <a:hueOff val="-970242"/>
                <a:satOff val="-55952"/>
                <a:lumOff val="5752"/>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1812" numCol="1" spcCol="1270" anchor="ctr" anchorCtr="0">
          <a:noAutofit/>
        </a:bodyPr>
        <a:lstStyle/>
        <a:p>
          <a:pPr marL="0" lvl="0" indent="0" algn="ctr" defTabSz="977900">
            <a:lnSpc>
              <a:spcPct val="90000"/>
            </a:lnSpc>
            <a:spcBef>
              <a:spcPct val="0"/>
            </a:spcBef>
            <a:spcAft>
              <a:spcPct val="35000"/>
            </a:spcAft>
            <a:buNone/>
          </a:pPr>
          <a:r>
            <a:rPr lang="es-CO" sz="2200" kern="1200"/>
            <a:t>Ventas</a:t>
          </a:r>
        </a:p>
      </dsp:txBody>
      <dsp:txXfrm>
        <a:off x="4934948" y="3011198"/>
        <a:ext cx="1804131" cy="934099"/>
      </dsp:txXfrm>
    </dsp:sp>
    <dsp:sp modelId="{329ED61F-19C3-4FFD-89FD-201413F3CA99}">
      <dsp:nvSpPr>
        <dsp:cNvPr id="0" name=""/>
        <dsp:cNvSpPr/>
      </dsp:nvSpPr>
      <dsp:spPr>
        <a:xfrm>
          <a:off x="5295774" y="3737720"/>
          <a:ext cx="1623718" cy="311366"/>
        </a:xfrm>
        <a:prstGeom prst="rect">
          <a:avLst/>
        </a:prstGeom>
        <a:solidFill>
          <a:schemeClr val="lt1">
            <a:alpha val="90000"/>
            <a:hueOff val="0"/>
            <a:satOff val="0"/>
            <a:lumOff val="0"/>
            <a:alphaOff val="0"/>
          </a:schemeClr>
        </a:solidFill>
        <a:ln w="6350" cap="flat" cmpd="sng" algn="ctr">
          <a:solidFill>
            <a:schemeClr val="accent2">
              <a:hueOff val="-970242"/>
              <a:satOff val="-55952"/>
              <a:lumOff val="5752"/>
              <a:alphaOff val="0"/>
            </a:schemeClr>
          </a:solidFill>
          <a:prstDash val="solid"/>
          <a:miter lim="800000"/>
        </a:ln>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50800" tIns="12700" rIns="50800" bIns="12700" numCol="1" spcCol="1270" anchor="ctr" anchorCtr="0">
          <a:noAutofit/>
        </a:bodyPr>
        <a:lstStyle/>
        <a:p>
          <a:pPr marL="0" lvl="0" indent="0" algn="ctr" defTabSz="889000">
            <a:lnSpc>
              <a:spcPct val="90000"/>
            </a:lnSpc>
            <a:spcBef>
              <a:spcPct val="0"/>
            </a:spcBef>
            <a:spcAft>
              <a:spcPct val="35000"/>
            </a:spcAft>
            <a:buNone/>
          </a:pPr>
          <a:r>
            <a:rPr lang="es-CO" sz="2000" kern="1200"/>
            <a:t>Cargos: 1</a:t>
          </a:r>
        </a:p>
      </dsp:txBody>
      <dsp:txXfrm>
        <a:off x="5295774" y="3737720"/>
        <a:ext cx="1623718" cy="311366"/>
      </dsp:txXfrm>
    </dsp:sp>
    <dsp:sp modelId="{76E81A63-4397-443F-9687-51F640ED816F}">
      <dsp:nvSpPr>
        <dsp:cNvPr id="0" name=""/>
        <dsp:cNvSpPr/>
      </dsp:nvSpPr>
      <dsp:spPr>
        <a:xfrm>
          <a:off x="7355405" y="3011198"/>
          <a:ext cx="1804131" cy="934099"/>
        </a:xfrm>
        <a:prstGeom prst="rect">
          <a:avLst/>
        </a:prstGeom>
        <a:gradFill rotWithShape="0">
          <a:gsLst>
            <a:gs pos="0">
              <a:schemeClr val="accent2">
                <a:hueOff val="-1455363"/>
                <a:satOff val="-83928"/>
                <a:lumOff val="8628"/>
                <a:alphaOff val="0"/>
                <a:satMod val="103000"/>
                <a:lumMod val="102000"/>
                <a:tint val="94000"/>
              </a:schemeClr>
            </a:gs>
            <a:gs pos="50000">
              <a:schemeClr val="accent2">
                <a:hueOff val="-1455363"/>
                <a:satOff val="-83928"/>
                <a:lumOff val="8628"/>
                <a:alphaOff val="0"/>
                <a:satMod val="110000"/>
                <a:lumMod val="100000"/>
                <a:shade val="100000"/>
              </a:schemeClr>
            </a:gs>
            <a:gs pos="100000">
              <a:schemeClr val="accent2">
                <a:hueOff val="-1455363"/>
                <a:satOff val="-83928"/>
                <a:lumOff val="8628"/>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13970" tIns="13970" rIns="13970" bIns="131812" numCol="1" spcCol="1270" anchor="ctr" anchorCtr="0">
          <a:noAutofit/>
        </a:bodyPr>
        <a:lstStyle/>
        <a:p>
          <a:pPr marL="0" lvl="0" indent="0" algn="ctr" defTabSz="977900">
            <a:lnSpc>
              <a:spcPct val="90000"/>
            </a:lnSpc>
            <a:spcBef>
              <a:spcPct val="0"/>
            </a:spcBef>
            <a:spcAft>
              <a:spcPct val="35000"/>
            </a:spcAft>
            <a:buNone/>
          </a:pPr>
          <a:r>
            <a:rPr lang="es-CO" sz="2200" kern="1200"/>
            <a:t>Tesorería</a:t>
          </a:r>
        </a:p>
      </dsp:txBody>
      <dsp:txXfrm>
        <a:off x="7355405" y="3011198"/>
        <a:ext cx="1804131" cy="934099"/>
      </dsp:txXfrm>
    </dsp:sp>
    <dsp:sp modelId="{DF6CE4EC-836B-474D-9280-2CC3A3B5328F}">
      <dsp:nvSpPr>
        <dsp:cNvPr id="0" name=""/>
        <dsp:cNvSpPr/>
      </dsp:nvSpPr>
      <dsp:spPr>
        <a:xfrm>
          <a:off x="7716231" y="3737720"/>
          <a:ext cx="1623718" cy="311366"/>
        </a:xfrm>
        <a:prstGeom prst="rect">
          <a:avLst/>
        </a:prstGeom>
        <a:solidFill>
          <a:schemeClr val="lt1">
            <a:alpha val="90000"/>
            <a:hueOff val="0"/>
            <a:satOff val="0"/>
            <a:lumOff val="0"/>
            <a:alphaOff val="0"/>
          </a:schemeClr>
        </a:solidFill>
        <a:ln w="6350" cap="flat" cmpd="sng" algn="ctr">
          <a:solidFill>
            <a:schemeClr val="accent2">
              <a:hueOff val="-1455363"/>
              <a:satOff val="-83928"/>
              <a:lumOff val="8628"/>
              <a:alphaOff val="0"/>
            </a:schemeClr>
          </a:solidFill>
          <a:prstDash val="solid"/>
          <a:miter lim="800000"/>
        </a:ln>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50800" tIns="12700" rIns="50800" bIns="12700" numCol="1" spcCol="1270" anchor="ctr" anchorCtr="0">
          <a:noAutofit/>
        </a:bodyPr>
        <a:lstStyle/>
        <a:p>
          <a:pPr marL="0" lvl="0" indent="0" algn="ctr" defTabSz="889000">
            <a:lnSpc>
              <a:spcPct val="90000"/>
            </a:lnSpc>
            <a:spcBef>
              <a:spcPct val="0"/>
            </a:spcBef>
            <a:spcAft>
              <a:spcPct val="35000"/>
            </a:spcAft>
            <a:buNone/>
          </a:pPr>
          <a:r>
            <a:rPr lang="es-CO" sz="2000" kern="1200"/>
            <a:t>Cargos: 1</a:t>
          </a:r>
        </a:p>
      </dsp:txBody>
      <dsp:txXfrm>
        <a:off x="7716231" y="3737720"/>
        <a:ext cx="1623718" cy="311366"/>
      </dsp:txXfrm>
    </dsp:sp>
    <dsp:sp modelId="{3D2022EE-24CC-4F7E-AAC6-C783BE0DF4AC}">
      <dsp:nvSpPr>
        <dsp:cNvPr id="0" name=""/>
        <dsp:cNvSpPr/>
      </dsp:nvSpPr>
      <dsp:spPr>
        <a:xfrm>
          <a:off x="2514491" y="1537398"/>
          <a:ext cx="1804131" cy="934099"/>
        </a:xfrm>
        <a:prstGeom prst="rect">
          <a:avLst/>
        </a:prstGeom>
        <a:gradFill rotWithShape="0">
          <a:gsLst>
            <a:gs pos="0">
              <a:schemeClr val="accent3">
                <a:hueOff val="0"/>
                <a:satOff val="0"/>
                <a:lumOff val="0"/>
                <a:alphaOff val="0"/>
                <a:satMod val="103000"/>
                <a:lumMod val="102000"/>
                <a:tint val="94000"/>
              </a:schemeClr>
            </a:gs>
            <a:gs pos="50000">
              <a:schemeClr val="accent3">
                <a:hueOff val="0"/>
                <a:satOff val="0"/>
                <a:lumOff val="0"/>
                <a:alphaOff val="0"/>
                <a:satMod val="110000"/>
                <a:lumMod val="100000"/>
                <a:shade val="100000"/>
              </a:schemeClr>
            </a:gs>
            <a:gs pos="100000">
              <a:schemeClr val="accent3">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1">
          <a:scrgbClr r="0" g="0" b="0"/>
        </a:effectRef>
        <a:fontRef idx="minor">
          <a:schemeClr val="lt1"/>
        </a:fontRef>
      </dsp:style>
      <dsp:txBody>
        <a:bodyPr spcFirstLastPara="0" vert="horz" wrap="square" lIns="13970" tIns="13970" rIns="13970" bIns="131812" numCol="1" spcCol="1270" anchor="ctr" anchorCtr="0">
          <a:noAutofit/>
        </a:bodyPr>
        <a:lstStyle/>
        <a:p>
          <a:pPr marL="0" lvl="0" indent="0" algn="ctr" defTabSz="977900">
            <a:lnSpc>
              <a:spcPct val="90000"/>
            </a:lnSpc>
            <a:spcBef>
              <a:spcPct val="0"/>
            </a:spcBef>
            <a:spcAft>
              <a:spcPct val="35000"/>
            </a:spcAft>
            <a:buNone/>
          </a:pPr>
          <a:r>
            <a:rPr lang="es-CO" sz="2200" kern="1200"/>
            <a:t>Secretaría</a:t>
          </a:r>
        </a:p>
      </dsp:txBody>
      <dsp:txXfrm>
        <a:off x="2514491" y="1537398"/>
        <a:ext cx="1804131" cy="934099"/>
      </dsp:txXfrm>
    </dsp:sp>
    <dsp:sp modelId="{231B69F5-B3C8-4DB9-A31A-227065760B84}">
      <dsp:nvSpPr>
        <dsp:cNvPr id="0" name=""/>
        <dsp:cNvSpPr/>
      </dsp:nvSpPr>
      <dsp:spPr>
        <a:xfrm>
          <a:off x="2875317" y="2263919"/>
          <a:ext cx="1623718" cy="311366"/>
        </a:xfrm>
        <a:prstGeom prst="rect">
          <a:avLst/>
        </a:prstGeom>
        <a:solidFill>
          <a:schemeClr val="lt1">
            <a:alpha val="90000"/>
            <a:hueOff val="0"/>
            <a:satOff val="0"/>
            <a:lumOff val="0"/>
            <a:alphaOff val="0"/>
          </a:schemeClr>
        </a:solidFill>
        <a:ln w="6350" cap="flat" cmpd="sng" algn="ctr">
          <a:solidFill>
            <a:schemeClr val="accent3">
              <a:hueOff val="0"/>
              <a:satOff val="0"/>
              <a:lumOff val="0"/>
              <a:alphaOff val="0"/>
            </a:schemeClr>
          </a:solidFill>
          <a:prstDash val="solid"/>
          <a:miter lim="800000"/>
        </a:ln>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50800" tIns="12700" rIns="50800" bIns="12700" numCol="1" spcCol="1270" anchor="ctr" anchorCtr="0">
          <a:noAutofit/>
        </a:bodyPr>
        <a:lstStyle/>
        <a:p>
          <a:pPr marL="0" lvl="0" indent="0" algn="ctr" defTabSz="889000">
            <a:lnSpc>
              <a:spcPct val="90000"/>
            </a:lnSpc>
            <a:spcBef>
              <a:spcPct val="0"/>
            </a:spcBef>
            <a:spcAft>
              <a:spcPct val="35000"/>
            </a:spcAft>
            <a:buNone/>
          </a:pPr>
          <a:r>
            <a:rPr lang="es-CO" sz="2000" kern="1200"/>
            <a:t>Cargos: 1</a:t>
          </a:r>
        </a:p>
      </dsp:txBody>
      <dsp:txXfrm>
        <a:off x="2875317" y="2263919"/>
        <a:ext cx="1623718" cy="311366"/>
      </dsp:txXfrm>
    </dsp:sp>
  </dsp:spTree>
</dsp:drawing>
</file>

<file path=xl/diagrams/layout1.xml><?xml version="1.0" encoding="utf-8"?>
<dgm:layoutDef xmlns:dgm="http://schemas.openxmlformats.org/drawingml/2006/diagram" xmlns:a="http://schemas.openxmlformats.org/drawingml/2006/main" uniqueId="urn:microsoft.com/office/officeart/2008/layout/NameandTitleOrganizationalChart">
  <dgm:title val=""/>
  <dgm:desc val=""/>
  <dgm:catLst>
    <dgm:cat type="hierarchy" pri="125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1" styleLbl="fgAcc0">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alg type="conn">
                            <dgm:param type="connRout" val="bend"/>
                            <dgm:param type="dim" val="1D"/>
                            <dgm:param type="endSty" val="noArr"/>
                            <dgm:param type="begPts" val="bCtr"/>
                            <dgm:param type="endPts" val="tCtr"/>
                            <dgm:param type="bendPt" val="end"/>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41" func="var" arg="hierBranch" op="equ" val="hang">
                    <dgm:layoutNode name="Name42">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3">
                    <dgm:layoutNode name="Name44">
                      <dgm:choose name="Name45">
                        <dgm:if name="Name46" axis="self" func="depth" op="lte" val="2">
                          <dgm:choose name="Name47">
                            <dgm:if name="Name48" axis="par ch" ptType="node asst" func="cnt" op="gte" val="1">
                              <dgm:alg type="conn">
                                <dgm:param type="connRout" val="bend"/>
                                <dgm:param type="dim" val="1D"/>
                                <dgm:param type="endSty" val="noArr"/>
                                <dgm:param type="begPts" val="bCtr"/>
                                <dgm:param type="endPts" val="midL midR"/>
                              </dgm:alg>
                            </dgm:if>
                            <dgm:else name="Name49">
                              <dgm:alg type="conn">
                                <dgm:param type="connRout" val="bend"/>
                                <dgm:param type="dim" val="1D"/>
                                <dgm:param type="endSty" val="noArr"/>
                                <dgm:param type="begPts" val="bCtr"/>
                                <dgm:param type="endPts" val="midL midR"/>
                                <dgm:param type="srcNode" val="rootConnector1"/>
                              </dgm:alg>
                            </dgm:else>
                          </dgm:choose>
                        </dgm:if>
                        <dgm:else name="Name50">
                          <dgm:choose name="Name51">
                            <dgm:if name="Name52" axis="par ch" ptType="node asst" func="cnt" op="gte" val="1">
                              <dgm:alg type="conn">
                                <dgm:param type="connRout" val="bend"/>
                                <dgm:param type="dim" val="1D"/>
                                <dgm:param type="endSty" val="noArr"/>
                                <dgm:param type="begPts" val="bCtr"/>
                                <dgm:param type="endPts" val="midL midR"/>
                              </dgm:alg>
                            </dgm:if>
                            <dgm:else name="Name53">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54">
                  <dgm:if name="Name55" func="var" arg="hierBranch" op="equ" val="l">
                    <dgm:choose name="Name56">
                      <dgm:if name="Name57"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58">
                        <dgm:alg type="hierRoot">
                          <dgm:param type="hierAlign" val="tR"/>
                        </dgm:alg>
                        <dgm:shape xmlns:r="http://schemas.openxmlformats.org/officeDocument/2006/relationships" r:blip="">
                          <dgm:adjLst/>
                        </dgm:shape>
                        <dgm:presOf/>
                        <dgm:constrLst>
                          <dgm:constr type="alignOff" val="0.25"/>
                        </dgm:constrLst>
                      </dgm:else>
                    </dgm:choose>
                  </dgm:if>
                  <dgm:if name="Name59" func="var" arg="hierBranch" op="equ" val="r">
                    <dgm:choose name="Name60">
                      <dgm:if name="Name61"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2">
                        <dgm:alg type="hierRoot">
                          <dgm:param type="hierAlign" val="tL"/>
                        </dgm:alg>
                        <dgm:shape xmlns:r="http://schemas.openxmlformats.org/officeDocument/2006/relationships" r:blip="">
                          <dgm:adjLst/>
                        </dgm:shape>
                        <dgm:presOf/>
                        <dgm:constrLst>
                          <dgm:constr type="alignOff" val="0.25"/>
                        </dgm:constrLst>
                      </dgm:else>
                    </dgm:choose>
                  </dgm:if>
                  <dgm:if name="Name63"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4"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65">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66">
                    <dgm:if name="Name67" func="var" arg="hierBranch" op="equ" val="init">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68" func="var" arg="hierBranch" op="equ" val="l">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69" func="var" arg="hierBranch" op="equ" val="r">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70">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2" styleLbl="fgAcc1">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71">
                    <dgm:if name="Name72" func="var" arg="hierBranch" op="equ" val="l">
                      <dgm:alg type="hierChild">
                        <dgm:param type="chAlign" val="r"/>
                        <dgm:param type="linDir" val="fromT"/>
                      </dgm:alg>
                    </dgm:if>
                    <dgm:if name="Name73" func="var" arg="hierBranch" op="equ" val="r">
                      <dgm:alg type="hierChild">
                        <dgm:param type="chAlign" val="l"/>
                        <dgm:param type="linDir" val="fromT"/>
                      </dgm:alg>
                    </dgm:if>
                    <dgm:if name="Name74" func="var" arg="hierBranch" op="equ" val="hang">
                      <dgm:choose name="Name75">
                        <dgm:if name="Name76" func="var" arg="dir" op="equ" val="norm">
                          <dgm:alg type="hierChild">
                            <dgm:param type="chAlign" val="l"/>
                            <dgm:param type="linDir" val="fromL"/>
                            <dgm:param type="secChAlign" val="t"/>
                            <dgm:param type="secLinDir" val="fromT"/>
                          </dgm:alg>
                        </dgm:if>
                        <dgm:else name="Name77">
                          <dgm:alg type="hierChild">
                            <dgm:param type="chAlign" val="l"/>
                            <dgm:param type="linDir" val="fromR"/>
                            <dgm:param type="secChAlign" val="t"/>
                            <dgm:param type="secLinDir" val="fromT"/>
                          </dgm:alg>
                        </dgm:else>
                      </dgm:choose>
                    </dgm:if>
                    <dgm:if name="Name78" func="var" arg="hierBranch" op="equ" val="std">
                      <dgm:choose name="Name79">
                        <dgm:if name="Name80" func="var" arg="dir" op="equ" val="norm">
                          <dgm:alg type="hierChild"/>
                        </dgm:if>
                        <dgm:else name="Name81">
                          <dgm:alg type="hierChild">
                            <dgm:param type="linDir" val="fromR"/>
                          </dgm:alg>
                        </dgm:else>
                      </dgm:choose>
                    </dgm:if>
                    <dgm:if name="Name82" func="var" arg="hierBranch" op="equ" val="init">
                      <dgm:choose name="Name83">
                        <dgm:if name="Name84" func="var" arg="dir" op="equ" val="norm">
                          <dgm:alg type="hierChild"/>
                        </dgm:if>
                        <dgm:else name="Name85">
                          <dgm:alg type="hierChild">
                            <dgm:param type="linDir" val="fromR"/>
                          </dgm:alg>
                        </dgm:else>
                      </dgm:choose>
                    </dgm:if>
                    <dgm:else name="Name86"/>
                  </dgm:choose>
                  <dgm:shape xmlns:r="http://schemas.openxmlformats.org/officeDocument/2006/relationships" r:blip="">
                    <dgm:adjLst/>
                  </dgm:shape>
                  <dgm:presOf/>
                  <dgm:constrLst/>
                  <dgm:ruleLst/>
                  <dgm:forEach name="Name87" ref="rep2a"/>
                </dgm:layoutNode>
                <dgm:layoutNode name="hierChild5">
                  <dgm:choose name="Name88">
                    <dgm:if name="Name89" func="var" arg="dir" op="equ" val="norm">
                      <dgm:alg type="hierChild">
                        <dgm:param type="chAlign" val="l"/>
                        <dgm:param type="linDir" val="fromL"/>
                        <dgm:param type="secChAlign" val="t"/>
                        <dgm:param type="secLinDir" val="fromT"/>
                      </dgm:alg>
                    </dgm:if>
                    <dgm:else name="Name90">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91" ref="rep2b"/>
                </dgm:layoutNode>
              </dgm:layoutNode>
            </dgm:forEach>
          </dgm:layoutNode>
          <dgm:layoutNode name="hierChild3">
            <dgm:choose name="Name92">
              <dgm:if name="Name93" func="var" arg="dir" op="equ" val="norm">
                <dgm:alg type="hierChild">
                  <dgm:param type="chAlign" val="l"/>
                  <dgm:param type="linDir" val="fromL"/>
                  <dgm:param type="secChAlign" val="t"/>
                  <dgm:param type="secLinDir" val="fromT"/>
                </dgm:alg>
              </dgm:if>
              <dgm:else name="Name94">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95" axis="precedSib" ptType="parTrans" st="-1" cnt="1">
                <dgm:layoutNode name="Name96">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97">
                  <dgm:if name="Name98" func="var" arg="hierBranch" op="equ" val="l">
                    <dgm:alg type="hierRoot">
                      <dgm:param type="hierAlign" val="tR"/>
                    </dgm:alg>
                    <dgm:shape xmlns:r="http://schemas.openxmlformats.org/officeDocument/2006/relationships" r:blip="">
                      <dgm:adjLst/>
                    </dgm:shape>
                    <dgm:presOf/>
                    <dgm:constrLst>
                      <dgm:constr type="alignOff" val="0.65"/>
                    </dgm:constrLst>
                  </dgm:if>
                  <dgm:if name="Name99" func="var" arg="hierBranch" op="equ" val="r">
                    <dgm:alg type="hierRoot">
                      <dgm:param type="hierAlign" val="tL"/>
                    </dgm:alg>
                    <dgm:shape xmlns:r="http://schemas.openxmlformats.org/officeDocument/2006/relationships" r:blip="">
                      <dgm:adjLst/>
                    </dgm:shape>
                    <dgm:presOf/>
                    <dgm:constrLst>
                      <dgm:constr type="alignOff" val="0.65"/>
                    </dgm:constrLst>
                  </dgm:if>
                  <dgm:if name="Name100" func="var" arg="hierBranch" op="equ" val="hang">
                    <dgm:alg type="hierRoot"/>
                    <dgm:shape xmlns:r="http://schemas.openxmlformats.org/officeDocument/2006/relationships" r:blip="">
                      <dgm:adjLst/>
                    </dgm:shape>
                    <dgm:presOf/>
                    <dgm:constrLst>
                      <dgm:constr type="alignOff" val="0.65"/>
                    </dgm:constrLst>
                  </dgm:if>
                  <dgm:if name="Name101"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02"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103"/>
                </dgm:choose>
                <dgm:ruleLst/>
                <dgm:layoutNode name="rootComposite3">
                  <dgm:alg type="composite"/>
                  <dgm:shape xmlns:r="http://schemas.openxmlformats.org/officeDocument/2006/relationships" r:blip="">
                    <dgm:adjLst/>
                  </dgm:shape>
                  <dgm:presOf axis="self" ptType="node" cnt="1"/>
                  <dgm:choose name="Name104">
                    <dgm:if name="Name105" func="var" arg="hierBranch" op="equ" val="init">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06" func="var" arg="hierBranch" op="equ" val="l">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07" func="var" arg="hierBranch" op="equ" val="r">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08">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styleLbl="asst1">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3" styleLbl="fgAcc2">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09">
                    <dgm:if name="Name110" func="var" arg="hierBranch" op="equ" val="l">
                      <dgm:alg type="hierChild">
                        <dgm:param type="chAlign" val="r"/>
                        <dgm:param type="linDir" val="fromT"/>
                      </dgm:alg>
                    </dgm:if>
                    <dgm:if name="Name111" func="var" arg="hierBranch" op="equ" val="r">
                      <dgm:alg type="hierChild">
                        <dgm:param type="chAlign" val="l"/>
                        <dgm:param type="linDir" val="fromT"/>
                      </dgm:alg>
                    </dgm:if>
                    <dgm:if name="Name112" func="var" arg="hierBranch" op="equ" val="hang">
                      <dgm:choose name="Name113">
                        <dgm:if name="Name114" func="var" arg="dir" op="equ" val="norm">
                          <dgm:alg type="hierChild">
                            <dgm:param type="chAlign" val="l"/>
                            <dgm:param type="linDir" val="fromL"/>
                            <dgm:param type="secChAlign" val="t"/>
                            <dgm:param type="secLinDir" val="fromT"/>
                          </dgm:alg>
                        </dgm:if>
                        <dgm:else name="Name115">
                          <dgm:alg type="hierChild">
                            <dgm:param type="chAlign" val="l"/>
                            <dgm:param type="linDir" val="fromR"/>
                            <dgm:param type="secChAlign" val="t"/>
                            <dgm:param type="secLinDir" val="fromT"/>
                          </dgm:alg>
                        </dgm:else>
                      </dgm:choose>
                    </dgm:if>
                    <dgm:if name="Name116" func="var" arg="hierBranch" op="equ" val="std">
                      <dgm:choose name="Name117">
                        <dgm:if name="Name118" func="var" arg="dir" op="equ" val="norm">
                          <dgm:alg type="hierChild"/>
                        </dgm:if>
                        <dgm:else name="Name119">
                          <dgm:alg type="hierChild">
                            <dgm:param type="linDir" val="fromR"/>
                          </dgm:alg>
                        </dgm:else>
                      </dgm:choose>
                    </dgm:if>
                    <dgm:if name="Name120" func="var" arg="hierBranch" op="equ" val="init">
                      <dgm:alg type="hierChild"/>
                    </dgm:if>
                    <dgm:else name="Name121"/>
                  </dgm:choose>
                  <dgm:shape xmlns:r="http://schemas.openxmlformats.org/officeDocument/2006/relationships" r:blip="">
                    <dgm:adjLst/>
                  </dgm:shape>
                  <dgm:presOf/>
                  <dgm:constrLst/>
                  <dgm:ruleLst/>
                  <dgm:forEach name="Name122" ref="rep2a"/>
                </dgm:layoutNode>
                <dgm:layoutNode name="hierChild7">
                  <dgm:choose name="Name123">
                    <dgm:if name="Name124" func="var" arg="dir" op="equ" val="norm">
                      <dgm:alg type="hierChild">
                        <dgm:param type="chAlign" val="l"/>
                        <dgm:param type="linDir" val="fromL"/>
                        <dgm:param type="secChAlign" val="t"/>
                        <dgm:param type="secLinDir" val="fromT"/>
                      </dgm:alg>
                    </dgm:if>
                    <dgm:else name="Name12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26"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svg"/><Relationship Id="rId2" Type="http://schemas.openxmlformats.org/officeDocument/2006/relationships/image" Target="../media/image6.pn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8" Type="http://schemas.openxmlformats.org/officeDocument/2006/relationships/image" Target="../media/image13.svg"/><Relationship Id="rId3" Type="http://schemas.openxmlformats.org/officeDocument/2006/relationships/diagramQuickStyle" Target="../diagrams/quickStyle1.xml"/><Relationship Id="rId7" Type="http://schemas.openxmlformats.org/officeDocument/2006/relationships/image" Target="../media/image1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1.jpe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5.xml.rels><?xml version="1.0" encoding="UTF-8" standalone="yes"?>
<Relationships xmlns="http://schemas.openxmlformats.org/package/2006/relationships"><Relationship Id="rId3" Type="http://schemas.openxmlformats.org/officeDocument/2006/relationships/image" Target="../media/image16.svg"/><Relationship Id="rId2" Type="http://schemas.openxmlformats.org/officeDocument/2006/relationships/image" Target="../media/image15.png"/><Relationship Id="rId1" Type="http://schemas.openxmlformats.org/officeDocument/2006/relationships/image" Target="../media/image1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664369</xdr:colOff>
      <xdr:row>71</xdr:row>
      <xdr:rowOff>0</xdr:rowOff>
    </xdr:from>
    <xdr:to>
      <xdr:col>4</xdr:col>
      <xdr:colOff>390525</xdr:colOff>
      <xdr:row>75</xdr:row>
      <xdr:rowOff>142876</xdr:rowOff>
    </xdr:to>
    <xdr:pic>
      <xdr:nvPicPr>
        <xdr:cNvPr id="2" name="Gráfico 1" descr="Libro cerrado">
          <a:extLst>
            <a:ext uri="{FF2B5EF4-FFF2-40B4-BE49-F238E27FC236}">
              <a16:creationId xmlns:a16="http://schemas.microsoft.com/office/drawing/2014/main" id="{E011703C-A60C-45CA-9C4E-5140E70DCD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65219" y="32289750"/>
          <a:ext cx="954881" cy="942976"/>
        </a:xfrm>
        <a:prstGeom prst="rect">
          <a:avLst/>
        </a:prstGeom>
      </xdr:spPr>
    </xdr:pic>
    <xdr:clientData/>
  </xdr:twoCellAnchor>
  <xdr:twoCellAnchor>
    <xdr:from>
      <xdr:col>4</xdr:col>
      <xdr:colOff>261936</xdr:colOff>
      <xdr:row>71</xdr:row>
      <xdr:rowOff>83343</xdr:rowOff>
    </xdr:from>
    <xdr:to>
      <xdr:col>5</xdr:col>
      <xdr:colOff>1547811</xdr:colOff>
      <xdr:row>75</xdr:row>
      <xdr:rowOff>23813</xdr:rowOff>
    </xdr:to>
    <xdr:sp macro="" textlink="">
      <xdr:nvSpPr>
        <xdr:cNvPr id="3" name="Rectángulo 2">
          <a:extLst>
            <a:ext uri="{FF2B5EF4-FFF2-40B4-BE49-F238E27FC236}">
              <a16:creationId xmlns:a16="http://schemas.microsoft.com/office/drawing/2014/main" id="{B3BA068F-0485-421F-AF62-6C980552162A}"/>
            </a:ext>
          </a:extLst>
        </xdr:cNvPr>
        <xdr:cNvSpPr/>
      </xdr:nvSpPr>
      <xdr:spPr>
        <a:xfrm>
          <a:off x="8291511" y="32373093"/>
          <a:ext cx="2762250" cy="740570"/>
        </a:xfrm>
        <a:prstGeom prst="rect">
          <a:avLst/>
        </a:prstGeom>
        <a:solidFill>
          <a:schemeClr val="accent3">
            <a:lumMod val="75000"/>
          </a:schemeClr>
        </a:solid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600" b="1">
              <a:solidFill>
                <a:schemeClr val="bg1"/>
              </a:solidFill>
            </a:rPr>
            <a:t>Regresar a Contenido</a:t>
          </a:r>
        </a:p>
      </xdr:txBody>
    </xdr:sp>
    <xdr:clientData/>
  </xdr:twoCellAnchor>
  <xdr:twoCellAnchor editAs="oneCell">
    <xdr:from>
      <xdr:col>1</xdr:col>
      <xdr:colOff>0</xdr:colOff>
      <xdr:row>0</xdr:row>
      <xdr:rowOff>0</xdr:rowOff>
    </xdr:from>
    <xdr:to>
      <xdr:col>10</xdr:col>
      <xdr:colOff>63500</xdr:colOff>
      <xdr:row>1</xdr:row>
      <xdr:rowOff>0</xdr:rowOff>
    </xdr:to>
    <xdr:pic>
      <xdr:nvPicPr>
        <xdr:cNvPr id="4" name="Imagen 3">
          <a:extLst>
            <a:ext uri="{FF2B5EF4-FFF2-40B4-BE49-F238E27FC236}">
              <a16:creationId xmlns:a16="http://schemas.microsoft.com/office/drawing/2014/main" id="{1EBCB4C3-E86F-4303-A524-515079450E8F}"/>
            </a:ext>
          </a:extLst>
        </xdr:cNvPr>
        <xdr:cNvPicPr>
          <a:picLocks noChangeAspect="1"/>
        </xdr:cNvPicPr>
      </xdr:nvPicPr>
      <xdr:blipFill>
        <a:blip xmlns:r="http://schemas.openxmlformats.org/officeDocument/2006/relationships" r:embed="rId3"/>
        <a:stretch>
          <a:fillRect/>
        </a:stretch>
      </xdr:blipFill>
      <xdr:spPr>
        <a:xfrm>
          <a:off x="447675" y="0"/>
          <a:ext cx="17370425" cy="5191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333374</xdr:colOff>
      <xdr:row>0</xdr:row>
      <xdr:rowOff>9524</xdr:rowOff>
    </xdr:from>
    <xdr:to>
      <xdr:col>12</xdr:col>
      <xdr:colOff>136071</xdr:colOff>
      <xdr:row>1</xdr:row>
      <xdr:rowOff>1057</xdr:rowOff>
    </xdr:to>
    <xdr:pic>
      <xdr:nvPicPr>
        <xdr:cNvPr id="2" name="Imagen 1">
          <a:extLst>
            <a:ext uri="{FF2B5EF4-FFF2-40B4-BE49-F238E27FC236}">
              <a16:creationId xmlns:a16="http://schemas.microsoft.com/office/drawing/2014/main" id="{A0B2B613-B6DA-4E74-8608-98969195BA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4" y="9524"/>
          <a:ext cx="12499522" cy="5192183"/>
        </a:xfrm>
        <a:prstGeom prst="rect">
          <a:avLst/>
        </a:prstGeom>
      </xdr:spPr>
    </xdr:pic>
    <xdr:clientData/>
  </xdr:twoCellAnchor>
  <xdr:twoCellAnchor editAs="oneCell">
    <xdr:from>
      <xdr:col>5</xdr:col>
      <xdr:colOff>428625</xdr:colOff>
      <xdr:row>371</xdr:row>
      <xdr:rowOff>104775</xdr:rowOff>
    </xdr:from>
    <xdr:to>
      <xdr:col>6</xdr:col>
      <xdr:colOff>581025</xdr:colOff>
      <xdr:row>376</xdr:row>
      <xdr:rowOff>19049</xdr:rowOff>
    </xdr:to>
    <xdr:pic>
      <xdr:nvPicPr>
        <xdr:cNvPr id="3" name="Gráfico 2" descr="Gráfico de barras con tendencia alcista">
          <a:extLst>
            <a:ext uri="{FF2B5EF4-FFF2-40B4-BE49-F238E27FC236}">
              <a16:creationId xmlns:a16="http://schemas.microsoft.com/office/drawing/2014/main" id="{D79E9815-887B-4242-88B5-2525888C39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524375" y="103355775"/>
          <a:ext cx="914400" cy="914399"/>
        </a:xfrm>
        <a:prstGeom prst="rect">
          <a:avLst/>
        </a:prstGeom>
      </xdr:spPr>
    </xdr:pic>
    <xdr:clientData/>
  </xdr:twoCellAnchor>
  <xdr:twoCellAnchor>
    <xdr:from>
      <xdr:col>6</xdr:col>
      <xdr:colOff>561975</xdr:colOff>
      <xdr:row>372</xdr:row>
      <xdr:rowOff>38100</xdr:rowOff>
    </xdr:from>
    <xdr:to>
      <xdr:col>8</xdr:col>
      <xdr:colOff>419100</xdr:colOff>
      <xdr:row>375</xdr:row>
      <xdr:rowOff>76200</xdr:rowOff>
    </xdr:to>
    <xdr:sp macro="" textlink="">
      <xdr:nvSpPr>
        <xdr:cNvPr id="4" name="Rectángulo 3">
          <a:extLst>
            <a:ext uri="{FF2B5EF4-FFF2-40B4-BE49-F238E27FC236}">
              <a16:creationId xmlns:a16="http://schemas.microsoft.com/office/drawing/2014/main" id="{8A8B510E-E122-4B76-8AAA-04099929E249}"/>
            </a:ext>
          </a:extLst>
        </xdr:cNvPr>
        <xdr:cNvSpPr/>
      </xdr:nvSpPr>
      <xdr:spPr>
        <a:xfrm>
          <a:off x="5419725" y="103489125"/>
          <a:ext cx="2705100" cy="638175"/>
        </a:xfrm>
        <a:prstGeom prst="rect">
          <a:avLst/>
        </a:prstGeom>
        <a:solidFill>
          <a:schemeClr val="accent3">
            <a:lumMod val="75000"/>
          </a:schemeClr>
        </a:solid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600" b="1"/>
            <a:t>Regresar al</a:t>
          </a:r>
          <a:r>
            <a:rPr lang="es-CO" sz="1600" b="1" baseline="0"/>
            <a:t> Contenido</a:t>
          </a:r>
          <a:endParaRPr lang="es-CO" sz="16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518582</xdr:colOff>
      <xdr:row>0</xdr:row>
      <xdr:rowOff>0</xdr:rowOff>
    </xdr:from>
    <xdr:to>
      <xdr:col>19</xdr:col>
      <xdr:colOff>1344083</xdr:colOff>
      <xdr:row>1</xdr:row>
      <xdr:rowOff>2974</xdr:rowOff>
    </xdr:to>
    <xdr:pic>
      <xdr:nvPicPr>
        <xdr:cNvPr id="2" name="Imagen 1">
          <a:extLst>
            <a:ext uri="{FF2B5EF4-FFF2-40B4-BE49-F238E27FC236}">
              <a16:creationId xmlns:a16="http://schemas.microsoft.com/office/drawing/2014/main" id="{B16393D7-243C-4F85-A67D-6902989596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8582" y="0"/>
          <a:ext cx="16816918" cy="5199391"/>
        </a:xfrm>
        <a:prstGeom prst="rect">
          <a:avLst/>
        </a:prstGeom>
      </xdr:spPr>
    </xdr:pic>
    <xdr:clientData/>
  </xdr:twoCellAnchor>
  <xdr:twoCellAnchor editAs="oneCell">
    <xdr:from>
      <xdr:col>10</xdr:col>
      <xdr:colOff>653143</xdr:colOff>
      <xdr:row>504</xdr:row>
      <xdr:rowOff>156482</xdr:rowOff>
    </xdr:from>
    <xdr:to>
      <xdr:col>11</xdr:col>
      <xdr:colOff>757463</xdr:colOff>
      <xdr:row>511</xdr:row>
      <xdr:rowOff>88446</xdr:rowOff>
    </xdr:to>
    <xdr:pic>
      <xdr:nvPicPr>
        <xdr:cNvPr id="3" name="Gráfico 2" descr="Disco de sierra">
          <a:extLst>
            <a:ext uri="{FF2B5EF4-FFF2-40B4-BE49-F238E27FC236}">
              <a16:creationId xmlns:a16="http://schemas.microsoft.com/office/drawing/2014/main" id="{FEED852B-A13C-4D24-AAFB-713CBAEDA6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5993" y="129906032"/>
          <a:ext cx="1253671" cy="1265464"/>
        </a:xfrm>
        <a:prstGeom prst="rect">
          <a:avLst/>
        </a:prstGeom>
      </xdr:spPr>
    </xdr:pic>
    <xdr:clientData/>
  </xdr:twoCellAnchor>
  <xdr:twoCellAnchor>
    <xdr:from>
      <xdr:col>11</xdr:col>
      <xdr:colOff>823233</xdr:colOff>
      <xdr:row>506</xdr:row>
      <xdr:rowOff>13606</xdr:rowOff>
    </xdr:from>
    <xdr:to>
      <xdr:col>16</xdr:col>
      <xdr:colOff>378732</xdr:colOff>
      <xdr:row>510</xdr:row>
      <xdr:rowOff>95249</xdr:rowOff>
    </xdr:to>
    <xdr:sp macro="" textlink="">
      <xdr:nvSpPr>
        <xdr:cNvPr id="4" name="Rectángulo 3">
          <a:extLst>
            <a:ext uri="{FF2B5EF4-FFF2-40B4-BE49-F238E27FC236}">
              <a16:creationId xmlns:a16="http://schemas.microsoft.com/office/drawing/2014/main" id="{B049BA47-D097-4C4D-B048-F21CB12669D4}"/>
            </a:ext>
          </a:extLst>
        </xdr:cNvPr>
        <xdr:cNvSpPr/>
      </xdr:nvSpPr>
      <xdr:spPr>
        <a:xfrm>
          <a:off x="9535433" y="130144156"/>
          <a:ext cx="3073399" cy="843643"/>
        </a:xfrm>
        <a:prstGeom prst="rect">
          <a:avLst/>
        </a:prstGeom>
        <a:solidFill>
          <a:schemeClr val="accent3">
            <a:lumMod val="75000"/>
          </a:schemeClr>
        </a:solid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600" b="1">
              <a:solidFill>
                <a:schemeClr val="bg1"/>
              </a:solidFill>
            </a:rPr>
            <a:t>Regresar al Contenido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908049</xdr:colOff>
      <xdr:row>106</xdr:row>
      <xdr:rowOff>137584</xdr:rowOff>
    </xdr:from>
    <xdr:to>
      <xdr:col>10</xdr:col>
      <xdr:colOff>518583</xdr:colOff>
      <xdr:row>127</xdr:row>
      <xdr:rowOff>116418</xdr:rowOff>
    </xdr:to>
    <xdr:graphicFrame macro="">
      <xdr:nvGraphicFramePr>
        <xdr:cNvPr id="2" name="Diagrama 1">
          <a:extLst>
            <a:ext uri="{FF2B5EF4-FFF2-40B4-BE49-F238E27FC236}">
              <a16:creationId xmlns:a16="http://schemas.microsoft.com/office/drawing/2014/main" id="{1CFC739A-2308-49B3-8D9C-DD312A64D1C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385534</xdr:colOff>
      <xdr:row>0</xdr:row>
      <xdr:rowOff>0</xdr:rowOff>
    </xdr:from>
    <xdr:to>
      <xdr:col>13</xdr:col>
      <xdr:colOff>105834</xdr:colOff>
      <xdr:row>1</xdr:row>
      <xdr:rowOff>23813</xdr:rowOff>
    </xdr:to>
    <xdr:pic>
      <xdr:nvPicPr>
        <xdr:cNvPr id="3" name="Imagen 2">
          <a:extLst>
            <a:ext uri="{FF2B5EF4-FFF2-40B4-BE49-F238E27FC236}">
              <a16:creationId xmlns:a16="http://schemas.microsoft.com/office/drawing/2014/main" id="{4E8B8491-5000-47A7-A640-45EE12A0AB3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85534" y="0"/>
          <a:ext cx="14304133" cy="5220230"/>
        </a:xfrm>
        <a:prstGeom prst="rect">
          <a:avLst/>
        </a:prstGeom>
      </xdr:spPr>
    </xdr:pic>
    <xdr:clientData/>
  </xdr:twoCellAnchor>
  <xdr:twoCellAnchor editAs="oneCell">
    <xdr:from>
      <xdr:col>5</xdr:col>
      <xdr:colOff>130970</xdr:colOff>
      <xdr:row>348</xdr:row>
      <xdr:rowOff>166689</xdr:rowOff>
    </xdr:from>
    <xdr:to>
      <xdr:col>5</xdr:col>
      <xdr:colOff>1095375</xdr:colOff>
      <xdr:row>353</xdr:row>
      <xdr:rowOff>119062</xdr:rowOff>
    </xdr:to>
    <xdr:pic>
      <xdr:nvPicPr>
        <xdr:cNvPr id="4" name="Gráfico 3" descr="Reseña de cliente">
          <a:extLst>
            <a:ext uri="{FF2B5EF4-FFF2-40B4-BE49-F238E27FC236}">
              <a16:creationId xmlns:a16="http://schemas.microsoft.com/office/drawing/2014/main" id="{82E362DC-FA20-477F-A449-E30C44FBAD3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71270" y="85097939"/>
          <a:ext cx="964405" cy="936622"/>
        </a:xfrm>
        <a:prstGeom prst="rect">
          <a:avLst/>
        </a:prstGeom>
      </xdr:spPr>
    </xdr:pic>
    <xdr:clientData/>
  </xdr:twoCellAnchor>
  <xdr:twoCellAnchor>
    <xdr:from>
      <xdr:col>6</xdr:col>
      <xdr:colOff>71437</xdr:colOff>
      <xdr:row>349</xdr:row>
      <xdr:rowOff>23812</xdr:rowOff>
    </xdr:from>
    <xdr:to>
      <xdr:col>8</xdr:col>
      <xdr:colOff>642938</xdr:colOff>
      <xdr:row>353</xdr:row>
      <xdr:rowOff>47624</xdr:rowOff>
    </xdr:to>
    <xdr:sp macro="" textlink="">
      <xdr:nvSpPr>
        <xdr:cNvPr id="5" name="Rectángulo 4">
          <a:extLst>
            <a:ext uri="{FF2B5EF4-FFF2-40B4-BE49-F238E27FC236}">
              <a16:creationId xmlns:a16="http://schemas.microsoft.com/office/drawing/2014/main" id="{6CC04A60-6AA1-4E49-9421-C095F6510122}"/>
            </a:ext>
          </a:extLst>
        </xdr:cNvPr>
        <xdr:cNvSpPr/>
      </xdr:nvSpPr>
      <xdr:spPr>
        <a:xfrm>
          <a:off x="6142037" y="85151912"/>
          <a:ext cx="2832101" cy="811212"/>
        </a:xfrm>
        <a:prstGeom prst="rect">
          <a:avLst/>
        </a:prstGeom>
        <a:solidFill>
          <a:schemeClr val="accent3">
            <a:lumMod val="75000"/>
          </a:schemeClr>
        </a:solid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Regresar</a:t>
          </a:r>
          <a:r>
            <a:rPr lang="es-CO" sz="1800" b="1" baseline="0"/>
            <a:t> al Contenido</a:t>
          </a:r>
          <a:endParaRPr lang="es-CO" sz="18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402165</xdr:colOff>
      <xdr:row>0</xdr:row>
      <xdr:rowOff>0</xdr:rowOff>
    </xdr:from>
    <xdr:to>
      <xdr:col>15</xdr:col>
      <xdr:colOff>651252</xdr:colOff>
      <xdr:row>1</xdr:row>
      <xdr:rowOff>23811</xdr:rowOff>
    </xdr:to>
    <xdr:pic>
      <xdr:nvPicPr>
        <xdr:cNvPr id="2" name="Imagen 1">
          <a:extLst>
            <a:ext uri="{FF2B5EF4-FFF2-40B4-BE49-F238E27FC236}">
              <a16:creationId xmlns:a16="http://schemas.microsoft.com/office/drawing/2014/main" id="{37B2E39B-EFE9-464D-9775-2A200B440E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2165" y="0"/>
          <a:ext cx="15002254" cy="5220228"/>
        </a:xfrm>
        <a:prstGeom prst="rect">
          <a:avLst/>
        </a:prstGeom>
      </xdr:spPr>
    </xdr:pic>
    <xdr:clientData/>
  </xdr:twoCellAnchor>
  <xdr:twoCellAnchor editAs="oneCell">
    <xdr:from>
      <xdr:col>6</xdr:col>
      <xdr:colOff>748391</xdr:colOff>
      <xdr:row>213</xdr:row>
      <xdr:rowOff>13606</xdr:rowOff>
    </xdr:from>
    <xdr:to>
      <xdr:col>7</xdr:col>
      <xdr:colOff>870855</xdr:colOff>
      <xdr:row>219</xdr:row>
      <xdr:rowOff>81642</xdr:rowOff>
    </xdr:to>
    <xdr:pic>
      <xdr:nvPicPr>
        <xdr:cNvPr id="3" name="Gráfico 2" descr="Calendario diario">
          <a:extLst>
            <a:ext uri="{FF2B5EF4-FFF2-40B4-BE49-F238E27FC236}">
              <a16:creationId xmlns:a16="http://schemas.microsoft.com/office/drawing/2014/main" id="{F362C289-9C82-46E6-9834-2FB7475D2C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082391" y="52229656"/>
          <a:ext cx="1290865" cy="1249136"/>
        </a:xfrm>
        <a:prstGeom prst="rect">
          <a:avLst/>
        </a:prstGeom>
      </xdr:spPr>
    </xdr:pic>
    <xdr:clientData/>
  </xdr:twoCellAnchor>
  <xdr:twoCellAnchor>
    <xdr:from>
      <xdr:col>7</xdr:col>
      <xdr:colOff>816428</xdr:colOff>
      <xdr:row>214</xdr:row>
      <xdr:rowOff>108857</xdr:rowOff>
    </xdr:from>
    <xdr:to>
      <xdr:col>11</xdr:col>
      <xdr:colOff>122464</xdr:colOff>
      <xdr:row>218</xdr:row>
      <xdr:rowOff>95251</xdr:rowOff>
    </xdr:to>
    <xdr:sp macro="" textlink="">
      <xdr:nvSpPr>
        <xdr:cNvPr id="4" name="Rectángulo 3">
          <a:extLst>
            <a:ext uri="{FF2B5EF4-FFF2-40B4-BE49-F238E27FC236}">
              <a16:creationId xmlns:a16="http://schemas.microsoft.com/office/drawing/2014/main" id="{2F44F517-275D-4D08-92B3-A0147A56E13D}"/>
            </a:ext>
          </a:extLst>
        </xdr:cNvPr>
        <xdr:cNvSpPr/>
      </xdr:nvSpPr>
      <xdr:spPr>
        <a:xfrm>
          <a:off x="7318828" y="52521757"/>
          <a:ext cx="3274786" cy="773794"/>
        </a:xfrm>
        <a:prstGeom prst="rect">
          <a:avLst/>
        </a:prstGeom>
        <a:ln w="31750">
          <a:solidFill>
            <a:srgbClr val="0070C0"/>
          </a:solid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es-CO" sz="1800" b="1"/>
            <a:t>Regresar al Contenido</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295274</xdr:rowOff>
    </xdr:from>
    <xdr:to>
      <xdr:col>7</xdr:col>
      <xdr:colOff>57150</xdr:colOff>
      <xdr:row>2</xdr:row>
      <xdr:rowOff>43813</xdr:rowOff>
    </xdr:to>
    <xdr:pic>
      <xdr:nvPicPr>
        <xdr:cNvPr id="2" name="Imagen 1">
          <a:extLst>
            <a:ext uri="{FF2B5EF4-FFF2-40B4-BE49-F238E27FC236}">
              <a16:creationId xmlns:a16="http://schemas.microsoft.com/office/drawing/2014/main" id="{55BF553B-F965-4C04-B55C-7E5A5CEFE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V="1">
          <a:off x="0" y="1019174"/>
          <a:ext cx="9474200" cy="40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238125</xdr:colOff>
      <xdr:row>0</xdr:row>
      <xdr:rowOff>314325</xdr:rowOff>
    </xdr:from>
    <xdr:to>
      <xdr:col>6</xdr:col>
      <xdr:colOff>495335</xdr:colOff>
      <xdr:row>1</xdr:row>
      <xdr:rowOff>0</xdr:rowOff>
    </xdr:to>
    <xdr:grpSp>
      <xdr:nvGrpSpPr>
        <xdr:cNvPr id="3" name="Grupo 2">
          <a:extLst>
            <a:ext uri="{FF2B5EF4-FFF2-40B4-BE49-F238E27FC236}">
              <a16:creationId xmlns:a16="http://schemas.microsoft.com/office/drawing/2014/main" id="{2AD927DD-844A-4AB6-BF06-098ACF4E174C}"/>
            </a:ext>
          </a:extLst>
        </xdr:cNvPr>
        <xdr:cNvGrpSpPr>
          <a:grpSpLocks/>
        </xdr:cNvGrpSpPr>
      </xdr:nvGrpSpPr>
      <xdr:grpSpPr bwMode="auto">
        <a:xfrm>
          <a:off x="238125" y="314325"/>
          <a:ext cx="8918610" cy="447675"/>
          <a:chOff x="288407" y="268532"/>
          <a:chExt cx="5630727" cy="447675"/>
        </a:xfrm>
      </xdr:grpSpPr>
      <xdr:pic>
        <xdr:nvPicPr>
          <xdr:cNvPr id="4" name="Imagen 17">
            <a:extLst>
              <a:ext uri="{FF2B5EF4-FFF2-40B4-BE49-F238E27FC236}">
                <a16:creationId xmlns:a16="http://schemas.microsoft.com/office/drawing/2014/main" id="{0ED0BB28-6C44-FB33-4913-A628CCF0509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8407" y="268532"/>
            <a:ext cx="9940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 name="Imagen 17">
            <a:extLst>
              <a:ext uri="{FF2B5EF4-FFF2-40B4-BE49-F238E27FC236}">
                <a16:creationId xmlns:a16="http://schemas.microsoft.com/office/drawing/2014/main" id="{52CF8C5F-27EF-23AB-4237-A26E5C4EB5D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811851" y="289875"/>
            <a:ext cx="1107283" cy="4049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10</xdr:col>
      <xdr:colOff>415290</xdr:colOff>
      <xdr:row>319</xdr:row>
      <xdr:rowOff>38100</xdr:rowOff>
    </xdr:from>
    <xdr:to>
      <xdr:col>18</xdr:col>
      <xdr:colOff>717550</xdr:colOff>
      <xdr:row>348</xdr:row>
      <xdr:rowOff>158750</xdr:rowOff>
    </xdr:to>
    <xdr:pic>
      <xdr:nvPicPr>
        <xdr:cNvPr id="7" name="Imagen 6">
          <a:extLst>
            <a:ext uri="{FF2B5EF4-FFF2-40B4-BE49-F238E27FC236}">
              <a16:creationId xmlns:a16="http://schemas.microsoft.com/office/drawing/2014/main" id="{D2666345-A326-94B0-82A1-A6CB3C98E87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9290" y="32746950"/>
          <a:ext cx="6347460" cy="528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57150</xdr:rowOff>
    </xdr:from>
    <xdr:to>
      <xdr:col>6</xdr:col>
      <xdr:colOff>57149</xdr:colOff>
      <xdr:row>1</xdr:row>
      <xdr:rowOff>102869</xdr:rowOff>
    </xdr:to>
    <xdr:pic>
      <xdr:nvPicPr>
        <xdr:cNvPr id="2" name="Imagen 16">
          <a:extLst>
            <a:ext uri="{FF2B5EF4-FFF2-40B4-BE49-F238E27FC236}">
              <a16:creationId xmlns:a16="http://schemas.microsoft.com/office/drawing/2014/main" id="{47814BCD-C6B4-4FDE-96EF-5853943041BF}"/>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844550"/>
          <a:ext cx="6489699" cy="457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6</xdr:col>
      <xdr:colOff>1058</xdr:colOff>
      <xdr:row>1</xdr:row>
      <xdr:rowOff>25400</xdr:rowOff>
    </xdr:to>
    <xdr:grpSp>
      <xdr:nvGrpSpPr>
        <xdr:cNvPr id="3" name="Grupo 2">
          <a:extLst>
            <a:ext uri="{FF2B5EF4-FFF2-40B4-BE49-F238E27FC236}">
              <a16:creationId xmlns:a16="http://schemas.microsoft.com/office/drawing/2014/main" id="{A5DC36CE-375A-440C-BB29-D46173FAFCD8}"/>
            </a:ext>
          </a:extLst>
        </xdr:cNvPr>
        <xdr:cNvGrpSpPr>
          <a:grpSpLocks/>
        </xdr:cNvGrpSpPr>
      </xdr:nvGrpSpPr>
      <xdr:grpSpPr bwMode="auto">
        <a:xfrm>
          <a:off x="0" y="0"/>
          <a:ext cx="6421614" cy="815622"/>
          <a:chOff x="288407" y="268532"/>
          <a:chExt cx="6203496" cy="447675"/>
        </a:xfrm>
      </xdr:grpSpPr>
      <xdr:pic>
        <xdr:nvPicPr>
          <xdr:cNvPr id="4" name="Imagen 17">
            <a:extLst>
              <a:ext uri="{FF2B5EF4-FFF2-40B4-BE49-F238E27FC236}">
                <a16:creationId xmlns:a16="http://schemas.microsoft.com/office/drawing/2014/main" id="{181CC951-82DA-AFE6-B0D0-87200F29815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8407" y="268532"/>
            <a:ext cx="148388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 name="Imagen 17">
            <a:extLst>
              <a:ext uri="{FF2B5EF4-FFF2-40B4-BE49-F238E27FC236}">
                <a16:creationId xmlns:a16="http://schemas.microsoft.com/office/drawing/2014/main" id="{6FA0539D-B654-8F0F-35CE-26C44248AB1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080990" y="289875"/>
            <a:ext cx="1410913" cy="4049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322791</xdr:colOff>
      <xdr:row>7</xdr:row>
      <xdr:rowOff>33867</xdr:rowOff>
    </xdr:from>
    <xdr:to>
      <xdr:col>11</xdr:col>
      <xdr:colOff>643466</xdr:colOff>
      <xdr:row>22</xdr:row>
      <xdr:rowOff>120649</xdr:rowOff>
    </xdr:to>
    <xdr:graphicFrame macro="">
      <xdr:nvGraphicFramePr>
        <xdr:cNvPr id="2" name="Gráfico 1">
          <a:extLst>
            <a:ext uri="{FF2B5EF4-FFF2-40B4-BE49-F238E27FC236}">
              <a16:creationId xmlns:a16="http://schemas.microsoft.com/office/drawing/2014/main" id="{A8CA3C49-DF0B-4EFE-A0A9-6E1F251AD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76730</xdr:colOff>
      <xdr:row>23</xdr:row>
      <xdr:rowOff>55034</xdr:rowOff>
    </xdr:from>
    <xdr:to>
      <xdr:col>11</xdr:col>
      <xdr:colOff>542397</xdr:colOff>
      <xdr:row>37</xdr:row>
      <xdr:rowOff>63500</xdr:rowOff>
    </xdr:to>
    <xdr:graphicFrame macro="">
      <xdr:nvGraphicFramePr>
        <xdr:cNvPr id="3" name="Gráfico 2">
          <a:extLst>
            <a:ext uri="{FF2B5EF4-FFF2-40B4-BE49-F238E27FC236}">
              <a16:creationId xmlns:a16="http://schemas.microsoft.com/office/drawing/2014/main" id="{5867C202-837A-8D97-7CB8-10C92F071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301625</xdr:colOff>
      <xdr:row>57</xdr:row>
      <xdr:rowOff>158750</xdr:rowOff>
    </xdr:from>
    <xdr:to>
      <xdr:col>11</xdr:col>
      <xdr:colOff>5292</xdr:colOff>
      <xdr:row>70</xdr:row>
      <xdr:rowOff>159278</xdr:rowOff>
    </xdr:to>
    <xdr:graphicFrame macro="">
      <xdr:nvGraphicFramePr>
        <xdr:cNvPr id="4" name="Gráfico 3">
          <a:extLst>
            <a:ext uri="{FF2B5EF4-FFF2-40B4-BE49-F238E27FC236}">
              <a16:creationId xmlns:a16="http://schemas.microsoft.com/office/drawing/2014/main" id="{BAFD3CA2-7F77-4B42-B812-F2F12B458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velasquezj@sena.edu.co" TargetMode="External"/><Relationship Id="rId2" Type="http://schemas.openxmlformats.org/officeDocument/2006/relationships/hyperlink" Target="mailto:saob1995@gmail.com" TargetMode="External"/><Relationship Id="rId1" Type="http://schemas.openxmlformats.org/officeDocument/2006/relationships/hyperlink" Target="mailto:saoviedo35@soy.sena.edu.co" TargetMode="External"/><Relationship Id="rId6" Type="http://schemas.openxmlformats.org/officeDocument/2006/relationships/drawing" Target="../drawings/drawing1.xml"/><Relationship Id="rId5" Type="http://schemas.openxmlformats.org/officeDocument/2006/relationships/hyperlink" Target="mailto:ebarreto@sena.edu.co" TargetMode="External"/><Relationship Id="rId4" Type="http://schemas.openxmlformats.org/officeDocument/2006/relationships/hyperlink" Target="mailto:llydis26@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8BBAD-2CE0-44A1-AD0A-04EB8EE92704}">
  <sheetPr>
    <tabColor theme="5" tint="0.39997558519241921"/>
  </sheetPr>
  <dimension ref="B1:BM995"/>
  <sheetViews>
    <sheetView showGridLines="0" topLeftCell="A5" zoomScale="60" zoomScaleNormal="60" workbookViewId="0">
      <selection activeCell="G61" sqref="G61:J61"/>
    </sheetView>
  </sheetViews>
  <sheetFormatPr baseColWidth="10" defaultColWidth="14.453125" defaultRowHeight="14" x14ac:dyDescent="0.3"/>
  <cols>
    <col min="1" max="1" width="6.7265625" style="4" customWidth="1"/>
    <col min="2" max="2" width="59.26953125" style="4" customWidth="1"/>
    <col min="3" max="3" width="36" style="4" customWidth="1"/>
    <col min="4" max="4" width="18.453125" style="4" customWidth="1"/>
    <col min="5" max="5" width="22.1796875" style="4" customWidth="1"/>
    <col min="6" max="6" width="41.7265625" style="4" customWidth="1"/>
    <col min="7" max="7" width="27.54296875" style="4" customWidth="1"/>
    <col min="8" max="8" width="20.1796875" style="4" customWidth="1"/>
    <col min="9" max="9" width="16" style="4" customWidth="1"/>
    <col min="10" max="10" width="18.26953125" style="4" customWidth="1"/>
    <col min="11" max="11" width="7.453125" style="4" customWidth="1"/>
    <col min="12" max="12" width="19.26953125" style="3" customWidth="1"/>
    <col min="13" max="16" width="19.81640625" style="3" customWidth="1"/>
    <col min="17" max="27" width="12.54296875" style="3" customWidth="1"/>
    <col min="28" max="65" width="14.453125" style="3"/>
    <col min="66" max="16384" width="14.453125" style="4"/>
  </cols>
  <sheetData>
    <row r="1" spans="2:32" ht="408.75" customHeight="1" x14ac:dyDescent="0.35">
      <c r="B1" s="792"/>
      <c r="C1" s="793"/>
      <c r="D1" s="793"/>
      <c r="E1" s="793"/>
      <c r="F1" s="793"/>
      <c r="G1" s="793"/>
      <c r="H1" s="793"/>
      <c r="I1" s="793"/>
      <c r="J1" s="794"/>
      <c r="K1" s="1"/>
      <c r="L1" s="2"/>
      <c r="M1" s="2"/>
      <c r="N1" s="2"/>
      <c r="O1" s="2"/>
      <c r="P1" s="2"/>
      <c r="Q1" s="2"/>
      <c r="R1" s="2"/>
      <c r="S1" s="2"/>
      <c r="T1" s="2"/>
      <c r="U1" s="2"/>
      <c r="V1" s="2"/>
      <c r="W1" s="2"/>
      <c r="X1" s="2"/>
      <c r="Y1" s="2"/>
      <c r="Z1" s="2"/>
      <c r="AA1" s="2"/>
    </row>
    <row r="2" spans="2:32" ht="14.25" customHeight="1" x14ac:dyDescent="0.35">
      <c r="C2" s="5"/>
      <c r="V2" s="2"/>
      <c r="W2" s="2"/>
      <c r="X2" s="2"/>
      <c r="Y2" s="2"/>
      <c r="Z2" s="2"/>
      <c r="AA2" s="2"/>
      <c r="AB2" s="2"/>
      <c r="AC2" s="2"/>
      <c r="AD2" s="2"/>
      <c r="AE2" s="2"/>
      <c r="AF2" s="2"/>
    </row>
    <row r="3" spans="2:32" ht="15" customHeight="1" x14ac:dyDescent="0.35">
      <c r="C3" s="1"/>
      <c r="D3" s="1"/>
      <c r="E3" s="1"/>
      <c r="F3" s="1"/>
      <c r="G3" s="1"/>
      <c r="H3" s="1"/>
      <c r="I3" s="1"/>
      <c r="J3" s="1"/>
      <c r="K3" s="1"/>
      <c r="L3" s="2"/>
      <c r="M3" s="2"/>
      <c r="N3" s="2"/>
      <c r="O3" s="2"/>
      <c r="P3" s="2"/>
      <c r="Q3" s="2"/>
      <c r="R3" s="2"/>
      <c r="S3" s="2"/>
      <c r="T3" s="2"/>
      <c r="U3" s="2"/>
      <c r="V3" s="2"/>
      <c r="W3" s="2"/>
      <c r="X3" s="2"/>
      <c r="Y3" s="2"/>
      <c r="Z3" s="2"/>
      <c r="AA3" s="2"/>
      <c r="AB3" s="2"/>
      <c r="AC3" s="2"/>
      <c r="AD3" s="2"/>
      <c r="AE3" s="2"/>
      <c r="AF3" s="2"/>
    </row>
    <row r="4" spans="2:32" ht="24" customHeight="1" x14ac:dyDescent="0.35">
      <c r="B4" s="786" t="s">
        <v>0</v>
      </c>
      <c r="C4" s="786"/>
      <c r="D4" s="786"/>
      <c r="E4" s="786"/>
      <c r="F4" s="786"/>
      <c r="G4" s="786"/>
      <c r="H4" s="786"/>
      <c r="I4" s="786"/>
      <c r="J4" s="786"/>
      <c r="K4" s="6"/>
      <c r="L4" s="7"/>
      <c r="M4" s="7"/>
      <c r="N4" s="2"/>
      <c r="O4" s="2"/>
      <c r="P4" s="2"/>
      <c r="Q4" s="2"/>
      <c r="R4" s="2"/>
      <c r="S4" s="2"/>
      <c r="T4" s="2"/>
      <c r="U4" s="2"/>
      <c r="V4" s="2"/>
      <c r="W4" s="2"/>
      <c r="X4" s="2"/>
      <c r="Y4" s="2"/>
      <c r="Z4" s="2"/>
      <c r="AA4" s="2"/>
    </row>
    <row r="5" spans="2:32" ht="14.25" customHeight="1" thickBot="1" x14ac:dyDescent="0.4">
      <c r="C5" s="5"/>
      <c r="V5" s="2"/>
      <c r="W5" s="2"/>
      <c r="X5" s="2"/>
      <c r="Y5" s="2"/>
      <c r="Z5" s="2"/>
      <c r="AA5" s="2"/>
      <c r="AB5" s="2"/>
      <c r="AC5" s="2"/>
      <c r="AD5" s="2"/>
      <c r="AE5" s="2"/>
      <c r="AF5" s="2"/>
    </row>
    <row r="6" spans="2:32" ht="14.25" customHeight="1" x14ac:dyDescent="0.35">
      <c r="B6" s="795" t="s">
        <v>160</v>
      </c>
      <c r="C6" s="796"/>
      <c r="D6" s="796"/>
      <c r="E6" s="796"/>
      <c r="F6" s="796"/>
      <c r="G6" s="796"/>
      <c r="H6" s="796"/>
      <c r="I6" s="796"/>
      <c r="J6" s="797"/>
      <c r="V6" s="2"/>
      <c r="W6" s="2"/>
      <c r="X6" s="2"/>
      <c r="Y6" s="2"/>
      <c r="Z6" s="2"/>
      <c r="AA6" s="2"/>
      <c r="AB6" s="2"/>
      <c r="AC6" s="2"/>
      <c r="AD6" s="2"/>
      <c r="AE6" s="2"/>
      <c r="AF6" s="2"/>
    </row>
    <row r="7" spans="2:32" ht="14.25" customHeight="1" thickBot="1" x14ac:dyDescent="0.4">
      <c r="B7" s="798"/>
      <c r="C7" s="799"/>
      <c r="D7" s="799"/>
      <c r="E7" s="799"/>
      <c r="F7" s="799"/>
      <c r="G7" s="799"/>
      <c r="H7" s="799"/>
      <c r="I7" s="799"/>
      <c r="J7" s="800"/>
      <c r="V7" s="2"/>
      <c r="W7" s="2"/>
      <c r="X7" s="2"/>
      <c r="Y7" s="2"/>
      <c r="Z7" s="2"/>
      <c r="AA7" s="2"/>
      <c r="AB7" s="2"/>
      <c r="AC7" s="2"/>
      <c r="AD7" s="2"/>
      <c r="AE7" s="2"/>
      <c r="AF7" s="2"/>
    </row>
    <row r="8" spans="2:32" ht="14.25" customHeight="1" x14ac:dyDescent="0.35">
      <c r="C8" s="8"/>
      <c r="V8" s="2"/>
      <c r="W8" s="2"/>
      <c r="X8" s="2"/>
      <c r="Y8" s="2"/>
      <c r="Z8" s="2"/>
      <c r="AA8" s="2"/>
      <c r="AB8" s="2"/>
      <c r="AC8" s="2"/>
      <c r="AD8" s="2"/>
      <c r="AE8" s="2"/>
      <c r="AF8" s="2"/>
    </row>
    <row r="9" spans="2:32" ht="14.25" customHeight="1" x14ac:dyDescent="0.35">
      <c r="C9" s="8"/>
      <c r="V9" s="2"/>
      <c r="W9" s="2"/>
      <c r="X9" s="2"/>
      <c r="Y9" s="2"/>
      <c r="Z9" s="2"/>
      <c r="AA9" s="2"/>
      <c r="AB9" s="2"/>
      <c r="AC9" s="2"/>
      <c r="AD9" s="2"/>
      <c r="AE9" s="2"/>
      <c r="AF9" s="2"/>
    </row>
    <row r="10" spans="2:32" ht="24" customHeight="1" x14ac:dyDescent="0.35">
      <c r="B10" s="786" t="s">
        <v>1</v>
      </c>
      <c r="C10" s="786"/>
      <c r="D10" s="786"/>
      <c r="E10" s="786"/>
      <c r="F10" s="786"/>
      <c r="G10" s="786"/>
      <c r="H10" s="786"/>
      <c r="I10" s="786"/>
      <c r="J10" s="786"/>
      <c r="K10" s="6"/>
      <c r="L10" s="7"/>
      <c r="M10" s="7"/>
      <c r="N10" s="2"/>
      <c r="O10" s="2"/>
      <c r="P10" s="2"/>
      <c r="Q10" s="2"/>
      <c r="R10" s="2"/>
      <c r="S10" s="2"/>
      <c r="T10" s="2"/>
      <c r="U10" s="2"/>
      <c r="V10" s="2"/>
      <c r="W10" s="2"/>
      <c r="X10" s="2"/>
      <c r="Y10" s="2"/>
      <c r="Z10" s="2"/>
      <c r="AA10" s="2"/>
    </row>
    <row r="11" spans="2:32" ht="14.25" customHeight="1" thickBot="1" x14ac:dyDescent="0.4">
      <c r="C11" s="8"/>
      <c r="V11" s="2"/>
      <c r="W11" s="2"/>
      <c r="X11" s="2"/>
      <c r="Y11" s="2"/>
      <c r="Z11" s="2"/>
      <c r="AA11" s="2"/>
      <c r="AB11" s="2"/>
      <c r="AC11" s="2"/>
      <c r="AD11" s="2"/>
      <c r="AE11" s="2"/>
      <c r="AF11" s="2"/>
    </row>
    <row r="12" spans="2:32" ht="24" customHeight="1" thickBot="1" x14ac:dyDescent="0.35">
      <c r="B12" s="9" t="s">
        <v>2</v>
      </c>
      <c r="C12" s="783" t="s">
        <v>161</v>
      </c>
      <c r="D12" s="773"/>
      <c r="E12" s="771"/>
      <c r="F12" s="10" t="s">
        <v>3</v>
      </c>
      <c r="G12" s="779" t="s">
        <v>167</v>
      </c>
      <c r="H12" s="777"/>
      <c r="I12" s="777"/>
      <c r="J12" s="778"/>
      <c r="K12" s="11"/>
      <c r="L12" s="12"/>
      <c r="M12" s="12"/>
      <c r="N12" s="13"/>
      <c r="O12" s="787"/>
      <c r="P12" s="788"/>
      <c r="Q12" s="13"/>
      <c r="R12" s="13"/>
      <c r="S12" s="13"/>
      <c r="T12" s="13"/>
      <c r="U12" s="13"/>
      <c r="V12" s="13"/>
      <c r="W12" s="13"/>
      <c r="X12" s="13"/>
      <c r="Y12" s="13"/>
      <c r="Z12" s="13"/>
      <c r="AA12" s="13"/>
    </row>
    <row r="13" spans="2:32" ht="24" customHeight="1" thickBot="1" x14ac:dyDescent="0.35">
      <c r="B13" s="15" t="s">
        <v>4</v>
      </c>
      <c r="C13" s="789">
        <v>34738</v>
      </c>
      <c r="D13" s="790"/>
      <c r="E13" s="791"/>
      <c r="F13" s="16" t="s">
        <v>5</v>
      </c>
      <c r="G13" s="779">
        <v>3228622777</v>
      </c>
      <c r="H13" s="777"/>
      <c r="I13" s="777"/>
      <c r="J13" s="778"/>
      <c r="K13" s="11"/>
      <c r="L13" s="12"/>
      <c r="M13" s="12"/>
      <c r="N13" s="13"/>
      <c r="O13" s="13"/>
      <c r="P13" s="14"/>
      <c r="Q13" s="13"/>
      <c r="R13" s="13"/>
      <c r="S13" s="13"/>
      <c r="T13" s="13"/>
      <c r="U13" s="13"/>
      <c r="V13" s="13"/>
      <c r="W13" s="13"/>
      <c r="X13" s="13"/>
      <c r="Y13" s="13"/>
      <c r="Z13" s="13"/>
      <c r="AA13" s="13"/>
    </row>
    <row r="14" spans="2:32" ht="24" customHeight="1" thickBot="1" x14ac:dyDescent="0.35">
      <c r="B14" s="15" t="s">
        <v>6</v>
      </c>
      <c r="C14" s="767" t="s">
        <v>162</v>
      </c>
      <c r="D14" s="732"/>
      <c r="E14" s="731"/>
      <c r="F14" s="17" t="s">
        <v>7</v>
      </c>
      <c r="G14" s="779" t="s">
        <v>168</v>
      </c>
      <c r="H14" s="777"/>
      <c r="I14" s="777"/>
      <c r="J14" s="778"/>
      <c r="K14" s="11"/>
      <c r="L14" s="12"/>
      <c r="M14" s="12"/>
      <c r="N14" s="13"/>
      <c r="O14" s="13"/>
      <c r="P14" s="14"/>
      <c r="Q14" s="13"/>
      <c r="R14" s="13"/>
      <c r="S14" s="13"/>
      <c r="T14" s="13"/>
      <c r="U14" s="13"/>
      <c r="V14" s="13"/>
      <c r="W14" s="13"/>
      <c r="X14" s="13"/>
      <c r="Y14" s="13"/>
      <c r="Z14" s="13"/>
      <c r="AA14" s="13"/>
    </row>
    <row r="15" spans="2:32" ht="24" customHeight="1" thickBot="1" x14ac:dyDescent="0.35">
      <c r="B15" s="15" t="s">
        <v>8</v>
      </c>
      <c r="C15" s="767" t="s">
        <v>163</v>
      </c>
      <c r="D15" s="732"/>
      <c r="E15" s="731"/>
      <c r="F15" s="17" t="s">
        <v>9</v>
      </c>
      <c r="G15" s="779" t="s">
        <v>169</v>
      </c>
      <c r="H15" s="777"/>
      <c r="I15" s="777"/>
      <c r="J15" s="778"/>
      <c r="K15" s="11"/>
      <c r="L15" s="12"/>
      <c r="M15" s="12"/>
      <c r="N15" s="13"/>
      <c r="O15" s="12"/>
      <c r="P15" s="12" t="s">
        <v>10</v>
      </c>
      <c r="Q15" s="13"/>
      <c r="R15" s="13"/>
      <c r="S15" s="13"/>
      <c r="T15" s="13"/>
      <c r="U15" s="13"/>
      <c r="V15" s="13"/>
      <c r="W15" s="13"/>
      <c r="X15" s="13"/>
      <c r="Y15" s="13"/>
      <c r="Z15" s="13"/>
      <c r="AA15" s="13"/>
    </row>
    <row r="16" spans="2:32" ht="24" customHeight="1" thickBot="1" x14ac:dyDescent="0.35">
      <c r="B16" s="15" t="s">
        <v>11</v>
      </c>
      <c r="C16" s="775" t="s">
        <v>164</v>
      </c>
      <c r="D16" s="732"/>
      <c r="E16" s="731"/>
      <c r="F16" s="17" t="s">
        <v>12</v>
      </c>
      <c r="G16" s="776" t="s">
        <v>170</v>
      </c>
      <c r="H16" s="777"/>
      <c r="I16" s="777"/>
      <c r="J16" s="778"/>
      <c r="K16" s="11"/>
      <c r="L16" s="12"/>
      <c r="M16" s="12"/>
      <c r="N16" s="13"/>
      <c r="O16" s="13"/>
      <c r="P16" s="13"/>
      <c r="Q16" s="13"/>
      <c r="R16" s="13"/>
      <c r="S16" s="13"/>
      <c r="T16" s="13"/>
      <c r="U16" s="13"/>
      <c r="V16" s="13"/>
      <c r="W16" s="13"/>
      <c r="X16" s="13"/>
      <c r="Y16" s="13"/>
      <c r="Z16" s="13"/>
      <c r="AA16" s="13"/>
    </row>
    <row r="17" spans="2:32" ht="24" customHeight="1" thickBot="1" x14ac:dyDescent="0.35">
      <c r="B17" s="15" t="s">
        <v>13</v>
      </c>
      <c r="C17" s="767" t="s">
        <v>165</v>
      </c>
      <c r="D17" s="732"/>
      <c r="E17" s="731"/>
      <c r="F17" s="17" t="s">
        <v>14</v>
      </c>
      <c r="G17" s="779" t="s">
        <v>171</v>
      </c>
      <c r="H17" s="777"/>
      <c r="I17" s="777"/>
      <c r="J17" s="778"/>
      <c r="K17" s="18"/>
      <c r="L17" s="13"/>
      <c r="M17" s="13"/>
      <c r="N17" s="13"/>
      <c r="O17" s="13"/>
      <c r="P17" s="13"/>
      <c r="Q17" s="13"/>
      <c r="R17" s="13"/>
      <c r="S17" s="13"/>
      <c r="T17" s="13"/>
      <c r="U17" s="13"/>
      <c r="V17" s="13"/>
      <c r="W17" s="13"/>
      <c r="X17" s="13"/>
      <c r="Y17" s="13"/>
      <c r="Z17" s="13"/>
      <c r="AA17" s="13"/>
    </row>
    <row r="18" spans="2:32" ht="24" customHeight="1" thickBot="1" x14ac:dyDescent="0.35">
      <c r="B18" s="19" t="s">
        <v>15</v>
      </c>
      <c r="C18" s="780" t="s">
        <v>166</v>
      </c>
      <c r="D18" s="781"/>
      <c r="E18" s="782"/>
      <c r="F18" s="20" t="s">
        <v>16</v>
      </c>
      <c r="G18" s="783">
        <v>2547436</v>
      </c>
      <c r="H18" s="784"/>
      <c r="I18" s="784"/>
      <c r="J18" s="785"/>
      <c r="K18" s="18"/>
      <c r="L18" s="13"/>
      <c r="M18" s="13"/>
      <c r="N18" s="13"/>
      <c r="O18" s="13"/>
      <c r="P18" s="13"/>
      <c r="Q18" s="13"/>
      <c r="R18" s="13"/>
      <c r="S18" s="13"/>
      <c r="T18" s="13"/>
      <c r="U18" s="13"/>
      <c r="V18" s="13"/>
      <c r="W18" s="13"/>
      <c r="X18" s="13"/>
      <c r="Y18" s="13"/>
      <c r="Z18" s="13"/>
      <c r="AA18" s="13"/>
    </row>
    <row r="19" spans="2:32" ht="14.25" customHeight="1" x14ac:dyDescent="0.35">
      <c r="C19" s="8"/>
      <c r="F19" s="21"/>
      <c r="V19" s="2"/>
      <c r="W19" s="2"/>
      <c r="X19" s="2"/>
      <c r="Y19" s="2"/>
      <c r="Z19" s="2"/>
      <c r="AA19" s="2"/>
      <c r="AB19" s="2"/>
      <c r="AC19" s="2"/>
      <c r="AD19" s="2"/>
      <c r="AE19" s="2"/>
      <c r="AF19" s="2"/>
    </row>
    <row r="20" spans="2:32" ht="14.25" customHeight="1" x14ac:dyDescent="0.35">
      <c r="C20" s="8"/>
      <c r="V20" s="2"/>
      <c r="W20" s="2"/>
      <c r="X20" s="2"/>
      <c r="Y20" s="2"/>
      <c r="Z20" s="2"/>
      <c r="AA20" s="2"/>
      <c r="AB20" s="2"/>
      <c r="AC20" s="2"/>
      <c r="AD20" s="2"/>
      <c r="AE20" s="2"/>
      <c r="AF20" s="2"/>
    </row>
    <row r="21" spans="2:32" ht="24" customHeight="1" x14ac:dyDescent="0.35">
      <c r="B21" s="786" t="s">
        <v>17</v>
      </c>
      <c r="C21" s="786"/>
      <c r="D21" s="786"/>
      <c r="E21" s="786"/>
      <c r="F21" s="786"/>
      <c r="G21" s="786"/>
      <c r="H21" s="786"/>
      <c r="I21" s="786"/>
      <c r="J21" s="786"/>
      <c r="K21" s="6"/>
      <c r="L21" s="7"/>
      <c r="M21" s="7"/>
      <c r="N21" s="2"/>
      <c r="O21" s="2"/>
      <c r="P21" s="2"/>
      <c r="Q21" s="2"/>
      <c r="R21" s="2"/>
      <c r="S21" s="2"/>
      <c r="T21" s="2"/>
      <c r="U21" s="2"/>
      <c r="V21" s="2"/>
      <c r="W21" s="2"/>
      <c r="X21" s="2"/>
      <c r="Y21" s="2"/>
      <c r="Z21" s="2"/>
      <c r="AA21" s="2"/>
    </row>
    <row r="22" spans="2:32" ht="14.25" customHeight="1" thickBot="1" x14ac:dyDescent="0.4">
      <c r="C22" s="8"/>
      <c r="V22" s="2"/>
      <c r="W22" s="2"/>
      <c r="X22" s="2"/>
      <c r="Y22" s="2"/>
      <c r="Z22" s="2"/>
      <c r="AA22" s="2"/>
      <c r="AB22" s="2"/>
      <c r="AC22" s="2"/>
      <c r="AD22" s="2"/>
      <c r="AE22" s="2"/>
      <c r="AF22" s="2"/>
    </row>
    <row r="23" spans="2:32" ht="24" customHeight="1" x14ac:dyDescent="0.3">
      <c r="B23" s="9" t="s">
        <v>2</v>
      </c>
      <c r="C23" s="783"/>
      <c r="D23" s="773"/>
      <c r="E23" s="771"/>
      <c r="F23" s="10" t="s">
        <v>3</v>
      </c>
      <c r="G23" s="783"/>
      <c r="H23" s="773"/>
      <c r="I23" s="773"/>
      <c r="J23" s="774"/>
      <c r="K23" s="18"/>
      <c r="L23" s="13"/>
      <c r="M23" s="13"/>
      <c r="N23" s="13"/>
      <c r="O23" s="13"/>
      <c r="P23" s="13"/>
      <c r="Q23" s="13"/>
      <c r="R23" s="13"/>
      <c r="S23" s="13"/>
      <c r="T23" s="13"/>
      <c r="U23" s="13"/>
      <c r="V23" s="13"/>
      <c r="W23" s="13"/>
      <c r="X23" s="13"/>
      <c r="Y23" s="13"/>
      <c r="Z23" s="13"/>
      <c r="AA23" s="13"/>
    </row>
    <row r="24" spans="2:32" ht="24" customHeight="1" x14ac:dyDescent="0.3">
      <c r="B24" s="15" t="s">
        <v>4</v>
      </c>
      <c r="C24" s="767"/>
      <c r="D24" s="732"/>
      <c r="E24" s="731"/>
      <c r="F24" s="16" t="s">
        <v>5</v>
      </c>
      <c r="G24" s="769"/>
      <c r="H24" s="732"/>
      <c r="I24" s="732"/>
      <c r="J24" s="733"/>
      <c r="K24" s="18"/>
      <c r="L24" s="13"/>
      <c r="M24" s="13"/>
      <c r="N24" s="13"/>
      <c r="O24" s="13"/>
      <c r="P24" s="13"/>
      <c r="Q24" s="13"/>
      <c r="R24" s="13"/>
      <c r="S24" s="13"/>
      <c r="T24" s="13"/>
      <c r="U24" s="13"/>
      <c r="V24" s="13"/>
      <c r="W24" s="13"/>
      <c r="X24" s="13"/>
      <c r="Y24" s="13"/>
      <c r="Z24" s="13"/>
      <c r="AA24" s="13"/>
    </row>
    <row r="25" spans="2:32" ht="24" customHeight="1" x14ac:dyDescent="0.3">
      <c r="B25" s="15" t="s">
        <v>6</v>
      </c>
      <c r="C25" s="767"/>
      <c r="D25" s="732"/>
      <c r="E25" s="731"/>
      <c r="F25" s="17" t="s">
        <v>7</v>
      </c>
      <c r="G25" s="759"/>
      <c r="H25" s="732"/>
      <c r="I25" s="732"/>
      <c r="J25" s="733"/>
      <c r="K25" s="18"/>
      <c r="L25" s="13"/>
      <c r="M25" s="13"/>
      <c r="N25" s="13"/>
      <c r="O25" s="13"/>
      <c r="P25" s="13"/>
      <c r="Q25" s="13"/>
      <c r="R25" s="13"/>
      <c r="S25" s="13"/>
      <c r="T25" s="13"/>
      <c r="U25" s="13"/>
      <c r="V25" s="13"/>
      <c r="W25" s="13"/>
      <c r="X25" s="13"/>
      <c r="Y25" s="13"/>
      <c r="Z25" s="13"/>
      <c r="AA25" s="13"/>
    </row>
    <row r="26" spans="2:32" ht="24" customHeight="1" x14ac:dyDescent="0.3">
      <c r="B26" s="15" t="s">
        <v>8</v>
      </c>
      <c r="C26" s="767"/>
      <c r="D26" s="732"/>
      <c r="E26" s="731"/>
      <c r="F26" s="17" t="s">
        <v>9</v>
      </c>
      <c r="G26" s="768"/>
      <c r="H26" s="732"/>
      <c r="I26" s="732"/>
      <c r="J26" s="733"/>
      <c r="K26" s="18"/>
      <c r="L26" s="13"/>
      <c r="M26" s="13"/>
      <c r="N26" s="13"/>
      <c r="O26" s="13"/>
      <c r="P26" s="13"/>
      <c r="Q26" s="13"/>
      <c r="R26" s="13"/>
      <c r="S26" s="13"/>
      <c r="T26" s="13"/>
      <c r="U26" s="13"/>
      <c r="V26" s="13"/>
      <c r="W26" s="13"/>
      <c r="X26" s="13"/>
      <c r="Y26" s="13"/>
      <c r="Z26" s="13"/>
      <c r="AA26" s="13"/>
    </row>
    <row r="27" spans="2:32" ht="24" customHeight="1" x14ac:dyDescent="0.3">
      <c r="B27" s="15" t="s">
        <v>11</v>
      </c>
      <c r="C27" s="767" t="s">
        <v>10</v>
      </c>
      <c r="D27" s="732"/>
      <c r="E27" s="731"/>
      <c r="F27" s="17" t="s">
        <v>12</v>
      </c>
      <c r="G27" s="769"/>
      <c r="H27" s="732"/>
      <c r="I27" s="732"/>
      <c r="J27" s="733"/>
      <c r="K27" s="18"/>
      <c r="L27" s="13"/>
      <c r="M27" s="13"/>
      <c r="N27" s="13"/>
      <c r="O27" s="13"/>
      <c r="P27" s="13"/>
      <c r="Q27" s="13"/>
      <c r="R27" s="13"/>
      <c r="S27" s="13"/>
      <c r="T27" s="13"/>
      <c r="U27" s="13"/>
      <c r="V27" s="13"/>
      <c r="W27" s="13"/>
      <c r="X27" s="13"/>
      <c r="Y27" s="13"/>
      <c r="Z27" s="13"/>
      <c r="AA27" s="13"/>
    </row>
    <row r="28" spans="2:32" ht="24" customHeight="1" x14ac:dyDescent="0.3">
      <c r="B28" s="15" t="s">
        <v>13</v>
      </c>
      <c r="C28" s="767"/>
      <c r="D28" s="732"/>
      <c r="E28" s="731"/>
      <c r="F28" s="17" t="s">
        <v>14</v>
      </c>
      <c r="G28" s="759"/>
      <c r="H28" s="732"/>
      <c r="I28" s="732"/>
      <c r="J28" s="733"/>
      <c r="K28" s="18"/>
      <c r="L28" s="13"/>
      <c r="M28" s="13"/>
      <c r="N28" s="13"/>
      <c r="O28" s="13"/>
      <c r="P28" s="13"/>
      <c r="Q28" s="13"/>
      <c r="R28" s="13"/>
      <c r="S28" s="13"/>
      <c r="T28" s="13"/>
      <c r="U28" s="13"/>
      <c r="V28" s="13"/>
      <c r="W28" s="13"/>
      <c r="X28" s="13"/>
      <c r="Y28" s="13"/>
      <c r="Z28" s="13"/>
      <c r="AA28" s="13"/>
    </row>
    <row r="29" spans="2:32" ht="24" customHeight="1" thickBot="1" x14ac:dyDescent="0.35">
      <c r="B29" s="19" t="s">
        <v>15</v>
      </c>
      <c r="C29" s="754"/>
      <c r="D29" s="736"/>
      <c r="E29" s="735"/>
      <c r="F29" s="20" t="s">
        <v>16</v>
      </c>
      <c r="G29" s="754"/>
      <c r="H29" s="736"/>
      <c r="I29" s="736"/>
      <c r="J29" s="737"/>
      <c r="K29" s="18"/>
      <c r="L29" s="13"/>
      <c r="M29" s="13"/>
      <c r="N29" s="13"/>
      <c r="O29" s="13"/>
      <c r="P29" s="13"/>
      <c r="Q29" s="13"/>
      <c r="R29" s="13"/>
      <c r="S29" s="13"/>
      <c r="T29" s="13"/>
      <c r="U29" s="13"/>
      <c r="V29" s="13"/>
      <c r="W29" s="13"/>
      <c r="X29" s="13"/>
      <c r="Y29" s="13"/>
      <c r="Z29" s="13"/>
      <c r="AA29" s="13"/>
    </row>
    <row r="30" spans="2:32" ht="14.25" customHeight="1" x14ac:dyDescent="0.35">
      <c r="C30" s="8"/>
      <c r="V30" s="2"/>
      <c r="W30" s="2"/>
      <c r="X30" s="2"/>
      <c r="Y30" s="2"/>
      <c r="Z30" s="2"/>
      <c r="AA30" s="2"/>
      <c r="AB30" s="2"/>
      <c r="AC30" s="2"/>
      <c r="AD30" s="2"/>
      <c r="AE30" s="2"/>
      <c r="AF30" s="2"/>
    </row>
    <row r="31" spans="2:32" ht="14.25" customHeight="1" x14ac:dyDescent="0.35">
      <c r="C31" s="8"/>
      <c r="V31" s="2"/>
      <c r="W31" s="2"/>
      <c r="X31" s="2"/>
      <c r="Y31" s="2"/>
      <c r="Z31" s="2"/>
      <c r="AA31" s="2"/>
      <c r="AB31" s="2"/>
      <c r="AC31" s="2"/>
      <c r="AD31" s="2"/>
      <c r="AE31" s="2"/>
      <c r="AF31" s="2"/>
    </row>
    <row r="32" spans="2:32" ht="24" customHeight="1" x14ac:dyDescent="0.35">
      <c r="B32" s="726" t="s">
        <v>18</v>
      </c>
      <c r="C32" s="726"/>
      <c r="D32" s="726"/>
      <c r="E32" s="726"/>
      <c r="F32" s="726"/>
      <c r="G32" s="726"/>
      <c r="H32" s="726"/>
      <c r="I32" s="726"/>
      <c r="J32" s="726"/>
      <c r="K32" s="6"/>
      <c r="L32" s="7"/>
      <c r="M32" s="7"/>
      <c r="N32" s="2"/>
      <c r="O32" s="2"/>
      <c r="P32" s="2"/>
      <c r="Q32" s="2"/>
      <c r="R32" s="2"/>
      <c r="S32" s="2"/>
      <c r="T32" s="2"/>
      <c r="U32" s="2"/>
      <c r="V32" s="2"/>
      <c r="W32" s="2"/>
      <c r="X32" s="2"/>
      <c r="Y32" s="2"/>
      <c r="Z32" s="2"/>
      <c r="AA32" s="2"/>
    </row>
    <row r="33" spans="2:32" ht="14.25" customHeight="1" thickBot="1" x14ac:dyDescent="0.4">
      <c r="B33" s="21"/>
      <c r="C33" s="8"/>
      <c r="V33" s="2"/>
      <c r="W33" s="2"/>
      <c r="X33" s="2"/>
      <c r="Y33" s="2"/>
      <c r="Z33" s="2"/>
      <c r="AA33" s="2"/>
      <c r="AB33" s="2"/>
      <c r="AC33" s="2"/>
      <c r="AD33" s="2"/>
      <c r="AE33" s="2"/>
      <c r="AF33" s="2"/>
    </row>
    <row r="34" spans="2:32" ht="24" customHeight="1" x14ac:dyDescent="0.3">
      <c r="B34" s="22" t="s">
        <v>19</v>
      </c>
      <c r="C34" s="770" t="s">
        <v>172</v>
      </c>
      <c r="D34" s="771"/>
      <c r="E34" s="10" t="s">
        <v>20</v>
      </c>
      <c r="F34" s="85">
        <v>3058614124</v>
      </c>
      <c r="G34" s="10" t="s">
        <v>21</v>
      </c>
      <c r="H34" s="772" t="s">
        <v>173</v>
      </c>
      <c r="I34" s="773"/>
      <c r="J34" s="774"/>
      <c r="K34" s="11"/>
      <c r="L34" s="12"/>
      <c r="M34" s="12"/>
      <c r="N34" s="13"/>
      <c r="O34" s="13"/>
      <c r="P34" s="13"/>
      <c r="Q34" s="13"/>
      <c r="R34" s="13"/>
      <c r="S34" s="13"/>
      <c r="T34" s="13"/>
      <c r="U34" s="13"/>
      <c r="V34" s="13"/>
      <c r="W34" s="13"/>
      <c r="X34" s="13"/>
      <c r="Y34" s="13"/>
      <c r="Z34" s="13"/>
      <c r="AA34" s="13"/>
    </row>
    <row r="35" spans="2:32" ht="24" customHeight="1" x14ac:dyDescent="0.3">
      <c r="B35" s="23" t="s">
        <v>22</v>
      </c>
      <c r="C35" s="759" t="s">
        <v>174</v>
      </c>
      <c r="D35" s="731"/>
      <c r="E35" s="16" t="s">
        <v>20</v>
      </c>
      <c r="F35" s="86">
        <v>3184810032</v>
      </c>
      <c r="G35" s="16" t="s">
        <v>21</v>
      </c>
      <c r="H35" s="766" t="s">
        <v>175</v>
      </c>
      <c r="I35" s="732"/>
      <c r="J35" s="733"/>
      <c r="K35" s="11"/>
      <c r="L35" s="12"/>
      <c r="M35" s="12"/>
      <c r="N35" s="13"/>
      <c r="O35" s="13"/>
      <c r="P35" s="13"/>
      <c r="Q35" s="13"/>
      <c r="R35" s="13"/>
      <c r="S35" s="13"/>
      <c r="T35" s="13"/>
      <c r="U35" s="13"/>
      <c r="V35" s="13"/>
      <c r="W35" s="13"/>
      <c r="X35" s="13"/>
      <c r="Y35" s="13"/>
      <c r="Z35" s="13"/>
      <c r="AA35" s="13"/>
    </row>
    <row r="36" spans="2:32" ht="24" customHeight="1" thickBot="1" x14ac:dyDescent="0.35">
      <c r="B36" s="24" t="s">
        <v>23</v>
      </c>
      <c r="C36" s="754" t="s">
        <v>176</v>
      </c>
      <c r="D36" s="735"/>
      <c r="E36" s="20" t="s">
        <v>20</v>
      </c>
      <c r="F36" s="87">
        <v>3017564389</v>
      </c>
      <c r="G36" s="20" t="s">
        <v>21</v>
      </c>
      <c r="H36" s="755" t="s">
        <v>177</v>
      </c>
      <c r="I36" s="736"/>
      <c r="J36" s="737"/>
      <c r="K36" s="11"/>
      <c r="L36" s="12"/>
      <c r="M36" s="12"/>
      <c r="N36" s="13"/>
      <c r="O36" s="13"/>
      <c r="P36" s="13"/>
      <c r="Q36" s="13"/>
      <c r="R36" s="13"/>
      <c r="S36" s="13"/>
      <c r="T36" s="13"/>
      <c r="U36" s="13"/>
      <c r="V36" s="13"/>
      <c r="W36" s="13"/>
      <c r="X36" s="13"/>
      <c r="Y36" s="13"/>
      <c r="Z36" s="13"/>
      <c r="AA36" s="13"/>
    </row>
    <row r="37" spans="2:32" ht="14.25" customHeight="1" x14ac:dyDescent="0.35">
      <c r="C37" s="8"/>
      <c r="V37" s="2"/>
      <c r="W37" s="2"/>
      <c r="X37" s="2"/>
      <c r="Y37" s="2"/>
      <c r="Z37" s="2"/>
      <c r="AA37" s="2"/>
      <c r="AB37" s="2"/>
      <c r="AC37" s="2"/>
      <c r="AD37" s="2"/>
      <c r="AE37" s="2"/>
      <c r="AF37" s="2"/>
    </row>
    <row r="38" spans="2:32" ht="14.25" customHeight="1" x14ac:dyDescent="0.35">
      <c r="C38" s="8"/>
      <c r="V38" s="2"/>
      <c r="W38" s="2"/>
      <c r="X38" s="2"/>
      <c r="Y38" s="2"/>
      <c r="Z38" s="2"/>
      <c r="AA38" s="2"/>
      <c r="AB38" s="2"/>
      <c r="AC38" s="2"/>
      <c r="AD38" s="2"/>
      <c r="AE38" s="2"/>
      <c r="AF38" s="2"/>
    </row>
    <row r="39" spans="2:32" ht="24" customHeight="1" x14ac:dyDescent="0.35">
      <c r="B39" s="726" t="s">
        <v>24</v>
      </c>
      <c r="C39" s="726"/>
      <c r="D39" s="726"/>
      <c r="E39" s="726"/>
      <c r="F39" s="726"/>
      <c r="G39" s="726"/>
      <c r="H39" s="726"/>
      <c r="I39" s="726"/>
      <c r="J39" s="726"/>
      <c r="K39" s="6"/>
      <c r="L39" s="7"/>
      <c r="M39" s="7"/>
      <c r="N39" s="2"/>
      <c r="O39" s="2"/>
      <c r="P39" s="2"/>
      <c r="Q39" s="2"/>
      <c r="R39" s="2"/>
      <c r="S39" s="2"/>
      <c r="T39" s="2"/>
      <c r="U39" s="2"/>
      <c r="V39" s="2"/>
      <c r="W39" s="2"/>
      <c r="X39" s="2"/>
      <c r="Y39" s="2"/>
      <c r="Z39" s="2"/>
      <c r="AA39" s="2"/>
    </row>
    <row r="40" spans="2:32" ht="14.25" customHeight="1" thickBot="1" x14ac:dyDescent="0.4">
      <c r="C40" s="8"/>
      <c r="V40" s="2"/>
      <c r="W40" s="2"/>
      <c r="X40" s="2"/>
      <c r="Y40" s="2"/>
      <c r="Z40" s="2"/>
      <c r="AA40" s="2"/>
      <c r="AB40" s="2"/>
      <c r="AC40" s="2"/>
      <c r="AD40" s="2"/>
      <c r="AE40" s="2"/>
      <c r="AF40" s="2"/>
    </row>
    <row r="41" spans="2:32" ht="149.25" customHeight="1" x14ac:dyDescent="0.3">
      <c r="B41" s="25" t="s">
        <v>25</v>
      </c>
      <c r="C41" s="756" t="s">
        <v>1191</v>
      </c>
      <c r="D41" s="757"/>
      <c r="E41" s="757"/>
      <c r="F41" s="757"/>
      <c r="G41" s="757"/>
      <c r="H41" s="757"/>
      <c r="I41" s="757"/>
      <c r="J41" s="758"/>
      <c r="K41" s="11"/>
      <c r="L41" s="12"/>
      <c r="M41" s="12"/>
      <c r="N41" s="13"/>
      <c r="O41" s="13"/>
      <c r="P41" s="13"/>
      <c r="Q41" s="13"/>
      <c r="R41" s="13"/>
      <c r="S41" s="13"/>
      <c r="T41" s="13"/>
      <c r="U41" s="13"/>
      <c r="V41" s="13"/>
      <c r="W41" s="13"/>
      <c r="X41" s="13"/>
      <c r="Y41" s="13"/>
      <c r="Z41" s="13"/>
      <c r="AA41" s="13"/>
    </row>
    <row r="42" spans="2:32" ht="36" customHeight="1" x14ac:dyDescent="0.3">
      <c r="B42" s="26" t="s">
        <v>26</v>
      </c>
      <c r="C42" s="27" t="s">
        <v>27</v>
      </c>
      <c r="D42" s="28"/>
      <c r="E42" s="27" t="s">
        <v>28</v>
      </c>
      <c r="F42" s="29"/>
      <c r="G42" s="27" t="s">
        <v>29</v>
      </c>
      <c r="H42" s="30"/>
      <c r="I42" s="31" t="s">
        <v>30</v>
      </c>
      <c r="J42" s="32" t="s">
        <v>178</v>
      </c>
      <c r="K42" s="11"/>
      <c r="L42" s="12"/>
      <c r="M42" s="12"/>
      <c r="N42" s="13"/>
      <c r="O42" s="13"/>
      <c r="P42" s="13"/>
      <c r="Q42" s="13"/>
      <c r="R42" s="13"/>
      <c r="S42" s="13"/>
      <c r="T42" s="13"/>
      <c r="U42" s="13"/>
      <c r="V42" s="13"/>
      <c r="W42" s="13"/>
      <c r="X42" s="13"/>
      <c r="Y42" s="13"/>
      <c r="Z42" s="13"/>
      <c r="AA42" s="13"/>
    </row>
    <row r="43" spans="2:32" ht="58.5" customHeight="1" x14ac:dyDescent="0.3">
      <c r="B43" s="26" t="s">
        <v>31</v>
      </c>
      <c r="C43" s="759" t="s">
        <v>169</v>
      </c>
      <c r="D43" s="732"/>
      <c r="E43" s="732"/>
      <c r="F43" s="732"/>
      <c r="G43" s="732"/>
      <c r="H43" s="732"/>
      <c r="I43" s="732"/>
      <c r="J43" s="733"/>
      <c r="K43" s="11"/>
      <c r="L43" s="12"/>
      <c r="M43" s="12"/>
      <c r="N43" s="13"/>
      <c r="O43" s="13"/>
      <c r="P43" s="13"/>
      <c r="Q43" s="13"/>
      <c r="R43" s="13"/>
      <c r="S43" s="13"/>
      <c r="T43" s="13"/>
      <c r="U43" s="13"/>
      <c r="V43" s="13"/>
      <c r="W43" s="13"/>
      <c r="X43" s="13"/>
      <c r="Y43" s="13"/>
      <c r="Z43" s="13"/>
      <c r="AA43" s="13"/>
    </row>
    <row r="44" spans="2:32" ht="67.5" customHeight="1" x14ac:dyDescent="0.3">
      <c r="B44" s="26" t="s">
        <v>32</v>
      </c>
      <c r="C44" s="751" t="s">
        <v>179</v>
      </c>
      <c r="D44" s="752"/>
      <c r="E44" s="752"/>
      <c r="F44" s="752"/>
      <c r="G44" s="752"/>
      <c r="H44" s="752"/>
      <c r="I44" s="752"/>
      <c r="J44" s="753"/>
      <c r="K44" s="11"/>
      <c r="L44" s="12"/>
      <c r="M44" s="12"/>
      <c r="N44" s="13"/>
      <c r="O44" s="13"/>
      <c r="P44" s="13"/>
      <c r="Q44" s="13"/>
      <c r="R44" s="13"/>
      <c r="S44" s="13"/>
      <c r="T44" s="13"/>
      <c r="U44" s="13"/>
      <c r="V44" s="13"/>
      <c r="W44" s="13"/>
      <c r="X44" s="13"/>
      <c r="Y44" s="13"/>
      <c r="Z44" s="13"/>
      <c r="AA44" s="13"/>
    </row>
    <row r="45" spans="2:32" ht="21" customHeight="1" x14ac:dyDescent="0.3">
      <c r="B45" s="760" t="s">
        <v>33</v>
      </c>
      <c r="C45" s="763" t="s">
        <v>724</v>
      </c>
      <c r="D45" s="764"/>
      <c r="E45" s="764"/>
      <c r="F45" s="764"/>
      <c r="G45" s="764"/>
      <c r="H45" s="764"/>
      <c r="I45" s="764"/>
      <c r="J45" s="765"/>
      <c r="K45" s="11"/>
      <c r="L45" s="12"/>
      <c r="M45" s="12"/>
      <c r="N45" s="13"/>
      <c r="O45" s="13"/>
      <c r="P45" s="13"/>
      <c r="Q45" s="13"/>
      <c r="R45" s="13"/>
      <c r="S45" s="13"/>
      <c r="T45" s="13"/>
      <c r="U45" s="13"/>
      <c r="V45" s="13"/>
      <c r="W45" s="13"/>
      <c r="X45" s="13"/>
      <c r="Y45" s="13"/>
      <c r="Z45" s="13"/>
      <c r="AA45" s="13"/>
    </row>
    <row r="46" spans="2:32" ht="21" customHeight="1" x14ac:dyDescent="0.3">
      <c r="B46" s="761"/>
      <c r="C46" s="763" t="s">
        <v>34</v>
      </c>
      <c r="D46" s="764"/>
      <c r="E46" s="764"/>
      <c r="F46" s="764"/>
      <c r="G46" s="764"/>
      <c r="H46" s="764"/>
      <c r="I46" s="764"/>
      <c r="J46" s="765"/>
      <c r="K46" s="11"/>
      <c r="L46" s="12"/>
      <c r="M46" s="12"/>
      <c r="N46" s="13"/>
      <c r="O46" s="13"/>
      <c r="P46" s="13"/>
      <c r="Q46" s="13"/>
      <c r="R46" s="13"/>
      <c r="S46" s="13"/>
      <c r="T46" s="13"/>
      <c r="U46" s="13"/>
      <c r="V46" s="13"/>
      <c r="W46" s="13"/>
      <c r="X46" s="13"/>
      <c r="Y46" s="13"/>
      <c r="Z46" s="13"/>
      <c r="AA46" s="13"/>
    </row>
    <row r="47" spans="2:32" ht="21" customHeight="1" x14ac:dyDescent="0.3">
      <c r="B47" s="761"/>
      <c r="C47" s="763" t="s">
        <v>35</v>
      </c>
      <c r="D47" s="764"/>
      <c r="E47" s="764"/>
      <c r="F47" s="764"/>
      <c r="G47" s="764"/>
      <c r="H47" s="764"/>
      <c r="I47" s="764"/>
      <c r="J47" s="765"/>
      <c r="K47" s="11"/>
      <c r="L47" s="12"/>
      <c r="M47" s="12"/>
      <c r="N47" s="13"/>
      <c r="O47" s="13"/>
      <c r="P47" s="13"/>
      <c r="Q47" s="13"/>
      <c r="R47" s="13"/>
      <c r="S47" s="13"/>
      <c r="T47" s="13"/>
      <c r="U47" s="13"/>
      <c r="V47" s="13"/>
      <c r="W47" s="13"/>
      <c r="X47" s="13"/>
      <c r="Y47" s="13"/>
      <c r="Z47" s="13"/>
      <c r="AA47" s="13"/>
    </row>
    <row r="48" spans="2:32" ht="21" customHeight="1" x14ac:dyDescent="0.3">
      <c r="B48" s="762"/>
      <c r="C48" s="763" t="s">
        <v>36</v>
      </c>
      <c r="D48" s="764"/>
      <c r="E48" s="764"/>
      <c r="F48" s="764"/>
      <c r="G48" s="764"/>
      <c r="H48" s="764"/>
      <c r="I48" s="764"/>
      <c r="J48" s="765"/>
      <c r="K48" s="11"/>
      <c r="L48" s="12"/>
      <c r="M48" s="12"/>
      <c r="N48" s="13"/>
      <c r="O48" s="13"/>
      <c r="P48" s="13"/>
      <c r="Q48" s="13"/>
      <c r="R48" s="13"/>
      <c r="S48" s="13"/>
      <c r="T48" s="13"/>
      <c r="U48" s="13"/>
      <c r="V48" s="13"/>
      <c r="W48" s="13"/>
      <c r="X48" s="13"/>
      <c r="Y48" s="13"/>
      <c r="Z48" s="13"/>
      <c r="AA48" s="13"/>
    </row>
    <row r="49" spans="2:32" ht="67.5" customHeight="1" x14ac:dyDescent="0.3">
      <c r="B49" s="26" t="s">
        <v>37</v>
      </c>
      <c r="C49" s="751" t="s">
        <v>180</v>
      </c>
      <c r="D49" s="752"/>
      <c r="E49" s="752"/>
      <c r="F49" s="752"/>
      <c r="G49" s="752"/>
      <c r="H49" s="752"/>
      <c r="I49" s="752"/>
      <c r="J49" s="753"/>
      <c r="K49" s="11"/>
      <c r="L49" s="12"/>
      <c r="M49" s="12"/>
      <c r="N49" s="13"/>
      <c r="O49" s="13"/>
      <c r="P49" s="13"/>
      <c r="Q49" s="13"/>
      <c r="R49" s="13"/>
      <c r="S49" s="13"/>
      <c r="T49" s="13"/>
      <c r="U49" s="13"/>
      <c r="V49" s="13"/>
      <c r="W49" s="13"/>
      <c r="X49" s="13"/>
      <c r="Y49" s="13"/>
      <c r="Z49" s="13"/>
      <c r="AA49" s="13"/>
    </row>
    <row r="50" spans="2:32" ht="42.75" customHeight="1" x14ac:dyDescent="0.3">
      <c r="B50" s="738" t="s">
        <v>38</v>
      </c>
      <c r="C50" s="746" t="s">
        <v>492</v>
      </c>
      <c r="D50" s="747"/>
      <c r="E50" s="747"/>
      <c r="F50" s="747"/>
      <c r="G50" s="747"/>
      <c r="H50" s="747"/>
      <c r="I50" s="747"/>
      <c r="J50" s="748"/>
      <c r="K50" s="11"/>
      <c r="L50" s="12"/>
      <c r="M50" s="12"/>
      <c r="N50" s="13"/>
      <c r="O50" s="13"/>
      <c r="P50" s="13"/>
      <c r="Q50" s="13"/>
      <c r="R50" s="13"/>
      <c r="S50" s="13"/>
      <c r="T50" s="13"/>
      <c r="U50" s="13"/>
      <c r="V50" s="13"/>
      <c r="W50" s="13"/>
      <c r="X50" s="13"/>
      <c r="Y50" s="13"/>
      <c r="Z50" s="13"/>
      <c r="AA50" s="13"/>
    </row>
    <row r="51" spans="2:32" ht="42.75" customHeight="1" x14ac:dyDescent="0.3">
      <c r="B51" s="739"/>
      <c r="C51" s="746" t="s">
        <v>493</v>
      </c>
      <c r="D51" s="747"/>
      <c r="E51" s="747"/>
      <c r="F51" s="747"/>
      <c r="G51" s="747"/>
      <c r="H51" s="747"/>
      <c r="I51" s="747"/>
      <c r="J51" s="748"/>
      <c r="K51" s="11"/>
      <c r="L51" s="12"/>
      <c r="M51" s="12"/>
      <c r="N51" s="13"/>
      <c r="O51" s="13"/>
      <c r="P51" s="13"/>
      <c r="Q51" s="13"/>
      <c r="R51" s="13"/>
      <c r="S51" s="13"/>
      <c r="T51" s="13"/>
      <c r="U51" s="13"/>
      <c r="V51" s="13"/>
      <c r="W51" s="13"/>
      <c r="X51" s="13"/>
      <c r="Y51" s="13"/>
      <c r="Z51" s="13"/>
      <c r="AA51" s="13"/>
    </row>
    <row r="52" spans="2:32" ht="42.75" customHeight="1" x14ac:dyDescent="0.3">
      <c r="B52" s="739"/>
      <c r="C52" s="746" t="s">
        <v>494</v>
      </c>
      <c r="D52" s="747"/>
      <c r="E52" s="747"/>
      <c r="F52" s="747"/>
      <c r="G52" s="747"/>
      <c r="H52" s="747"/>
      <c r="I52" s="747"/>
      <c r="J52" s="748"/>
      <c r="K52" s="11"/>
      <c r="L52" s="12"/>
      <c r="M52" s="12"/>
      <c r="N52" s="13"/>
      <c r="O52" s="13"/>
      <c r="P52" s="13"/>
      <c r="Q52" s="13"/>
      <c r="R52" s="13"/>
      <c r="S52" s="13"/>
      <c r="T52" s="13"/>
      <c r="U52" s="13"/>
      <c r="V52" s="13"/>
      <c r="W52" s="13"/>
      <c r="X52" s="13"/>
      <c r="Y52" s="13"/>
      <c r="Z52" s="13"/>
      <c r="AA52" s="13"/>
    </row>
    <row r="53" spans="2:32" ht="42.75" customHeight="1" x14ac:dyDescent="0.3">
      <c r="B53" s="739"/>
      <c r="C53" s="746" t="s">
        <v>497</v>
      </c>
      <c r="D53" s="749"/>
      <c r="E53" s="749"/>
      <c r="F53" s="749"/>
      <c r="G53" s="749"/>
      <c r="H53" s="749"/>
      <c r="I53" s="749"/>
      <c r="J53" s="750"/>
      <c r="K53" s="11"/>
      <c r="L53" s="12"/>
      <c r="M53" s="12"/>
      <c r="N53" s="13"/>
      <c r="O53" s="13"/>
      <c r="P53" s="13"/>
      <c r="Q53" s="13"/>
      <c r="R53" s="13"/>
      <c r="S53" s="13"/>
      <c r="T53" s="13"/>
      <c r="U53" s="13"/>
      <c r="V53" s="13"/>
      <c r="W53" s="13"/>
      <c r="X53" s="13"/>
      <c r="Y53" s="13"/>
      <c r="Z53" s="13"/>
      <c r="AA53" s="13"/>
    </row>
    <row r="54" spans="2:32" ht="42.75" customHeight="1" x14ac:dyDescent="0.3">
      <c r="B54" s="739"/>
      <c r="C54" s="746" t="s">
        <v>496</v>
      </c>
      <c r="D54" s="749"/>
      <c r="E54" s="749"/>
      <c r="F54" s="749"/>
      <c r="G54" s="749"/>
      <c r="H54" s="749"/>
      <c r="I54" s="749"/>
      <c r="J54" s="750"/>
      <c r="K54" s="11"/>
      <c r="L54" s="12"/>
      <c r="M54" s="12"/>
      <c r="N54" s="13"/>
      <c r="O54" s="13"/>
      <c r="P54" s="13"/>
      <c r="Q54" s="13"/>
      <c r="R54" s="13"/>
      <c r="S54" s="13"/>
      <c r="T54" s="13"/>
      <c r="U54" s="13"/>
      <c r="V54" s="13"/>
      <c r="W54" s="13"/>
      <c r="X54" s="13"/>
      <c r="Y54" s="13"/>
      <c r="Z54" s="13"/>
      <c r="AA54" s="13"/>
    </row>
    <row r="55" spans="2:32" ht="42.75" customHeight="1" x14ac:dyDescent="0.3">
      <c r="B55" s="745"/>
      <c r="C55" s="746" t="s">
        <v>495</v>
      </c>
      <c r="D55" s="747"/>
      <c r="E55" s="747"/>
      <c r="F55" s="747"/>
      <c r="G55" s="747"/>
      <c r="H55" s="747"/>
      <c r="I55" s="747"/>
      <c r="J55" s="748"/>
      <c r="K55" s="11"/>
      <c r="L55" s="12"/>
      <c r="M55" s="12"/>
      <c r="N55" s="13"/>
      <c r="O55" s="13"/>
      <c r="P55" s="13"/>
      <c r="Q55" s="13"/>
      <c r="R55" s="13"/>
      <c r="S55" s="13"/>
      <c r="T55" s="13"/>
      <c r="U55" s="13"/>
      <c r="V55" s="13"/>
      <c r="W55" s="13"/>
      <c r="X55" s="13"/>
      <c r="Y55" s="13"/>
      <c r="Z55" s="13"/>
      <c r="AA55" s="13"/>
    </row>
    <row r="56" spans="2:32" ht="33" customHeight="1" x14ac:dyDescent="0.3">
      <c r="B56" s="738" t="s">
        <v>39</v>
      </c>
      <c r="C56" s="27" t="s">
        <v>40</v>
      </c>
      <c r="D56" s="741" t="s">
        <v>41</v>
      </c>
      <c r="E56" s="742"/>
      <c r="F56" s="27" t="s">
        <v>42</v>
      </c>
      <c r="G56" s="741" t="s">
        <v>43</v>
      </c>
      <c r="H56" s="743"/>
      <c r="I56" s="743"/>
      <c r="J56" s="744"/>
      <c r="K56" s="11"/>
      <c r="L56" s="12"/>
      <c r="M56" s="12"/>
      <c r="N56" s="13"/>
      <c r="O56" s="13"/>
      <c r="P56" s="13"/>
      <c r="Q56" s="13"/>
      <c r="R56" s="13"/>
      <c r="S56" s="13"/>
      <c r="T56" s="13"/>
      <c r="U56" s="13"/>
      <c r="V56" s="13"/>
      <c r="W56" s="13"/>
      <c r="X56" s="13"/>
      <c r="Y56" s="13"/>
      <c r="Z56" s="13"/>
      <c r="AA56" s="13"/>
    </row>
    <row r="57" spans="2:32" ht="65.25" customHeight="1" x14ac:dyDescent="0.3">
      <c r="B57" s="739"/>
      <c r="C57" s="33" t="s">
        <v>181</v>
      </c>
      <c r="D57" s="730"/>
      <c r="E57" s="731"/>
      <c r="F57" s="29"/>
      <c r="G57" s="730"/>
      <c r="H57" s="732"/>
      <c r="I57" s="732"/>
      <c r="J57" s="733"/>
      <c r="K57" s="11"/>
      <c r="L57" s="12"/>
      <c r="M57" s="12"/>
      <c r="N57" s="13"/>
      <c r="O57" s="13"/>
      <c r="P57" s="13"/>
      <c r="Q57" s="13"/>
      <c r="R57" s="13"/>
      <c r="S57" s="13"/>
      <c r="T57" s="13"/>
      <c r="U57" s="13"/>
      <c r="V57" s="13"/>
      <c r="W57" s="13"/>
      <c r="X57" s="13"/>
      <c r="Y57" s="13"/>
      <c r="Z57" s="13"/>
      <c r="AA57" s="13"/>
    </row>
    <row r="58" spans="2:32" ht="65.25" customHeight="1" x14ac:dyDescent="0.3">
      <c r="B58" s="739"/>
      <c r="C58" s="33" t="s">
        <v>182</v>
      </c>
      <c r="D58" s="730"/>
      <c r="E58" s="731"/>
      <c r="F58" s="29"/>
      <c r="G58" s="730"/>
      <c r="H58" s="732"/>
      <c r="I58" s="732"/>
      <c r="J58" s="733"/>
      <c r="K58" s="11"/>
      <c r="L58" s="12"/>
      <c r="M58" s="12"/>
      <c r="N58" s="13"/>
      <c r="O58" s="13"/>
      <c r="P58" s="13"/>
      <c r="Q58" s="13"/>
      <c r="R58" s="13"/>
      <c r="S58" s="13"/>
      <c r="T58" s="13"/>
      <c r="U58" s="13"/>
      <c r="V58" s="13"/>
      <c r="W58" s="13"/>
      <c r="X58" s="13"/>
      <c r="Y58" s="13"/>
      <c r="Z58" s="13"/>
      <c r="AA58" s="13"/>
    </row>
    <row r="59" spans="2:32" ht="65.25" customHeight="1" thickBot="1" x14ac:dyDescent="0.35">
      <c r="B59" s="739"/>
      <c r="C59" s="34" t="s">
        <v>183</v>
      </c>
      <c r="D59" s="734"/>
      <c r="E59" s="735"/>
      <c r="F59" s="35"/>
      <c r="G59" s="734"/>
      <c r="H59" s="736"/>
      <c r="I59" s="736"/>
      <c r="J59" s="737"/>
      <c r="K59" s="11"/>
      <c r="L59" s="12"/>
      <c r="M59" s="12"/>
      <c r="N59" s="13"/>
      <c r="O59" s="13"/>
      <c r="P59" s="13"/>
      <c r="Q59" s="13"/>
      <c r="R59" s="13"/>
      <c r="S59" s="13"/>
      <c r="T59" s="13"/>
      <c r="U59" s="13"/>
      <c r="V59" s="13"/>
      <c r="W59" s="13"/>
      <c r="X59" s="13"/>
      <c r="Y59" s="13"/>
      <c r="Z59" s="13"/>
      <c r="AA59" s="13"/>
    </row>
    <row r="60" spans="2:32" ht="33" customHeight="1" x14ac:dyDescent="0.3">
      <c r="B60" s="739"/>
      <c r="C60" s="27" t="s">
        <v>44</v>
      </c>
      <c r="D60" s="741" t="s">
        <v>41</v>
      </c>
      <c r="E60" s="742"/>
      <c r="F60" s="27" t="s">
        <v>42</v>
      </c>
      <c r="G60" s="741" t="s">
        <v>43</v>
      </c>
      <c r="H60" s="743"/>
      <c r="I60" s="743"/>
      <c r="J60" s="744"/>
      <c r="K60" s="11"/>
      <c r="L60" s="12"/>
      <c r="M60" s="12"/>
      <c r="N60" s="13"/>
      <c r="O60" s="13"/>
      <c r="P60" s="13"/>
      <c r="Q60" s="13"/>
      <c r="R60" s="13"/>
      <c r="S60" s="13"/>
      <c r="T60" s="13"/>
      <c r="U60" s="13"/>
      <c r="V60" s="13"/>
      <c r="W60" s="13"/>
      <c r="X60" s="13"/>
      <c r="Y60" s="13"/>
      <c r="Z60" s="13"/>
      <c r="AA60" s="13"/>
    </row>
    <row r="61" spans="2:32" ht="65" customHeight="1" x14ac:dyDescent="0.3">
      <c r="B61" s="739"/>
      <c r="C61" s="33" t="s">
        <v>185</v>
      </c>
      <c r="D61" s="730" t="s">
        <v>1192</v>
      </c>
      <c r="E61" s="731"/>
      <c r="F61" s="29" t="s">
        <v>169</v>
      </c>
      <c r="G61" s="730" t="s">
        <v>186</v>
      </c>
      <c r="H61" s="732"/>
      <c r="I61" s="732"/>
      <c r="J61" s="733"/>
      <c r="K61" s="11"/>
      <c r="L61" s="12"/>
      <c r="M61" s="12"/>
      <c r="N61" s="13"/>
      <c r="O61" s="13"/>
      <c r="P61" s="13"/>
      <c r="Q61" s="13"/>
      <c r="R61" s="13"/>
      <c r="S61" s="13"/>
      <c r="T61" s="13"/>
      <c r="U61" s="13"/>
      <c r="V61" s="13"/>
      <c r="W61" s="13"/>
      <c r="X61" s="13"/>
      <c r="Y61" s="13"/>
      <c r="Z61" s="13"/>
      <c r="AA61" s="13"/>
    </row>
    <row r="62" spans="2:32" ht="65" customHeight="1" x14ac:dyDescent="0.3">
      <c r="B62" s="739"/>
      <c r="C62" s="33" t="s">
        <v>184</v>
      </c>
      <c r="D62" s="730" t="s">
        <v>1193</v>
      </c>
      <c r="E62" s="731"/>
      <c r="F62" s="29" t="s">
        <v>169</v>
      </c>
      <c r="G62" s="730" t="s">
        <v>186</v>
      </c>
      <c r="H62" s="732"/>
      <c r="I62" s="732"/>
      <c r="J62" s="733"/>
      <c r="K62" s="11"/>
      <c r="L62" s="12"/>
      <c r="M62" s="12"/>
      <c r="N62" s="13"/>
      <c r="O62" s="13"/>
      <c r="P62" s="13"/>
      <c r="Q62" s="13"/>
      <c r="R62" s="13"/>
      <c r="S62" s="13"/>
      <c r="T62" s="13"/>
      <c r="U62" s="13"/>
      <c r="V62" s="13"/>
      <c r="W62" s="13"/>
      <c r="X62" s="13"/>
      <c r="Y62" s="13"/>
      <c r="Z62" s="13"/>
      <c r="AA62" s="13"/>
    </row>
    <row r="63" spans="2:32" ht="65" customHeight="1" thickBot="1" x14ac:dyDescent="0.35">
      <c r="B63" s="740"/>
      <c r="C63" s="34" t="s">
        <v>35</v>
      </c>
      <c r="D63" s="734"/>
      <c r="E63" s="735"/>
      <c r="F63" s="35"/>
      <c r="G63" s="734"/>
      <c r="H63" s="736"/>
      <c r="I63" s="736"/>
      <c r="J63" s="737"/>
      <c r="K63" s="11"/>
      <c r="L63" s="12"/>
      <c r="M63" s="12"/>
      <c r="N63" s="13"/>
      <c r="O63" s="13"/>
      <c r="P63" s="13"/>
      <c r="Q63" s="13"/>
      <c r="R63" s="13"/>
      <c r="S63" s="13"/>
      <c r="T63" s="13"/>
      <c r="U63" s="13"/>
      <c r="V63" s="13"/>
      <c r="W63" s="13"/>
      <c r="X63" s="13"/>
      <c r="Y63" s="13"/>
      <c r="Z63" s="13"/>
      <c r="AA63" s="13"/>
    </row>
    <row r="64" spans="2:32" ht="14.25" customHeight="1" x14ac:dyDescent="0.35">
      <c r="C64" s="8"/>
      <c r="V64" s="2"/>
      <c r="W64" s="2"/>
      <c r="X64" s="2"/>
      <c r="Y64" s="2"/>
      <c r="Z64" s="2"/>
      <c r="AA64" s="2"/>
      <c r="AB64" s="2"/>
      <c r="AC64" s="2"/>
      <c r="AD64" s="2"/>
      <c r="AE64" s="2"/>
      <c r="AF64" s="2"/>
    </row>
    <row r="65" spans="2:32" ht="14.25" customHeight="1" x14ac:dyDescent="0.35">
      <c r="C65" s="8"/>
      <c r="V65" s="2"/>
      <c r="W65" s="2"/>
      <c r="X65" s="2"/>
      <c r="Y65" s="2"/>
      <c r="Z65" s="2"/>
      <c r="AA65" s="2"/>
      <c r="AB65" s="2"/>
      <c r="AC65" s="2"/>
      <c r="AD65" s="2"/>
      <c r="AE65" s="2"/>
      <c r="AF65" s="2"/>
    </row>
    <row r="66" spans="2:32" ht="24" customHeight="1" x14ac:dyDescent="0.35">
      <c r="B66" s="726" t="s">
        <v>45</v>
      </c>
      <c r="C66" s="726"/>
      <c r="D66" s="726"/>
      <c r="E66" s="726"/>
      <c r="F66" s="726"/>
      <c r="G66" s="726"/>
      <c r="H66" s="726"/>
      <c r="I66" s="726"/>
      <c r="J66" s="726"/>
      <c r="K66" s="6"/>
      <c r="L66" s="7"/>
      <c r="M66" s="7"/>
      <c r="N66" s="2"/>
      <c r="O66" s="2"/>
      <c r="P66" s="2"/>
      <c r="Q66" s="2"/>
      <c r="R66" s="2"/>
      <c r="S66" s="2"/>
      <c r="T66" s="2"/>
      <c r="U66" s="2"/>
      <c r="V66" s="2"/>
      <c r="W66" s="2"/>
      <c r="X66" s="2"/>
      <c r="Y66" s="2"/>
      <c r="Z66" s="2"/>
      <c r="AA66" s="2"/>
    </row>
    <row r="67" spans="2:32" ht="14.25" customHeight="1" thickBot="1" x14ac:dyDescent="0.4">
      <c r="C67" s="8"/>
      <c r="V67" s="2"/>
      <c r="W67" s="2"/>
      <c r="X67" s="2"/>
      <c r="Y67" s="2"/>
      <c r="Z67" s="2"/>
      <c r="AA67" s="2"/>
      <c r="AB67" s="2"/>
      <c r="AC67" s="2"/>
      <c r="AD67" s="2"/>
      <c r="AE67" s="2"/>
      <c r="AF67" s="2"/>
    </row>
    <row r="68" spans="2:32" ht="147.75" customHeight="1" thickBot="1" x14ac:dyDescent="0.35">
      <c r="B68" s="36" t="s">
        <v>46</v>
      </c>
      <c r="C68" s="727" t="s">
        <v>187</v>
      </c>
      <c r="D68" s="728"/>
      <c r="E68" s="728"/>
      <c r="F68" s="728"/>
      <c r="G68" s="728"/>
      <c r="H68" s="728"/>
      <c r="I68" s="728"/>
      <c r="J68" s="729"/>
      <c r="K68" s="11"/>
      <c r="L68" s="12"/>
      <c r="M68" s="12"/>
      <c r="N68" s="13"/>
      <c r="O68" s="13"/>
      <c r="P68" s="13"/>
      <c r="Q68" s="13"/>
      <c r="R68" s="13"/>
      <c r="S68" s="13"/>
      <c r="T68" s="13"/>
      <c r="U68" s="13"/>
      <c r="V68" s="13"/>
      <c r="W68" s="13"/>
      <c r="X68" s="13"/>
      <c r="Y68" s="13"/>
      <c r="Z68" s="13"/>
      <c r="AA68" s="13"/>
    </row>
    <row r="69" spans="2:32" ht="31.5" customHeight="1" x14ac:dyDescent="0.3">
      <c r="B69" s="37" t="s">
        <v>47</v>
      </c>
      <c r="C69" s="38"/>
      <c r="D69" s="38"/>
      <c r="E69" s="38"/>
      <c r="F69" s="38"/>
      <c r="G69" s="38"/>
      <c r="H69" s="38"/>
      <c r="I69" s="38"/>
      <c r="J69" s="38"/>
      <c r="K69" s="11"/>
      <c r="L69" s="12"/>
      <c r="M69" s="12"/>
      <c r="N69" s="13"/>
      <c r="O69" s="13"/>
      <c r="P69" s="13"/>
      <c r="Q69" s="13"/>
      <c r="R69" s="13"/>
      <c r="S69" s="13"/>
      <c r="T69" s="13"/>
      <c r="U69" s="13"/>
      <c r="V69" s="13"/>
      <c r="W69" s="13"/>
      <c r="X69" s="13"/>
      <c r="Y69" s="13"/>
      <c r="Z69" s="13"/>
      <c r="AA69" s="13"/>
    </row>
    <row r="70" spans="2:32" s="3" customFormat="1" ht="21" customHeight="1" x14ac:dyDescent="0.3">
      <c r="B70" s="39"/>
      <c r="C70" s="39"/>
      <c r="D70" s="39"/>
      <c r="E70" s="39"/>
      <c r="F70" s="39"/>
      <c r="G70" s="39"/>
      <c r="H70" s="39"/>
      <c r="I70" s="39"/>
      <c r="J70" s="39"/>
      <c r="K70" s="12"/>
      <c r="L70" s="12"/>
      <c r="M70" s="12"/>
      <c r="N70" s="13"/>
      <c r="O70" s="13"/>
      <c r="P70" s="13"/>
      <c r="Q70" s="13"/>
      <c r="R70" s="13"/>
      <c r="S70" s="13"/>
      <c r="T70" s="13"/>
      <c r="U70" s="13"/>
      <c r="V70" s="13"/>
      <c r="W70" s="13"/>
      <c r="X70" s="13"/>
      <c r="Y70" s="13"/>
      <c r="Z70" s="13"/>
      <c r="AA70" s="13"/>
    </row>
    <row r="71" spans="2:32" s="3" customFormat="1" ht="15.5" x14ac:dyDescent="0.35">
      <c r="B71" s="2"/>
      <c r="C71" s="2"/>
      <c r="D71" s="2"/>
      <c r="E71" s="2"/>
      <c r="F71" s="2"/>
      <c r="G71" s="2"/>
      <c r="H71" s="2"/>
      <c r="I71" s="2"/>
      <c r="J71" s="2"/>
      <c r="K71" s="2"/>
      <c r="L71" s="2"/>
      <c r="M71" s="2"/>
      <c r="N71" s="2"/>
      <c r="O71" s="2"/>
      <c r="P71" s="2"/>
      <c r="Q71" s="2"/>
      <c r="R71" s="2"/>
      <c r="S71" s="2"/>
      <c r="T71" s="2"/>
      <c r="U71" s="2"/>
      <c r="V71" s="2"/>
      <c r="W71" s="2"/>
      <c r="X71" s="2"/>
      <c r="Y71" s="2"/>
      <c r="Z71" s="2"/>
      <c r="AA71" s="2"/>
    </row>
    <row r="72" spans="2:32" s="3" customFormat="1" ht="15.5" x14ac:dyDescent="0.35">
      <c r="B72" s="40"/>
      <c r="C72" s="41"/>
      <c r="D72" s="2"/>
      <c r="E72" s="2"/>
      <c r="F72" s="2"/>
      <c r="G72" s="2"/>
      <c r="H72" s="2"/>
      <c r="I72" s="2"/>
      <c r="J72" s="2"/>
      <c r="K72" s="2"/>
      <c r="L72" s="2"/>
      <c r="M72" s="2"/>
      <c r="N72" s="2"/>
      <c r="O72" s="2"/>
      <c r="P72" s="2"/>
      <c r="Q72" s="2"/>
      <c r="R72" s="2"/>
      <c r="S72" s="2"/>
      <c r="T72" s="2"/>
      <c r="U72" s="2"/>
      <c r="V72" s="2"/>
      <c r="W72" s="2"/>
      <c r="X72" s="2"/>
      <c r="Y72" s="2"/>
      <c r="Z72" s="2"/>
      <c r="AA72" s="2"/>
    </row>
    <row r="73" spans="2:32" s="3" customFormat="1" ht="15.5" x14ac:dyDescent="0.35">
      <c r="B73" s="40"/>
      <c r="C73" s="41"/>
      <c r="D73" s="2"/>
      <c r="E73" s="2"/>
      <c r="F73" s="2"/>
      <c r="G73" s="2"/>
      <c r="H73" s="2"/>
      <c r="I73" s="2"/>
      <c r="J73" s="2"/>
      <c r="K73" s="2"/>
      <c r="L73" s="2"/>
      <c r="M73" s="2"/>
      <c r="N73" s="2"/>
      <c r="O73" s="2"/>
      <c r="P73" s="2"/>
      <c r="Q73" s="2"/>
      <c r="R73" s="2"/>
      <c r="S73" s="2"/>
      <c r="T73" s="2"/>
      <c r="U73" s="2"/>
      <c r="V73" s="2"/>
      <c r="W73" s="2"/>
      <c r="X73" s="2"/>
      <c r="Y73" s="2"/>
      <c r="Z73" s="2"/>
      <c r="AA73" s="2"/>
    </row>
    <row r="74" spans="2:32" s="3" customFormat="1" ht="15.5" x14ac:dyDescent="0.35">
      <c r="B74" s="40"/>
      <c r="C74" s="41"/>
      <c r="D74" s="2"/>
      <c r="E74" s="2"/>
      <c r="F74" s="2"/>
      <c r="G74" s="2"/>
      <c r="H74" s="2"/>
      <c r="I74" s="2"/>
      <c r="J74" s="2"/>
      <c r="K74" s="2"/>
      <c r="L74" s="2"/>
      <c r="M74" s="2"/>
      <c r="N74" s="2"/>
      <c r="O74" s="2"/>
      <c r="P74" s="2"/>
      <c r="Q74" s="2"/>
      <c r="R74" s="2"/>
      <c r="S74" s="2"/>
      <c r="T74" s="2"/>
      <c r="U74" s="2"/>
      <c r="V74" s="2"/>
      <c r="W74" s="2"/>
      <c r="X74" s="2"/>
      <c r="Y74" s="2"/>
      <c r="Z74" s="2"/>
      <c r="AA74" s="2"/>
    </row>
    <row r="75" spans="2:32" s="3" customFormat="1" ht="15.5" x14ac:dyDescent="0.35">
      <c r="B75" s="2"/>
      <c r="C75" s="2"/>
      <c r="D75" s="2"/>
      <c r="E75" s="2"/>
      <c r="F75" s="2"/>
      <c r="G75" s="2"/>
      <c r="H75" s="2"/>
      <c r="I75" s="2"/>
      <c r="J75" s="2"/>
      <c r="K75" s="2"/>
      <c r="L75" s="2"/>
      <c r="M75" s="2"/>
      <c r="N75" s="2"/>
      <c r="O75" s="2"/>
      <c r="P75" s="2"/>
      <c r="Q75" s="2"/>
      <c r="R75" s="2"/>
      <c r="S75" s="2"/>
      <c r="T75" s="2"/>
      <c r="U75" s="2"/>
      <c r="V75" s="2"/>
      <c r="W75" s="2"/>
      <c r="X75" s="2"/>
      <c r="Y75" s="2"/>
      <c r="Z75" s="2"/>
      <c r="AA75" s="2"/>
    </row>
    <row r="76" spans="2:32" s="3" customFormat="1" ht="15.5" x14ac:dyDescent="0.35">
      <c r="B76" s="2"/>
      <c r="C76" s="2"/>
      <c r="D76" s="2"/>
      <c r="E76" s="2"/>
      <c r="F76" s="2"/>
      <c r="G76" s="2"/>
      <c r="H76" s="2"/>
      <c r="I76" s="2"/>
      <c r="J76" s="2"/>
      <c r="K76" s="2"/>
      <c r="L76" s="2"/>
      <c r="M76" s="2"/>
      <c r="N76" s="2"/>
      <c r="O76" s="2"/>
      <c r="P76" s="2"/>
      <c r="Q76" s="2"/>
      <c r="R76" s="2"/>
      <c r="S76" s="2"/>
      <c r="T76" s="2"/>
      <c r="U76" s="2"/>
      <c r="V76" s="2"/>
      <c r="W76" s="2"/>
      <c r="X76" s="2"/>
      <c r="Y76" s="2"/>
      <c r="Z76" s="2"/>
      <c r="AA76" s="2"/>
    </row>
    <row r="77" spans="2:32" s="3" customFormat="1" ht="15.5" x14ac:dyDescent="0.35">
      <c r="B77" s="2"/>
      <c r="C77" s="2"/>
      <c r="D77" s="2"/>
      <c r="E77" s="2"/>
      <c r="F77" s="2"/>
      <c r="G77" s="2"/>
      <c r="H77" s="2"/>
      <c r="I77" s="2"/>
      <c r="J77" s="2"/>
      <c r="K77" s="2"/>
      <c r="L77" s="2"/>
      <c r="M77" s="2"/>
      <c r="N77" s="2"/>
      <c r="O77" s="2"/>
      <c r="P77" s="2"/>
      <c r="Q77" s="2"/>
      <c r="R77" s="2"/>
      <c r="S77" s="2"/>
      <c r="T77" s="2"/>
      <c r="U77" s="2"/>
      <c r="V77" s="2"/>
      <c r="W77" s="2"/>
      <c r="X77" s="2"/>
      <c r="Y77" s="2"/>
      <c r="Z77" s="2"/>
      <c r="AA77" s="2"/>
    </row>
    <row r="78" spans="2:32" s="3" customFormat="1" ht="15.5" x14ac:dyDescent="0.35">
      <c r="B78" s="2"/>
      <c r="C78" s="2"/>
      <c r="D78" s="2"/>
      <c r="E78" s="2"/>
      <c r="F78" s="2"/>
      <c r="G78" s="2"/>
      <c r="H78" s="2"/>
      <c r="I78" s="2"/>
      <c r="J78" s="2"/>
      <c r="K78" s="2"/>
      <c r="L78" s="2"/>
      <c r="M78" s="2"/>
      <c r="N78" s="2"/>
      <c r="O78" s="2"/>
      <c r="P78" s="2"/>
      <c r="Q78" s="2"/>
      <c r="R78" s="2"/>
      <c r="S78" s="2"/>
      <c r="T78" s="2"/>
      <c r="U78" s="2"/>
      <c r="V78" s="2"/>
      <c r="W78" s="2"/>
      <c r="X78" s="2"/>
      <c r="Y78" s="2"/>
      <c r="Z78" s="2"/>
      <c r="AA78" s="2"/>
    </row>
    <row r="79" spans="2:32" s="3" customFormat="1" ht="15.5" x14ac:dyDescent="0.35">
      <c r="B79" s="2"/>
      <c r="C79" s="2"/>
      <c r="D79" s="2"/>
      <c r="E79" s="2"/>
      <c r="F79" s="2"/>
      <c r="G79" s="2"/>
      <c r="H79" s="2"/>
      <c r="I79" s="2"/>
      <c r="J79" s="2"/>
      <c r="K79" s="2"/>
      <c r="L79" s="2"/>
      <c r="M79" s="2"/>
      <c r="N79" s="2"/>
      <c r="O79" s="2"/>
      <c r="P79" s="2"/>
      <c r="Q79" s="2"/>
      <c r="R79" s="2"/>
      <c r="S79" s="2"/>
      <c r="T79" s="2"/>
      <c r="U79" s="2"/>
      <c r="V79" s="2"/>
      <c r="W79" s="2"/>
      <c r="X79" s="2"/>
      <c r="Y79" s="2"/>
      <c r="Z79" s="2"/>
      <c r="AA79" s="2"/>
    </row>
    <row r="80" spans="2:32" s="3" customFormat="1" ht="15.5" x14ac:dyDescent="0.35">
      <c r="B80" s="2"/>
      <c r="C80" s="2"/>
      <c r="D80" s="2"/>
      <c r="E80" s="2"/>
      <c r="F80" s="2"/>
      <c r="G80" s="2"/>
      <c r="H80" s="2"/>
      <c r="I80" s="2"/>
      <c r="J80" s="2"/>
      <c r="K80" s="2"/>
      <c r="L80" s="2"/>
      <c r="M80" s="2"/>
      <c r="N80" s="2"/>
      <c r="O80" s="2"/>
      <c r="P80" s="2"/>
      <c r="Q80" s="2"/>
      <c r="R80" s="2"/>
      <c r="S80" s="2"/>
      <c r="T80" s="2"/>
      <c r="U80" s="2"/>
      <c r="V80" s="2"/>
      <c r="W80" s="2"/>
      <c r="X80" s="2"/>
      <c r="Y80" s="2"/>
      <c r="Z80" s="2"/>
      <c r="AA80" s="2"/>
    </row>
    <row r="81" spans="2:27" s="3" customFormat="1" ht="15.5" x14ac:dyDescent="0.35">
      <c r="B81" s="2"/>
      <c r="C81" s="2"/>
      <c r="D81" s="2"/>
      <c r="E81" s="2"/>
      <c r="F81" s="2"/>
      <c r="G81" s="2"/>
      <c r="H81" s="2"/>
      <c r="I81" s="2"/>
      <c r="J81" s="2"/>
      <c r="K81" s="2"/>
      <c r="L81" s="2"/>
      <c r="M81" s="2"/>
      <c r="N81" s="2"/>
      <c r="O81" s="2"/>
      <c r="P81" s="2"/>
      <c r="Q81" s="2"/>
      <c r="R81" s="2"/>
      <c r="S81" s="2"/>
      <c r="T81" s="2"/>
      <c r="U81" s="2"/>
      <c r="V81" s="2"/>
      <c r="W81" s="2"/>
      <c r="X81" s="2"/>
      <c r="Y81" s="2"/>
      <c r="Z81" s="2"/>
      <c r="AA81" s="2"/>
    </row>
    <row r="82" spans="2:27" s="3" customFormat="1" ht="15.5" x14ac:dyDescent="0.35">
      <c r="B82" s="2"/>
      <c r="C82" s="2"/>
      <c r="D82" s="2"/>
      <c r="E82" s="2"/>
      <c r="F82" s="2"/>
      <c r="G82" s="2"/>
      <c r="H82" s="2"/>
      <c r="I82" s="2"/>
      <c r="J82" s="2"/>
      <c r="K82" s="2"/>
      <c r="L82" s="2"/>
      <c r="M82" s="2"/>
      <c r="N82" s="2"/>
      <c r="O82" s="2"/>
      <c r="P82" s="2"/>
      <c r="Q82" s="2"/>
      <c r="R82" s="2"/>
      <c r="S82" s="2"/>
      <c r="T82" s="2"/>
      <c r="U82" s="2"/>
      <c r="V82" s="2"/>
      <c r="W82" s="2"/>
      <c r="X82" s="2"/>
      <c r="Y82" s="2"/>
      <c r="Z82" s="2"/>
      <c r="AA82" s="2"/>
    </row>
    <row r="83" spans="2:27" s="3" customFormat="1" ht="15.5" x14ac:dyDescent="0.35">
      <c r="B83" s="2"/>
      <c r="C83" s="2"/>
      <c r="D83" s="2"/>
      <c r="E83" s="2"/>
      <c r="F83" s="2"/>
      <c r="G83" s="2"/>
      <c r="H83" s="2"/>
      <c r="I83" s="2"/>
      <c r="J83" s="2"/>
      <c r="K83" s="2"/>
      <c r="L83" s="2"/>
      <c r="M83" s="2"/>
      <c r="N83" s="2"/>
      <c r="O83" s="2"/>
      <c r="P83" s="2"/>
      <c r="Q83" s="2"/>
      <c r="R83" s="2"/>
      <c r="S83" s="2"/>
      <c r="T83" s="2"/>
      <c r="U83" s="2"/>
      <c r="V83" s="2"/>
      <c r="W83" s="2"/>
      <c r="X83" s="2"/>
      <c r="Y83" s="2"/>
      <c r="Z83" s="2"/>
      <c r="AA83" s="2"/>
    </row>
    <row r="84" spans="2:27" s="3" customFormat="1" ht="15.5" x14ac:dyDescent="0.35">
      <c r="B84" s="2"/>
      <c r="C84" s="2"/>
      <c r="D84" s="2"/>
      <c r="E84" s="2"/>
      <c r="F84" s="2"/>
      <c r="G84" s="2"/>
      <c r="H84" s="2"/>
      <c r="I84" s="2"/>
      <c r="J84" s="2"/>
      <c r="K84" s="2"/>
      <c r="L84" s="2"/>
      <c r="M84" s="2"/>
      <c r="N84" s="2"/>
      <c r="O84" s="2"/>
      <c r="P84" s="2"/>
      <c r="Q84" s="2"/>
      <c r="R84" s="2"/>
      <c r="S84" s="2"/>
      <c r="T84" s="2"/>
      <c r="U84" s="2"/>
      <c r="V84" s="2"/>
      <c r="W84" s="2"/>
      <c r="X84" s="2"/>
      <c r="Y84" s="2"/>
      <c r="Z84" s="2"/>
      <c r="AA84" s="2"/>
    </row>
    <row r="85" spans="2:27" s="3" customFormat="1" ht="15.5" x14ac:dyDescent="0.35">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s="3" customFormat="1" ht="15.5" x14ac:dyDescent="0.35">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s="3" customFormat="1" ht="15.5" x14ac:dyDescent="0.35">
      <c r="B87" s="2"/>
      <c r="C87" s="2"/>
      <c r="D87" s="2"/>
      <c r="E87" s="2"/>
      <c r="F87" s="2"/>
      <c r="G87" s="2"/>
      <c r="H87" s="2"/>
      <c r="I87" s="2"/>
      <c r="J87" s="2"/>
      <c r="K87" s="2"/>
      <c r="L87" s="2"/>
      <c r="M87" s="2"/>
      <c r="N87" s="2"/>
      <c r="O87" s="2"/>
      <c r="P87" s="2"/>
      <c r="Q87" s="2"/>
      <c r="R87" s="2"/>
      <c r="S87" s="2"/>
      <c r="T87" s="2"/>
      <c r="U87" s="2"/>
      <c r="V87" s="2"/>
      <c r="W87" s="2"/>
      <c r="X87" s="2"/>
      <c r="Y87" s="2"/>
      <c r="Z87" s="2"/>
      <c r="AA87" s="2"/>
    </row>
    <row r="88" spans="2:27" s="3" customFormat="1" ht="15.5" x14ac:dyDescent="0.35">
      <c r="B88" s="2"/>
      <c r="C88" s="2"/>
      <c r="D88" s="2"/>
      <c r="E88" s="2"/>
      <c r="F88" s="2"/>
      <c r="G88" s="2"/>
      <c r="H88" s="2"/>
      <c r="I88" s="2"/>
      <c r="J88" s="2"/>
      <c r="K88" s="2"/>
      <c r="L88" s="2"/>
      <c r="M88" s="2"/>
      <c r="N88" s="2"/>
      <c r="O88" s="2"/>
      <c r="P88" s="2"/>
      <c r="Q88" s="2"/>
      <c r="R88" s="2"/>
      <c r="S88" s="2"/>
      <c r="T88" s="2"/>
      <c r="U88" s="2"/>
      <c r="V88" s="2"/>
      <c r="W88" s="2"/>
      <c r="X88" s="2"/>
      <c r="Y88" s="2"/>
      <c r="Z88" s="2"/>
      <c r="AA88" s="2"/>
    </row>
    <row r="89" spans="2:27" s="3" customFormat="1" ht="15.5" x14ac:dyDescent="0.35">
      <c r="B89" s="2"/>
      <c r="C89" s="2"/>
      <c r="D89" s="2"/>
      <c r="E89" s="2"/>
      <c r="F89" s="2"/>
      <c r="G89" s="2"/>
      <c r="H89" s="2"/>
      <c r="I89" s="2"/>
      <c r="J89" s="2"/>
      <c r="K89" s="2"/>
      <c r="L89" s="2"/>
      <c r="M89" s="2"/>
      <c r="N89" s="2"/>
      <c r="O89" s="2"/>
      <c r="P89" s="2"/>
      <c r="Q89" s="2"/>
      <c r="R89" s="2"/>
      <c r="S89" s="2"/>
      <c r="T89" s="2"/>
      <c r="U89" s="2"/>
      <c r="V89" s="2"/>
      <c r="W89" s="2"/>
      <c r="X89" s="2"/>
      <c r="Y89" s="2"/>
      <c r="Z89" s="2"/>
      <c r="AA89" s="2"/>
    </row>
    <row r="90" spans="2:27" s="3" customFormat="1" ht="15.5" x14ac:dyDescent="0.35">
      <c r="B90" s="2"/>
      <c r="C90" s="2"/>
      <c r="D90" s="2"/>
      <c r="E90" s="2"/>
      <c r="F90" s="2"/>
      <c r="G90" s="2"/>
      <c r="H90" s="2"/>
      <c r="I90" s="2"/>
      <c r="J90" s="2"/>
      <c r="K90" s="2"/>
      <c r="L90" s="2"/>
      <c r="M90" s="2"/>
      <c r="N90" s="2"/>
      <c r="O90" s="2"/>
      <c r="P90" s="2"/>
      <c r="Q90" s="2"/>
      <c r="R90" s="2"/>
      <c r="S90" s="2"/>
      <c r="T90" s="2"/>
      <c r="U90" s="2"/>
      <c r="V90" s="2"/>
      <c r="W90" s="2"/>
      <c r="X90" s="2"/>
      <c r="Y90" s="2"/>
      <c r="Z90" s="2"/>
      <c r="AA90" s="2"/>
    </row>
    <row r="91" spans="2:27" s="3" customFormat="1" ht="15.5" x14ac:dyDescent="0.35">
      <c r="B91" s="2"/>
      <c r="C91" s="2"/>
      <c r="D91" s="2"/>
      <c r="E91" s="2"/>
      <c r="F91" s="2"/>
      <c r="G91" s="2"/>
      <c r="H91" s="2"/>
      <c r="I91" s="2"/>
      <c r="J91" s="2"/>
      <c r="K91" s="2"/>
      <c r="L91" s="2"/>
      <c r="M91" s="2"/>
      <c r="N91" s="2"/>
      <c r="O91" s="2"/>
      <c r="P91" s="2"/>
      <c r="Q91" s="2"/>
      <c r="R91" s="2"/>
      <c r="S91" s="2"/>
      <c r="T91" s="2"/>
      <c r="U91" s="2"/>
      <c r="V91" s="2"/>
      <c r="W91" s="2"/>
      <c r="X91" s="2"/>
      <c r="Y91" s="2"/>
      <c r="Z91" s="2"/>
      <c r="AA91" s="2"/>
    </row>
    <row r="92" spans="2:27" s="3" customFormat="1" ht="15.5" x14ac:dyDescent="0.35">
      <c r="B92" s="2"/>
      <c r="C92" s="2"/>
      <c r="D92" s="2"/>
      <c r="E92" s="2"/>
      <c r="F92" s="2"/>
      <c r="G92" s="2"/>
      <c r="H92" s="2"/>
      <c r="I92" s="2"/>
      <c r="J92" s="2"/>
      <c r="K92" s="2"/>
      <c r="L92" s="2"/>
      <c r="M92" s="2"/>
      <c r="N92" s="2"/>
      <c r="O92" s="2"/>
      <c r="P92" s="2"/>
      <c r="Q92" s="2"/>
      <c r="R92" s="2"/>
      <c r="S92" s="2"/>
      <c r="T92" s="2"/>
      <c r="U92" s="2"/>
      <c r="V92" s="2"/>
      <c r="W92" s="2"/>
      <c r="X92" s="2"/>
      <c r="Y92" s="2"/>
      <c r="Z92" s="2"/>
      <c r="AA92" s="2"/>
    </row>
    <row r="93" spans="2:27" s="3" customFormat="1" ht="15.5" x14ac:dyDescent="0.35">
      <c r="B93" s="2"/>
      <c r="C93" s="2"/>
      <c r="D93" s="2"/>
      <c r="E93" s="2"/>
      <c r="F93" s="2"/>
      <c r="G93" s="2"/>
      <c r="H93" s="2"/>
      <c r="I93" s="2"/>
      <c r="J93" s="2"/>
      <c r="K93" s="2"/>
      <c r="L93" s="2"/>
      <c r="M93" s="2"/>
      <c r="N93" s="2"/>
      <c r="O93" s="2"/>
      <c r="P93" s="2"/>
      <c r="Q93" s="2"/>
      <c r="R93" s="2"/>
      <c r="S93" s="2"/>
      <c r="T93" s="2"/>
      <c r="U93" s="2"/>
      <c r="V93" s="2"/>
      <c r="W93" s="2"/>
      <c r="X93" s="2"/>
      <c r="Y93" s="2"/>
      <c r="Z93" s="2"/>
      <c r="AA93" s="2"/>
    </row>
    <row r="94" spans="2:27" s="3" customFormat="1" ht="15.5" x14ac:dyDescent="0.35">
      <c r="B94" s="2"/>
      <c r="C94" s="2"/>
      <c r="D94" s="2"/>
      <c r="E94" s="2"/>
      <c r="F94" s="2"/>
      <c r="G94" s="2"/>
      <c r="H94" s="2"/>
      <c r="I94" s="2"/>
      <c r="J94" s="2"/>
      <c r="K94" s="2"/>
      <c r="L94" s="2"/>
      <c r="M94" s="2"/>
      <c r="N94" s="2"/>
      <c r="O94" s="2"/>
      <c r="P94" s="2"/>
      <c r="Q94" s="2"/>
      <c r="R94" s="2"/>
      <c r="S94" s="2"/>
      <c r="T94" s="2"/>
      <c r="U94" s="2"/>
      <c r="V94" s="2"/>
      <c r="W94" s="2"/>
      <c r="X94" s="2"/>
      <c r="Y94" s="2"/>
      <c r="Z94" s="2"/>
      <c r="AA94" s="2"/>
    </row>
    <row r="95" spans="2:27" s="3" customFormat="1" ht="15.5" x14ac:dyDescent="0.35">
      <c r="B95" s="2"/>
      <c r="C95" s="2"/>
      <c r="D95" s="2"/>
      <c r="E95" s="2"/>
      <c r="F95" s="2"/>
      <c r="G95" s="2"/>
      <c r="H95" s="2"/>
      <c r="I95" s="2"/>
      <c r="J95" s="2"/>
      <c r="K95" s="2"/>
      <c r="L95" s="2"/>
      <c r="M95" s="2"/>
      <c r="N95" s="2"/>
      <c r="O95" s="2"/>
      <c r="P95" s="2"/>
      <c r="Q95" s="2"/>
      <c r="R95" s="2"/>
      <c r="S95" s="2"/>
      <c r="T95" s="2"/>
      <c r="U95" s="2"/>
      <c r="V95" s="2"/>
      <c r="W95" s="2"/>
      <c r="X95" s="2"/>
      <c r="Y95" s="2"/>
      <c r="Z95" s="2"/>
      <c r="AA95" s="2"/>
    </row>
    <row r="96" spans="2:27" s="3" customFormat="1" ht="15.5" x14ac:dyDescent="0.35">
      <c r="B96" s="2"/>
      <c r="C96" s="2"/>
      <c r="D96" s="2"/>
      <c r="E96" s="2"/>
      <c r="F96" s="2"/>
      <c r="G96" s="2"/>
      <c r="H96" s="2"/>
      <c r="I96" s="2"/>
      <c r="J96" s="2"/>
      <c r="K96" s="2"/>
      <c r="L96" s="2"/>
      <c r="M96" s="2"/>
      <c r="N96" s="2"/>
      <c r="O96" s="2"/>
      <c r="P96" s="2"/>
      <c r="Q96" s="2"/>
      <c r="R96" s="2"/>
      <c r="S96" s="2"/>
      <c r="T96" s="2"/>
      <c r="U96" s="2"/>
      <c r="V96" s="2"/>
      <c r="W96" s="2"/>
      <c r="X96" s="2"/>
      <c r="Y96" s="2"/>
      <c r="Z96" s="2"/>
      <c r="AA96" s="2"/>
    </row>
    <row r="97" spans="2:27" s="3" customFormat="1" ht="15.5" x14ac:dyDescent="0.35">
      <c r="B97" s="2"/>
      <c r="C97" s="2"/>
      <c r="D97" s="2"/>
      <c r="E97" s="2"/>
      <c r="F97" s="2"/>
      <c r="G97" s="2"/>
      <c r="H97" s="2"/>
      <c r="I97" s="2"/>
      <c r="J97" s="2"/>
      <c r="K97" s="2"/>
      <c r="L97" s="2"/>
      <c r="M97" s="2"/>
      <c r="N97" s="2"/>
      <c r="O97" s="2"/>
      <c r="P97" s="2"/>
      <c r="Q97" s="2"/>
      <c r="R97" s="2"/>
      <c r="S97" s="2"/>
      <c r="T97" s="2"/>
      <c r="U97" s="2"/>
      <c r="V97" s="2"/>
      <c r="W97" s="2"/>
      <c r="X97" s="2"/>
      <c r="Y97" s="2"/>
      <c r="Z97" s="2"/>
      <c r="AA97" s="2"/>
    </row>
    <row r="98" spans="2:27" s="3" customFormat="1" ht="15.5" x14ac:dyDescent="0.35">
      <c r="B98" s="2"/>
      <c r="C98" s="2"/>
      <c r="D98" s="2"/>
      <c r="E98" s="2"/>
      <c r="F98" s="2"/>
      <c r="G98" s="2"/>
      <c r="H98" s="2"/>
      <c r="I98" s="2"/>
      <c r="J98" s="2"/>
      <c r="K98" s="2"/>
      <c r="L98" s="2"/>
      <c r="M98" s="2"/>
      <c r="N98" s="2"/>
      <c r="O98" s="2"/>
      <c r="P98" s="2"/>
      <c r="Q98" s="2"/>
      <c r="R98" s="2"/>
      <c r="S98" s="2"/>
      <c r="T98" s="2"/>
      <c r="U98" s="2"/>
      <c r="V98" s="2"/>
      <c r="W98" s="2"/>
      <c r="X98" s="2"/>
      <c r="Y98" s="2"/>
      <c r="Z98" s="2"/>
      <c r="AA98" s="2"/>
    </row>
    <row r="99" spans="2:27" s="3" customFormat="1" ht="15.5" x14ac:dyDescent="0.35">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2:27" s="3" customFormat="1" ht="15.5" x14ac:dyDescent="0.35">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2:27" s="3" customFormat="1" ht="15.5" x14ac:dyDescent="0.35">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2:27" s="3" customFormat="1" ht="15.5" x14ac:dyDescent="0.35">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2:27" s="3" customFormat="1" ht="15.5" x14ac:dyDescent="0.35">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2:27" s="3" customFormat="1" ht="15.5" x14ac:dyDescent="0.35">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2:27" s="3" customFormat="1" ht="15.5" x14ac:dyDescent="0.35">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2:27" s="3" customFormat="1" ht="15.5" x14ac:dyDescent="0.35">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2:27" s="3" customFormat="1" ht="15.5" x14ac:dyDescent="0.3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2:27" s="3" customFormat="1" ht="15.5" x14ac:dyDescent="0.35">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2:27" s="3" customFormat="1" ht="15.5" x14ac:dyDescent="0.35">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2:27" s="3" customFormat="1" ht="15.5" x14ac:dyDescent="0.35">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2:27" s="3" customFormat="1" ht="15.5" x14ac:dyDescent="0.35">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2:27" s="3" customFormat="1" ht="15.5" x14ac:dyDescent="0.35">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2:27" s="3" customFormat="1" ht="15.5" x14ac:dyDescent="0.35">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2:27" s="3" customFormat="1" ht="15.5" x14ac:dyDescent="0.35">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2:27" s="3" customFormat="1" ht="15.5" x14ac:dyDescent="0.35">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2:27" s="3" customFormat="1" ht="15.5" x14ac:dyDescent="0.35">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s="3" customFormat="1" ht="15.5" x14ac:dyDescent="0.35">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s="3" customFormat="1" ht="15.5" x14ac:dyDescent="0.35">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s="3" customFormat="1" ht="15.5" x14ac:dyDescent="0.35">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s="3" customFormat="1" ht="15.5" x14ac:dyDescent="0.35">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s="3" customFormat="1" ht="15.5" x14ac:dyDescent="0.35">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s="3" customFormat="1" ht="15.5" x14ac:dyDescent="0.35">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s="3" customFormat="1" ht="15.5" x14ac:dyDescent="0.35">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s="3" customFormat="1" ht="15.5" x14ac:dyDescent="0.35">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s="3" customFormat="1" ht="15.5" x14ac:dyDescent="0.35">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s="3" customFormat="1" ht="15.5" x14ac:dyDescent="0.35">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s="3" customFormat="1" ht="15.5" x14ac:dyDescent="0.35">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s="3" customFormat="1" ht="15.5" x14ac:dyDescent="0.35">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s="3" customFormat="1" ht="15.5" x14ac:dyDescent="0.35">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s="3" customFormat="1" ht="15.5" x14ac:dyDescent="0.35">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s="3" customFormat="1" ht="15.5" x14ac:dyDescent="0.35">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s="3" customFormat="1" ht="15.5" x14ac:dyDescent="0.35">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s="3" customFormat="1" ht="15.5" x14ac:dyDescent="0.35">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s="3" customFormat="1" ht="15.5" x14ac:dyDescent="0.35">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s="3" customFormat="1" ht="15.5" x14ac:dyDescent="0.35">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s="3" customFormat="1" ht="15.5" x14ac:dyDescent="0.35">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s="3" customFormat="1" ht="15.5" x14ac:dyDescent="0.35">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s="3" customFormat="1" ht="15.5" x14ac:dyDescent="0.35">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s="3" customFormat="1" ht="15.5" x14ac:dyDescent="0.35">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s="3" customFormat="1" ht="15.5" x14ac:dyDescent="0.35">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s="3" customFormat="1" ht="15.5" x14ac:dyDescent="0.35">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s="3" customFormat="1" ht="15.5" x14ac:dyDescent="0.35">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s="3" customFormat="1" ht="15.5" x14ac:dyDescent="0.35">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s="3" customFormat="1" ht="15.5" x14ac:dyDescent="0.35">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s="3" customFormat="1" ht="15.5" x14ac:dyDescent="0.35">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s="3" customFormat="1" ht="15.5" x14ac:dyDescent="0.35">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s="3" customFormat="1" ht="15.5" x14ac:dyDescent="0.35">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s="3" customFormat="1" ht="15.5" x14ac:dyDescent="0.35">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s="3" customFormat="1" ht="15.5" x14ac:dyDescent="0.35">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s="3" customFormat="1" ht="15.5" x14ac:dyDescent="0.35">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s="3" customFormat="1" ht="15.5" x14ac:dyDescent="0.35">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s="3" customFormat="1" ht="15.5" x14ac:dyDescent="0.35">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s="3" customFormat="1" ht="15.5" x14ac:dyDescent="0.35">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s="3" customFormat="1" ht="15.5" x14ac:dyDescent="0.35">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s="3" customFormat="1" ht="15.5" x14ac:dyDescent="0.35">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s="3" customFormat="1" ht="15.5" x14ac:dyDescent="0.35">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s="3" customFormat="1" ht="15.5" x14ac:dyDescent="0.35">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s="3" customFormat="1" ht="15.5" x14ac:dyDescent="0.35">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s="3" customFormat="1" ht="15.5" x14ac:dyDescent="0.35">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s="3" customFormat="1" ht="15.5" x14ac:dyDescent="0.35">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s="3" customFormat="1" ht="15.5" x14ac:dyDescent="0.35">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s="3" customFormat="1" ht="15.5" x14ac:dyDescent="0.35">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s="3" customFormat="1" ht="15.5" x14ac:dyDescent="0.35">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s="3" customFormat="1" ht="15.5" x14ac:dyDescent="0.35">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s="3" customFormat="1" ht="15.5" x14ac:dyDescent="0.35">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s="3" customFormat="1" ht="15.5" x14ac:dyDescent="0.35">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s="3" customFormat="1" ht="15.5" x14ac:dyDescent="0.35">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s="3" customFormat="1" ht="15.5" x14ac:dyDescent="0.35">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s="3" customFormat="1" ht="15.5" x14ac:dyDescent="0.35">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s="3" customFormat="1" ht="15.5" x14ac:dyDescent="0.35">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s="3" customFormat="1" ht="15.5" x14ac:dyDescent="0.35">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s="3" customFormat="1" ht="15.5" x14ac:dyDescent="0.35">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s="3" customFormat="1" ht="15.5" x14ac:dyDescent="0.35">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s="3" customFormat="1" ht="15.5" x14ac:dyDescent="0.35">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s="3" customFormat="1" ht="15.5" x14ac:dyDescent="0.35">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s="3" customFormat="1" ht="15.5" x14ac:dyDescent="0.35">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s="3" customFormat="1" ht="15.5" x14ac:dyDescent="0.35">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s="3" customFormat="1" ht="15.5" x14ac:dyDescent="0.35">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s="3" customFormat="1" ht="15.5" x14ac:dyDescent="0.35">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s="3" customFormat="1" ht="15.5" x14ac:dyDescent="0.35">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s="3" customFormat="1" ht="15.5" x14ac:dyDescent="0.35">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s="3" customFormat="1" ht="15.5" x14ac:dyDescent="0.35">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s="3" customFormat="1" ht="15.5" x14ac:dyDescent="0.35">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s="3" customFormat="1" ht="15.5" x14ac:dyDescent="0.35">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s="3" customFormat="1" ht="15.5" x14ac:dyDescent="0.35">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s="3" customFormat="1" ht="15.5" x14ac:dyDescent="0.35">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s="3" customFormat="1" ht="15.5" x14ac:dyDescent="0.35">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s="3" customFormat="1" ht="15.5" x14ac:dyDescent="0.35">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s="3" customFormat="1" ht="15.5" x14ac:dyDescent="0.35">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s="3" customFormat="1" ht="15.5" x14ac:dyDescent="0.35">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s="3" customFormat="1" ht="15.5" x14ac:dyDescent="0.35">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s="3" customFormat="1" ht="15.5" x14ac:dyDescent="0.35">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s="3" customFormat="1" ht="15.5" x14ac:dyDescent="0.35">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s="3" customFormat="1" ht="15.5" x14ac:dyDescent="0.35">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s="3" customFormat="1" ht="15.5" x14ac:dyDescent="0.35">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s="3" customFormat="1" ht="15.5" x14ac:dyDescent="0.35">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s="3" customFormat="1" ht="15.5" x14ac:dyDescent="0.35">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s="3" customFormat="1" ht="15.5" x14ac:dyDescent="0.35">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s="3" customFormat="1" ht="15.5" x14ac:dyDescent="0.35">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s="3" customFormat="1" ht="15.5" x14ac:dyDescent="0.35">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s="3" customFormat="1" ht="15.5" x14ac:dyDescent="0.35">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s="3" customFormat="1" ht="15.5" x14ac:dyDescent="0.35">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s="3" customFormat="1" ht="15.5" x14ac:dyDescent="0.35">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s="3" customFormat="1" ht="15.5" x14ac:dyDescent="0.35">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s="3" customFormat="1" ht="15.5" x14ac:dyDescent="0.35">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s="3" customFormat="1" ht="15.5" x14ac:dyDescent="0.35">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s="3" customFormat="1" ht="15.5" x14ac:dyDescent="0.35">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s="3" customFormat="1" ht="15.5" x14ac:dyDescent="0.35">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s="3" customFormat="1" ht="15.5" x14ac:dyDescent="0.35">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s="3" customFormat="1" ht="15.5" x14ac:dyDescent="0.35">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s="3" customFormat="1" ht="15.5" x14ac:dyDescent="0.35">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s="3" customFormat="1" ht="15.5" x14ac:dyDescent="0.35">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s="3" customFormat="1" ht="15.5" x14ac:dyDescent="0.35">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2:27" s="3" customFormat="1" ht="15.5" x14ac:dyDescent="0.35">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2:27" s="3" customFormat="1" ht="15.5" x14ac:dyDescent="0.35">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2:27" s="3" customFormat="1" ht="15.5" x14ac:dyDescent="0.35">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2:27" s="3" customFormat="1" ht="15.5" x14ac:dyDescent="0.35">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2:27" s="3" customFormat="1" ht="15.5" x14ac:dyDescent="0.35">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2:27" s="3" customFormat="1" ht="15.5" x14ac:dyDescent="0.35">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2:27" s="3" customFormat="1" ht="15.5" x14ac:dyDescent="0.35">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2:27" s="3" customFormat="1" ht="15.5" x14ac:dyDescent="0.35">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2:27" s="3" customFormat="1" ht="15.5" x14ac:dyDescent="0.35">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2:27" s="3" customFormat="1" ht="15.5" x14ac:dyDescent="0.35">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2:27" s="3" customFormat="1" ht="15.5" x14ac:dyDescent="0.35">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2:27" s="3" customFormat="1" ht="15.5" x14ac:dyDescent="0.35">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2:27" s="3" customFormat="1" ht="15.5" x14ac:dyDescent="0.35">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2:27" s="3" customFormat="1" ht="15.5" x14ac:dyDescent="0.35">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2:27" s="3" customFormat="1" ht="15.5" x14ac:dyDescent="0.35">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2:27" s="3" customFormat="1" ht="15.5" x14ac:dyDescent="0.35">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2:27" s="3" customFormat="1" ht="15.5" x14ac:dyDescent="0.35">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2:27" s="3" customFormat="1" ht="15.5" x14ac:dyDescent="0.35">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2:27" s="3" customFormat="1" ht="15.5" x14ac:dyDescent="0.35">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2:27" s="3" customFormat="1" ht="15.5" x14ac:dyDescent="0.35">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2:27" s="3" customFormat="1" ht="15.5" x14ac:dyDescent="0.35">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2:27" s="3" customFormat="1" ht="15.5" x14ac:dyDescent="0.35">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2:27" s="3" customFormat="1" ht="15.5" x14ac:dyDescent="0.35">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2:27" s="3" customFormat="1" ht="15.5" x14ac:dyDescent="0.35">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2:27" s="3" customFormat="1" ht="15.5" x14ac:dyDescent="0.35">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2:27" s="3" customFormat="1" ht="15.5" x14ac:dyDescent="0.35">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2:27" s="3" customFormat="1" ht="15.5" x14ac:dyDescent="0.35">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2:27" s="3" customFormat="1" ht="15.5" x14ac:dyDescent="0.35">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2:27" s="3" customFormat="1" ht="15.5" x14ac:dyDescent="0.35">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2:27" s="3" customFormat="1" ht="15.5" x14ac:dyDescent="0.35">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2:27" s="3" customFormat="1" ht="15.5" x14ac:dyDescent="0.35">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2:27" s="3" customFormat="1" ht="15.5" x14ac:dyDescent="0.35">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2:27" s="3" customFormat="1" ht="15.5" x14ac:dyDescent="0.35">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2:27" s="3" customFormat="1" ht="15.5" x14ac:dyDescent="0.35">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2:27" s="3" customFormat="1" ht="15.5" x14ac:dyDescent="0.35">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2:27" s="3" customFormat="1" ht="15.5" x14ac:dyDescent="0.35">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2:27" s="3" customFormat="1" ht="15.5" x14ac:dyDescent="0.35">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2:27" s="3" customFormat="1" ht="15.5" x14ac:dyDescent="0.35">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2:27" s="3" customFormat="1" ht="15.5" x14ac:dyDescent="0.35">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2:27" s="3" customFormat="1" ht="15.5" x14ac:dyDescent="0.35">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2:27" s="3" customFormat="1" ht="15.5" x14ac:dyDescent="0.35">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2:27" s="3" customFormat="1" ht="15.5" x14ac:dyDescent="0.35">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2:27" s="3" customFormat="1" ht="15.5" x14ac:dyDescent="0.35">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2:27" s="3" customFormat="1" ht="15.5" x14ac:dyDescent="0.35">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2:27" s="3" customFormat="1" ht="15.5" x14ac:dyDescent="0.35">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2:27" s="3" customFormat="1" ht="15.5" x14ac:dyDescent="0.35">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2:27" s="3" customFormat="1" ht="15.5" x14ac:dyDescent="0.35">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2:27" s="3" customFormat="1" ht="15.5" x14ac:dyDescent="0.35">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2:27" s="3" customFormat="1" ht="15.5" x14ac:dyDescent="0.35">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2:27" s="3" customFormat="1" ht="15.5" x14ac:dyDescent="0.35">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2:27" s="3" customFormat="1" ht="15.5" x14ac:dyDescent="0.35">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2:27" s="3" customFormat="1" ht="15.5" x14ac:dyDescent="0.35">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2:27" s="3" customFormat="1" ht="15.5" x14ac:dyDescent="0.35">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2:27" s="3" customFormat="1" ht="15.5" x14ac:dyDescent="0.35">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2:27" s="3" customFormat="1" ht="15.5" x14ac:dyDescent="0.35">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2:27" s="3" customFormat="1" ht="15.5" x14ac:dyDescent="0.35">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2:27" s="3" customFormat="1" ht="15.5" x14ac:dyDescent="0.35">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2:27" s="3" customFormat="1" ht="15.5" x14ac:dyDescent="0.35">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2:27" s="3" customFormat="1" ht="15.5" x14ac:dyDescent="0.35">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2:27" s="3" customFormat="1" ht="15.5" x14ac:dyDescent="0.35">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2:27" s="3" customFormat="1" ht="15.5" x14ac:dyDescent="0.35">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2:27" s="3" customFormat="1" ht="15.5" x14ac:dyDescent="0.35">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2:27" s="3" customFormat="1" ht="15.5" x14ac:dyDescent="0.35">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2:27" s="3" customFormat="1" ht="15.5" x14ac:dyDescent="0.35">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2:27" s="3" customFormat="1" ht="15.5" x14ac:dyDescent="0.35">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2:27" s="3" customFormat="1" ht="15.5" x14ac:dyDescent="0.35">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2:27" s="3" customFormat="1" ht="15.5" x14ac:dyDescent="0.35">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2:27" s="3" customFormat="1" ht="15.5" x14ac:dyDescent="0.35">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2:27" s="3" customFormat="1" ht="15.5" x14ac:dyDescent="0.35">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2:27" s="3" customFormat="1" ht="15.5" x14ac:dyDescent="0.35">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2:27" s="3" customFormat="1" ht="15.5" x14ac:dyDescent="0.35">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2:27" s="3" customFormat="1" ht="15.5" x14ac:dyDescent="0.35">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2:27" s="3" customFormat="1" ht="15.5" x14ac:dyDescent="0.35">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2:27" s="3" customFormat="1" ht="15.5" x14ac:dyDescent="0.35">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2:27" s="3" customFormat="1" ht="15.5" x14ac:dyDescent="0.35">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2:27" s="3" customFormat="1" ht="15.5" x14ac:dyDescent="0.35">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2:27" s="3" customFormat="1" ht="15.5" x14ac:dyDescent="0.35">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2:27" s="3" customFormat="1" ht="15.5" x14ac:dyDescent="0.35">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2:27" s="3" customFormat="1" ht="15.5" x14ac:dyDescent="0.35">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2:27" s="3" customFormat="1" ht="15.5" x14ac:dyDescent="0.35">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2:27" s="3" customFormat="1" ht="15.5" x14ac:dyDescent="0.35">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2:27" s="3" customFormat="1" ht="15.5" x14ac:dyDescent="0.35">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2:27" s="3" customFormat="1" ht="15.5" x14ac:dyDescent="0.35">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2:27" s="3" customFormat="1" ht="15.5" x14ac:dyDescent="0.35">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2:27" s="3" customFormat="1" ht="15.5" x14ac:dyDescent="0.35">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2:27" s="3" customFormat="1" ht="15.5" x14ac:dyDescent="0.35">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2:27" s="3" customFormat="1" ht="15.5" x14ac:dyDescent="0.35">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2:27" s="3" customFormat="1" ht="15.5" x14ac:dyDescent="0.35">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2:27" s="3" customFormat="1" ht="15.5" x14ac:dyDescent="0.35">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2:27" s="3" customFormat="1" ht="15.5" x14ac:dyDescent="0.35">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2:27" s="3" customFormat="1" ht="15.5" x14ac:dyDescent="0.35">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2:27" s="3" customFormat="1" ht="15.5" x14ac:dyDescent="0.35">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2:27" s="3" customFormat="1" ht="15.5" x14ac:dyDescent="0.35">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2:27" s="3" customFormat="1" ht="15.5" x14ac:dyDescent="0.35">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2:27" s="3" customFormat="1" ht="15.5" x14ac:dyDescent="0.35">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2:27" s="3" customFormat="1" ht="15.5" x14ac:dyDescent="0.35">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2:27" s="3" customFormat="1" ht="15.5" x14ac:dyDescent="0.35">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2:27" s="3" customFormat="1" ht="15.5" x14ac:dyDescent="0.35">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2:27" s="3" customFormat="1" ht="15.5" x14ac:dyDescent="0.35">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2:27" s="3" customFormat="1" ht="15.5" x14ac:dyDescent="0.35">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2:27" s="3" customFormat="1" ht="15.5" x14ac:dyDescent="0.35">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2:27" s="3" customFormat="1" ht="15.5" x14ac:dyDescent="0.35">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2:27" s="3" customFormat="1" ht="15.5" x14ac:dyDescent="0.35">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2:27" s="3" customFormat="1" ht="15.5" x14ac:dyDescent="0.35">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2:27" s="3" customFormat="1" ht="15.5" x14ac:dyDescent="0.35">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2:27" s="3" customFormat="1" ht="15.5" x14ac:dyDescent="0.35">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2:27" s="3" customFormat="1" ht="15.5" x14ac:dyDescent="0.35">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2:27" s="3" customFormat="1" ht="15.5" x14ac:dyDescent="0.35">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2:27" s="3" customFormat="1" ht="15.5" x14ac:dyDescent="0.35">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2:27" s="3" customFormat="1" ht="15.5" x14ac:dyDescent="0.35">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2:27" s="3" customFormat="1" ht="15.5" x14ac:dyDescent="0.35">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2:27" s="3" customFormat="1" ht="15.5" x14ac:dyDescent="0.35">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2:27" s="3" customFormat="1" ht="15.5" x14ac:dyDescent="0.35">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2:27" s="3" customFormat="1" ht="15.5" x14ac:dyDescent="0.35">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2:27" s="3" customFormat="1" ht="15.5" x14ac:dyDescent="0.35">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2:27" s="3" customFormat="1" ht="15.5" x14ac:dyDescent="0.35">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2:27" s="3" customFormat="1" ht="15.5" x14ac:dyDescent="0.35">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2:27" s="3" customFormat="1" ht="15.5" x14ac:dyDescent="0.35">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2:27" s="3" customFormat="1" ht="15.5" x14ac:dyDescent="0.35">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2:27" s="3" customFormat="1" ht="15.5" x14ac:dyDescent="0.35">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2:27" s="3" customFormat="1" ht="15.5" x14ac:dyDescent="0.35">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2:27" s="3" customFormat="1" ht="15.5" x14ac:dyDescent="0.35">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2:27" s="3" customFormat="1" ht="15.5" x14ac:dyDescent="0.35">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2:27" s="3" customFormat="1" ht="15.5" x14ac:dyDescent="0.35">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2:27" s="3" customFormat="1" ht="15.5" x14ac:dyDescent="0.35">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2:27" s="3" customFormat="1" ht="15.5" x14ac:dyDescent="0.35">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2:27" s="3" customFormat="1" ht="15.5" x14ac:dyDescent="0.35">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2:27" s="3" customFormat="1" ht="15.5" x14ac:dyDescent="0.35">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2:27" s="3" customFormat="1" ht="15.5" x14ac:dyDescent="0.35">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2:27" s="3" customFormat="1" ht="15.5" x14ac:dyDescent="0.35">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2:27" s="3" customFormat="1" ht="15.5" x14ac:dyDescent="0.35">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2:27" s="3" customFormat="1" ht="15.5" x14ac:dyDescent="0.35">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2:27" s="3" customFormat="1" ht="15.5" x14ac:dyDescent="0.35">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2:27" s="3" customFormat="1" ht="15.5" x14ac:dyDescent="0.35">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2:27" s="3" customFormat="1" ht="15.5" x14ac:dyDescent="0.35">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2:27" s="3" customFormat="1" ht="15.5" x14ac:dyDescent="0.35">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2:27" s="3" customFormat="1" ht="15.5" x14ac:dyDescent="0.35">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2:27" s="3" customFormat="1" ht="15.5" x14ac:dyDescent="0.35">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2:27" s="3" customFormat="1" ht="15.5" x14ac:dyDescent="0.35">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2:27" s="3" customFormat="1" ht="15.5" x14ac:dyDescent="0.35">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2:27" s="3" customFormat="1" ht="15.5" x14ac:dyDescent="0.35">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2:27" s="3" customFormat="1" ht="15.5" x14ac:dyDescent="0.35">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2:27" s="3" customFormat="1" ht="15.5" x14ac:dyDescent="0.35">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2:27" s="3" customFormat="1" ht="15.5" x14ac:dyDescent="0.35">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2:27" s="3" customFormat="1" ht="15.5" x14ac:dyDescent="0.35">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2:27" s="3" customFormat="1" ht="15.5" x14ac:dyDescent="0.35">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2:27" s="3" customFormat="1" ht="15.5" x14ac:dyDescent="0.35">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2:27" s="3" customFormat="1" ht="15.5" x14ac:dyDescent="0.35">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2:27" s="3" customFormat="1" ht="15.5" x14ac:dyDescent="0.35">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2:27" s="3" customFormat="1" ht="15.5" x14ac:dyDescent="0.35">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2:27" s="3" customFormat="1" ht="15.5" x14ac:dyDescent="0.35">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2:27" s="3" customFormat="1" ht="15.5" x14ac:dyDescent="0.35">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2:27" s="3" customFormat="1" ht="15.5" x14ac:dyDescent="0.35">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2:27" s="3" customFormat="1" ht="15.5" x14ac:dyDescent="0.35">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2:27" s="3" customFormat="1" ht="15.5" x14ac:dyDescent="0.35">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2:27" s="3" customFormat="1" ht="15.5" x14ac:dyDescent="0.35">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2:27" s="3" customFormat="1" ht="15.5" x14ac:dyDescent="0.35">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2:27" s="3" customFormat="1" ht="15.5" x14ac:dyDescent="0.35">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2:27" s="3" customFormat="1" ht="15.5" x14ac:dyDescent="0.35">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2:27" s="3" customFormat="1" ht="15.5" x14ac:dyDescent="0.35">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2:27" s="3" customFormat="1" ht="15.5" x14ac:dyDescent="0.35">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2:27" s="3" customFormat="1" ht="15.5" x14ac:dyDescent="0.35">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2:27" s="3" customFormat="1" ht="15.5" x14ac:dyDescent="0.35">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2:27" s="3" customFormat="1" ht="15.5" x14ac:dyDescent="0.35">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2:27" s="3" customFormat="1" ht="15.5" x14ac:dyDescent="0.35">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2:27" s="3" customFormat="1" ht="15.5" x14ac:dyDescent="0.35">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2:27" s="3" customFormat="1" ht="15.5" x14ac:dyDescent="0.35">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2:27" s="3" customFormat="1" ht="15.5" x14ac:dyDescent="0.35">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2:27" s="3" customFormat="1" ht="15.5" x14ac:dyDescent="0.35">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2:27" s="3" customFormat="1" ht="15.5" x14ac:dyDescent="0.35">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2:27" s="3" customFormat="1" ht="15.5" x14ac:dyDescent="0.35">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2:27" s="3" customFormat="1" ht="15.5" x14ac:dyDescent="0.35">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2:27" s="3" customFormat="1" ht="15.5" x14ac:dyDescent="0.35">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2:27" s="3" customFormat="1" ht="15.5" x14ac:dyDescent="0.35">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2:27" s="3" customFormat="1" ht="15.5" x14ac:dyDescent="0.35">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2:27" s="3" customFormat="1" ht="15.5" x14ac:dyDescent="0.35">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2:27" s="3" customFormat="1" ht="15.5" x14ac:dyDescent="0.35">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2:27" s="3" customFormat="1" ht="15.5" x14ac:dyDescent="0.35">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2:27" s="3" customFormat="1" ht="15.5" x14ac:dyDescent="0.35">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2:27" s="3" customFormat="1" ht="15.5" x14ac:dyDescent="0.35">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2:27" s="3" customFormat="1" ht="15.5" x14ac:dyDescent="0.35">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2:27" s="3" customFormat="1" ht="15.5" x14ac:dyDescent="0.35">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2:27" s="3" customFormat="1" ht="15.5" x14ac:dyDescent="0.35">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2:27" s="3" customFormat="1" ht="15.5" x14ac:dyDescent="0.35">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2:27" s="3" customFormat="1" ht="15.5" x14ac:dyDescent="0.35">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2:27" s="3" customFormat="1" ht="15.5" x14ac:dyDescent="0.35">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2:27" s="3" customFormat="1" ht="15.5" x14ac:dyDescent="0.35">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2:27" s="3" customFormat="1" ht="15.5" x14ac:dyDescent="0.35">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2:27" s="3" customFormat="1" ht="15.5" x14ac:dyDescent="0.35">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2:27" s="3" customFormat="1" ht="15.5" x14ac:dyDescent="0.35">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2:27" s="3" customFormat="1" ht="15.5" x14ac:dyDescent="0.35">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2:27" s="3" customFormat="1" ht="15.5" x14ac:dyDescent="0.35">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2:27" s="3" customFormat="1" ht="15.5" x14ac:dyDescent="0.35">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2:27" s="3" customFormat="1" ht="15.5" x14ac:dyDescent="0.35">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2:27" s="3" customFormat="1" ht="15.5" x14ac:dyDescent="0.35">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2:27" s="3" customFormat="1" ht="15.5" x14ac:dyDescent="0.35">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2:27" s="3" customFormat="1" ht="15.5" x14ac:dyDescent="0.35">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2:27" s="3" customFormat="1" ht="15.5" x14ac:dyDescent="0.35">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2:27" s="3" customFormat="1" ht="15.5" x14ac:dyDescent="0.35">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2:27" s="3" customFormat="1" ht="15.5" x14ac:dyDescent="0.35">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2:27" s="3" customFormat="1" ht="15.5" x14ac:dyDescent="0.35">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2:27" s="3" customFormat="1" ht="15.5" x14ac:dyDescent="0.35">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2:27" s="3" customFormat="1" ht="15.5" x14ac:dyDescent="0.35">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2:27" s="3" customFormat="1" ht="15.5" x14ac:dyDescent="0.35">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2:27" s="3" customFormat="1" ht="15.5" x14ac:dyDescent="0.35">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2:27" s="3" customFormat="1" ht="15.5" x14ac:dyDescent="0.35">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2:27" s="3" customFormat="1" ht="15.5" x14ac:dyDescent="0.35">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2:27" s="3" customFormat="1" ht="15.5" x14ac:dyDescent="0.35">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2:27" s="3" customFormat="1" ht="15.5" x14ac:dyDescent="0.35">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2:27" s="3" customFormat="1" ht="15.5" x14ac:dyDescent="0.35">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2:27" s="3" customFormat="1" ht="15.5" x14ac:dyDescent="0.35">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2:27" s="3" customFormat="1" ht="15.5" x14ac:dyDescent="0.35">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2:27" s="3" customFormat="1" ht="15.5" x14ac:dyDescent="0.35">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2:27" s="3" customFormat="1" ht="15.5" x14ac:dyDescent="0.35">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2:27" s="3" customFormat="1" ht="15.5" x14ac:dyDescent="0.35">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2:27" s="3" customFormat="1" ht="15.5" x14ac:dyDescent="0.35">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2:27" s="3" customFormat="1" ht="15.5" x14ac:dyDescent="0.35">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2:27" s="3" customFormat="1" ht="15.5" x14ac:dyDescent="0.35">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2:27" s="3" customFormat="1" ht="15.5" x14ac:dyDescent="0.35">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2:27" s="3" customFormat="1" ht="15.5" x14ac:dyDescent="0.35">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2:27" s="3" customFormat="1" ht="15.5" x14ac:dyDescent="0.35">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2:27" s="3" customFormat="1" ht="15.5" x14ac:dyDescent="0.35">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2:27" s="3" customFormat="1" ht="15.5" x14ac:dyDescent="0.35">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2:27" s="3" customFormat="1" ht="15.5" x14ac:dyDescent="0.35">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2:27" s="3" customFormat="1" ht="15.5" x14ac:dyDescent="0.35">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2:27" s="3" customFormat="1" ht="15.5" x14ac:dyDescent="0.35">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2:27" s="3" customFormat="1" ht="15.5" x14ac:dyDescent="0.35">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2:27" s="3" customFormat="1" ht="15.5" x14ac:dyDescent="0.35">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2:27" s="3" customFormat="1" ht="15.5" x14ac:dyDescent="0.35">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2:27" s="3" customFormat="1" ht="15.5" x14ac:dyDescent="0.35">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2:27" s="3" customFormat="1" ht="15.5" x14ac:dyDescent="0.35">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2:27" s="3" customFormat="1" ht="15.5" x14ac:dyDescent="0.35">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2:27" s="3" customFormat="1" ht="15.5" x14ac:dyDescent="0.35">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2:27" s="3" customFormat="1" ht="15.5" x14ac:dyDescent="0.35">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2:27" s="3" customFormat="1" ht="15.5" x14ac:dyDescent="0.35">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2:27" s="3" customFormat="1" ht="15.5" x14ac:dyDescent="0.35">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2:27" s="3" customFormat="1" ht="15.5" x14ac:dyDescent="0.35">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2:27" s="3" customFormat="1" ht="15.5" x14ac:dyDescent="0.35">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2:27" s="3" customFormat="1" ht="15.5" x14ac:dyDescent="0.35">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2:27" s="3" customFormat="1" ht="15.5" x14ac:dyDescent="0.35">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2:27" s="3" customFormat="1" ht="15.5" x14ac:dyDescent="0.35">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2:27" s="3" customFormat="1" ht="15.5" x14ac:dyDescent="0.35">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2:27" s="3" customFormat="1" ht="15.5" x14ac:dyDescent="0.35">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2:27" s="3" customFormat="1" ht="15.5" x14ac:dyDescent="0.35">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2:27" s="3" customFormat="1" ht="15.5" x14ac:dyDescent="0.35">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2:27" s="3" customFormat="1" ht="15.5" x14ac:dyDescent="0.35">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2:27" s="3" customFormat="1" ht="15.5" x14ac:dyDescent="0.35">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2:27" s="3" customFormat="1" ht="15.5" x14ac:dyDescent="0.35">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2:27" s="3" customFormat="1" ht="15.5" x14ac:dyDescent="0.35">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2:27" s="3" customFormat="1" ht="15.5" x14ac:dyDescent="0.35">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2:27" s="3" customFormat="1" ht="15.5" x14ac:dyDescent="0.35">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2:27" s="3" customFormat="1" ht="15.5" x14ac:dyDescent="0.35">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2:27" s="3" customFormat="1" ht="15.5" x14ac:dyDescent="0.35">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2:27" s="3" customFormat="1" ht="15.5" x14ac:dyDescent="0.35">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2:27" s="3" customFormat="1" ht="15.5" x14ac:dyDescent="0.35">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2:27" s="3" customFormat="1" ht="15.5" x14ac:dyDescent="0.35">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2:27" s="3" customFormat="1" ht="15.5" x14ac:dyDescent="0.35">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2:27" s="3" customFormat="1" ht="15.5" x14ac:dyDescent="0.35">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2:27" s="3" customFormat="1" ht="15.5" x14ac:dyDescent="0.35">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2:27" s="3" customFormat="1" ht="15.5" x14ac:dyDescent="0.35">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2:27" s="3" customFormat="1" ht="15.5" x14ac:dyDescent="0.35">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2:27" s="3" customFormat="1" ht="15.5" x14ac:dyDescent="0.35">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2:27" s="3" customFormat="1" ht="15.5" x14ac:dyDescent="0.35">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2:27" s="3" customFormat="1" ht="15.5" x14ac:dyDescent="0.35">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2:27" s="3" customFormat="1" ht="15.5" x14ac:dyDescent="0.35">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2:27" s="3" customFormat="1" ht="15.5" x14ac:dyDescent="0.35">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2:27" s="3" customFormat="1" ht="15.5" x14ac:dyDescent="0.35">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2:27" s="3" customFormat="1" ht="15.5" x14ac:dyDescent="0.35">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2:27" s="3" customFormat="1" ht="15.5" x14ac:dyDescent="0.35">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2:27" s="3" customFormat="1" ht="15.5" x14ac:dyDescent="0.35">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2:27" s="3" customFormat="1" ht="15.5" x14ac:dyDescent="0.35">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2:27" s="3" customFormat="1" ht="15.5" x14ac:dyDescent="0.35">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2:27" s="3" customFormat="1" ht="15.5" x14ac:dyDescent="0.35">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2:27" s="3" customFormat="1" ht="15.5" x14ac:dyDescent="0.35">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2:27" s="3" customFormat="1" ht="15.5" x14ac:dyDescent="0.35">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2:27" s="3" customFormat="1" ht="15.5" x14ac:dyDescent="0.35">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2:27" s="3" customFormat="1" ht="15.5" x14ac:dyDescent="0.35">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2:27" s="3" customFormat="1" ht="15.5" x14ac:dyDescent="0.35">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2:27" s="3" customFormat="1" ht="15.5" x14ac:dyDescent="0.35">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2:27" s="3" customFormat="1" ht="15.5" x14ac:dyDescent="0.35">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2:27" s="3" customFormat="1" ht="15.5" x14ac:dyDescent="0.35">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2:27" s="3" customFormat="1" ht="15.5" x14ac:dyDescent="0.35">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2:27" s="3" customFormat="1" ht="15.5" x14ac:dyDescent="0.35">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2:27" s="3" customFormat="1" ht="15.5" x14ac:dyDescent="0.35">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2:27" s="3" customFormat="1" ht="15.5" x14ac:dyDescent="0.35">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2:27" s="3" customFormat="1" ht="15.5" x14ac:dyDescent="0.35">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2:27" s="3" customFormat="1" ht="15.5" x14ac:dyDescent="0.35">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2:27" s="3" customFormat="1" ht="15.5" x14ac:dyDescent="0.35">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2:27" s="3" customFormat="1" ht="15.5" x14ac:dyDescent="0.35">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2:27" s="3" customFormat="1" ht="15.5" x14ac:dyDescent="0.35">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2:27" s="3" customFormat="1" ht="15.5" x14ac:dyDescent="0.35">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2:27" s="3" customFormat="1" ht="15.5" x14ac:dyDescent="0.35">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2:27" s="3" customFormat="1" ht="15.5" x14ac:dyDescent="0.35">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2:27" s="3" customFormat="1" ht="15.5" x14ac:dyDescent="0.35">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2:27" s="3" customFormat="1" ht="15.5" x14ac:dyDescent="0.35">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2:27" s="3" customFormat="1" ht="15.5" x14ac:dyDescent="0.35">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2:27" s="3" customFormat="1" ht="15.5" x14ac:dyDescent="0.35">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2:27" s="3" customFormat="1" ht="15.5" x14ac:dyDescent="0.35">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2:27" s="3" customFormat="1" ht="15.5" x14ac:dyDescent="0.35">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2:27" s="3" customFormat="1" ht="15.5" x14ac:dyDescent="0.35">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2:27" s="3" customFormat="1" ht="15.5" x14ac:dyDescent="0.35">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2:27" s="3" customFormat="1" ht="15.5" x14ac:dyDescent="0.35">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2:27" s="3" customFormat="1" ht="15.5" x14ac:dyDescent="0.35">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2:27" s="3" customFormat="1" ht="15.5" x14ac:dyDescent="0.35">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2:27" s="3" customFormat="1" ht="15.5" x14ac:dyDescent="0.35">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2:27" s="3" customFormat="1" ht="15.5" x14ac:dyDescent="0.35">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2:27" s="3" customFormat="1" ht="15.5" x14ac:dyDescent="0.35">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2:27" s="3" customFormat="1" ht="15.5" x14ac:dyDescent="0.35">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2:27" s="3" customFormat="1" ht="15.5" x14ac:dyDescent="0.35">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2:27" s="3" customFormat="1" ht="15.5" x14ac:dyDescent="0.35">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2:27" s="3" customFormat="1" ht="15.5" x14ac:dyDescent="0.35">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2:27" s="3" customFormat="1" ht="15.5" x14ac:dyDescent="0.35">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2:27" s="3" customFormat="1" ht="15.5" x14ac:dyDescent="0.35">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2:27" s="3" customFormat="1" ht="15.5" x14ac:dyDescent="0.35">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2:27" s="3" customFormat="1" ht="15.5" x14ac:dyDescent="0.35">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2:27" s="3" customFormat="1" ht="15.5" x14ac:dyDescent="0.35">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2:27" s="3" customFormat="1" ht="15.5" x14ac:dyDescent="0.35">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2:27" s="3" customFormat="1" ht="15.5" x14ac:dyDescent="0.35">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2:27" s="3" customFormat="1" ht="15.5" x14ac:dyDescent="0.35">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2:27" s="3" customFormat="1" ht="15.5" x14ac:dyDescent="0.35">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2:27" s="3" customFormat="1" ht="15.5" x14ac:dyDescent="0.35">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2:27" s="3" customFormat="1" ht="15.5" x14ac:dyDescent="0.35">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2:27" s="3" customFormat="1" ht="15.5" x14ac:dyDescent="0.35">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2:27" s="3" customFormat="1" ht="15.5" x14ac:dyDescent="0.35">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2:27" s="3" customFormat="1" ht="15.5" x14ac:dyDescent="0.35">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2:27" s="3" customFormat="1" ht="15.5" x14ac:dyDescent="0.35">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2:27" s="3" customFormat="1" ht="15.5" x14ac:dyDescent="0.35">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2:27" s="3" customFormat="1" ht="15.5" x14ac:dyDescent="0.35">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2:27" s="3" customFormat="1" ht="15.5" x14ac:dyDescent="0.35">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2:27" s="3" customFormat="1" ht="15.5" x14ac:dyDescent="0.35">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2:27" s="3" customFormat="1" ht="15.5" x14ac:dyDescent="0.35">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2:27" s="3" customFormat="1" ht="15.5" x14ac:dyDescent="0.35">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2:27" s="3" customFormat="1" ht="15.5" x14ac:dyDescent="0.35">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2:27" s="3" customFormat="1" ht="15.5" x14ac:dyDescent="0.35">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2:27" s="3" customFormat="1" ht="15.5" x14ac:dyDescent="0.35">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2:27" s="3" customFormat="1" ht="15.5" x14ac:dyDescent="0.35">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2:27" s="3" customFormat="1" ht="15.5" x14ac:dyDescent="0.35">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2:27" s="3" customFormat="1" ht="15.5" x14ac:dyDescent="0.35">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2:27" s="3" customFormat="1" ht="15.5" x14ac:dyDescent="0.35">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2:27" s="3" customFormat="1" ht="15.5" x14ac:dyDescent="0.35">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2:27" s="3" customFormat="1" ht="15.5" x14ac:dyDescent="0.35">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2:27" s="3" customFormat="1" ht="15.5" x14ac:dyDescent="0.35">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2:27" s="3" customFormat="1" ht="15.5" x14ac:dyDescent="0.35">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2:27" s="3" customFormat="1" ht="15.5" x14ac:dyDescent="0.35">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2:27" s="3" customFormat="1" ht="15.5" x14ac:dyDescent="0.35">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2:27" s="3" customFormat="1" ht="15.5" x14ac:dyDescent="0.35">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2:27" s="3" customFormat="1" ht="15.5" x14ac:dyDescent="0.35">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2:27" s="3" customFormat="1" ht="15.5" x14ac:dyDescent="0.35">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2:27" s="3" customFormat="1" ht="15.5" x14ac:dyDescent="0.35">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2:27" s="3" customFormat="1" ht="15.5" x14ac:dyDescent="0.35">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2:27" s="3" customFormat="1" ht="15.5" x14ac:dyDescent="0.35">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2:27" s="3" customFormat="1" ht="15.5" x14ac:dyDescent="0.35">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2:27" s="3" customFormat="1" ht="15.5" x14ac:dyDescent="0.35">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2:27" s="3" customFormat="1" ht="15.5" x14ac:dyDescent="0.35">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2:27" s="3" customFormat="1" ht="15.5" x14ac:dyDescent="0.35">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2:27" s="3" customFormat="1" ht="15.5" x14ac:dyDescent="0.35">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2:27" s="3" customFormat="1" ht="15.5" x14ac:dyDescent="0.35">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2:27" s="3" customFormat="1" ht="15.5" x14ac:dyDescent="0.35">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2:27" s="3" customFormat="1" ht="15.5" x14ac:dyDescent="0.35">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2:27" s="3" customFormat="1" ht="15.5" x14ac:dyDescent="0.35">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2:27" s="3" customFormat="1" ht="15.5" x14ac:dyDescent="0.35">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2:27" s="3" customFormat="1" ht="15.5" x14ac:dyDescent="0.35">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2:27" s="3" customFormat="1" ht="15.5" x14ac:dyDescent="0.35">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2:27" s="3" customFormat="1" ht="15.5" x14ac:dyDescent="0.35">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2:27" s="3" customFormat="1" ht="15.5" x14ac:dyDescent="0.35">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2:27" s="3" customFormat="1" ht="15.5" x14ac:dyDescent="0.35">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2:27" s="3" customFormat="1" ht="15.5" x14ac:dyDescent="0.35">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2:27" s="3" customFormat="1" ht="15.5" x14ac:dyDescent="0.35">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2:27" s="3" customFormat="1" ht="15.5" x14ac:dyDescent="0.35">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2:27" s="3" customFormat="1" ht="15.5" x14ac:dyDescent="0.35">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2:27" s="3" customFormat="1" ht="15.5" x14ac:dyDescent="0.35">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2:27" s="3" customFormat="1" ht="15.5" x14ac:dyDescent="0.35">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2:27" s="3" customFormat="1" ht="15.5" x14ac:dyDescent="0.35">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2:27" s="3" customFormat="1" ht="15.5" x14ac:dyDescent="0.35">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2:27" s="3" customFormat="1" ht="15.5" x14ac:dyDescent="0.35">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2:27" s="3" customFormat="1" ht="15.5" x14ac:dyDescent="0.35">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2:27" s="3" customFormat="1" ht="15.5" x14ac:dyDescent="0.35">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2:27" s="3" customFormat="1" ht="15.5" x14ac:dyDescent="0.35">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2:27" s="3" customFormat="1" ht="15.5" x14ac:dyDescent="0.35">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2:27" s="3" customFormat="1" ht="15.5" x14ac:dyDescent="0.35">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2:27" s="3" customFormat="1" ht="15.5" x14ac:dyDescent="0.35">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2:27" s="3" customFormat="1" ht="15.5" x14ac:dyDescent="0.35">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2:27" s="3" customFormat="1" ht="15.5" x14ac:dyDescent="0.35">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2:27" s="3" customFormat="1" ht="15.5" x14ac:dyDescent="0.35">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2:27" s="3" customFormat="1" ht="15.5" x14ac:dyDescent="0.35">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2:27" s="3" customFormat="1" ht="15.5" x14ac:dyDescent="0.35">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2:27" s="3" customFormat="1" ht="15.5" x14ac:dyDescent="0.35">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2:27" s="3" customFormat="1" ht="15.5" x14ac:dyDescent="0.35">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2:27" s="3" customFormat="1" ht="15.5" x14ac:dyDescent="0.35">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2:27" s="3" customFormat="1" ht="15.5" x14ac:dyDescent="0.35">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2:27" s="3" customFormat="1" ht="15.5" x14ac:dyDescent="0.35">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2:27" s="3" customFormat="1" ht="15.5" x14ac:dyDescent="0.35">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2:27" s="3" customFormat="1" ht="15.5" x14ac:dyDescent="0.35">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2:27" s="3" customFormat="1" ht="15.5" x14ac:dyDescent="0.35">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2:27" s="3" customFormat="1" ht="15.5" x14ac:dyDescent="0.35">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2:27" s="3" customFormat="1" ht="15.5" x14ac:dyDescent="0.35">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2:27" s="3" customFormat="1" ht="15.5" x14ac:dyDescent="0.35">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2:27" s="3" customFormat="1" ht="15.5" x14ac:dyDescent="0.35">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2:27" s="3" customFormat="1" ht="15.5" x14ac:dyDescent="0.35">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2:27" s="3" customFormat="1" ht="15.5" x14ac:dyDescent="0.35">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2:27" s="3" customFormat="1" ht="15.5" x14ac:dyDescent="0.35">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2:27" s="3" customFormat="1" ht="15.5" x14ac:dyDescent="0.35">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2:27" s="3" customFormat="1" ht="15.5" x14ac:dyDescent="0.35">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2:27" s="3" customFormat="1" ht="15.5" x14ac:dyDescent="0.35">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2:27" s="3" customFormat="1" ht="15.5" x14ac:dyDescent="0.35">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2:27" s="3" customFormat="1" ht="15.5" x14ac:dyDescent="0.35">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2:27" s="3" customFormat="1" ht="15.5" x14ac:dyDescent="0.35">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2:27" s="3" customFormat="1" ht="15.5" x14ac:dyDescent="0.35">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2:27" s="3" customFormat="1" ht="15.5" x14ac:dyDescent="0.35">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2:27" s="3" customFormat="1" ht="15.5" x14ac:dyDescent="0.35">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2:27" s="3" customFormat="1" ht="15.5" x14ac:dyDescent="0.35">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2:27" s="3" customFormat="1" ht="15.5" x14ac:dyDescent="0.35">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2:27" s="3" customFormat="1" ht="15.5" x14ac:dyDescent="0.35">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2:27" s="3" customFormat="1" ht="15.5" x14ac:dyDescent="0.35">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2:27" s="3" customFormat="1" ht="15.5" x14ac:dyDescent="0.35">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2:27" s="3" customFormat="1" ht="15.5" x14ac:dyDescent="0.35">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2:27" s="3" customFormat="1" ht="15.5" x14ac:dyDescent="0.35">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2:27" s="3" customFormat="1" ht="15.5" x14ac:dyDescent="0.35">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2:27" s="3" customFormat="1" ht="15.5" x14ac:dyDescent="0.35">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2:27" s="3" customFormat="1" ht="15.5" x14ac:dyDescent="0.35">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2:27" s="3" customFormat="1" ht="15.5" x14ac:dyDescent="0.35">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2:27" s="3" customFormat="1" ht="15.5" x14ac:dyDescent="0.35">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2:27" s="3" customFormat="1" ht="15.5" x14ac:dyDescent="0.35">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2:27" s="3" customFormat="1" ht="15.5" x14ac:dyDescent="0.35">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2:27" s="3" customFormat="1" ht="15.5" x14ac:dyDescent="0.35">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2:27" s="3" customFormat="1" ht="15.5" x14ac:dyDescent="0.35">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2:27" s="3" customFormat="1" ht="15.5" x14ac:dyDescent="0.35">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2:27" s="3" customFormat="1" ht="15.5" x14ac:dyDescent="0.35">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2:27" s="3" customFormat="1" ht="15.5" x14ac:dyDescent="0.35">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2:27" s="3" customFormat="1" ht="15.5" x14ac:dyDescent="0.35">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2:27" s="3" customFormat="1" ht="15.5" x14ac:dyDescent="0.35">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2:27" s="3" customFormat="1" ht="15.5" x14ac:dyDescent="0.35">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2:27" s="3" customFormat="1" ht="15.5" x14ac:dyDescent="0.35">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2:27" s="3" customFormat="1" ht="15.5" x14ac:dyDescent="0.35">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2:27" s="3" customFormat="1" ht="15.5" x14ac:dyDescent="0.35">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2:27" s="3" customFormat="1" ht="15.5" x14ac:dyDescent="0.35">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2:27" s="3" customFormat="1" ht="15.5" x14ac:dyDescent="0.35">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2:27" s="3" customFormat="1" ht="15.5" x14ac:dyDescent="0.35">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2:27" s="3" customFormat="1" ht="15.5" x14ac:dyDescent="0.35">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2:27" s="3" customFormat="1" ht="15.5" x14ac:dyDescent="0.35">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2:27" s="3" customFormat="1" ht="15.5" x14ac:dyDescent="0.35">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2:27" s="3" customFormat="1" ht="15.5" x14ac:dyDescent="0.35">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2:27" s="3" customFormat="1" ht="15.5" x14ac:dyDescent="0.35">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2:27" s="3" customFormat="1" ht="15.5" x14ac:dyDescent="0.35">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2:27" s="3" customFormat="1" ht="15.5" x14ac:dyDescent="0.35">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2:27" s="3" customFormat="1" ht="15.5" x14ac:dyDescent="0.35">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2:27" s="3" customFormat="1" ht="15.5" x14ac:dyDescent="0.35">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2:27" s="3" customFormat="1" ht="15.5" x14ac:dyDescent="0.35">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2:27" s="3" customFormat="1" ht="15.5" x14ac:dyDescent="0.35">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2:27" s="3" customFormat="1" ht="15.5" x14ac:dyDescent="0.35">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2:27" s="3" customFormat="1" ht="15.5" x14ac:dyDescent="0.35">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2:27" s="3" customFormat="1" ht="15.5" x14ac:dyDescent="0.35">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2:27" s="3" customFormat="1" ht="15.5" x14ac:dyDescent="0.35">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2:27" s="3" customFormat="1" ht="15.5" x14ac:dyDescent="0.35">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2:27" s="3" customFormat="1" ht="15.5" x14ac:dyDescent="0.35">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2:27" s="3" customFormat="1" ht="15.5" x14ac:dyDescent="0.35">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2:27" s="3" customFormat="1" ht="15.5" x14ac:dyDescent="0.35">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2:27" s="3" customFormat="1" ht="15.5" x14ac:dyDescent="0.35">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2:27" s="3" customFormat="1" ht="15.5" x14ac:dyDescent="0.35">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2:27" s="3" customFormat="1" ht="15.5" x14ac:dyDescent="0.35">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2:27" s="3" customFormat="1" ht="15.5" x14ac:dyDescent="0.35">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2:27" s="3" customFormat="1" ht="15.5" x14ac:dyDescent="0.35">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2:27" s="3" customFormat="1" ht="15.5" x14ac:dyDescent="0.35">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2:27" s="3" customFormat="1" ht="15.5" x14ac:dyDescent="0.35">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2:27" s="3" customFormat="1" ht="15.5" x14ac:dyDescent="0.35">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2:27" s="3" customFormat="1" ht="15.5" x14ac:dyDescent="0.35">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2:27" s="3" customFormat="1" ht="15.5" x14ac:dyDescent="0.35">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2:27" s="3" customFormat="1" ht="15.5" x14ac:dyDescent="0.35">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2:27" s="3" customFormat="1" ht="15.5" x14ac:dyDescent="0.35">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2:27" s="3" customFormat="1" ht="15.5" x14ac:dyDescent="0.35">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2:27" s="3" customFormat="1" ht="15.5" x14ac:dyDescent="0.35">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2:27" s="3" customFormat="1" ht="15.5" x14ac:dyDescent="0.35">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2:27" s="3" customFormat="1" ht="15.5" x14ac:dyDescent="0.35">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2:27" s="3" customFormat="1" ht="15.5" x14ac:dyDescent="0.35">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2:27" s="3" customFormat="1" ht="15.5" x14ac:dyDescent="0.35">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2:27" s="3" customFormat="1" ht="15.5" x14ac:dyDescent="0.35">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2:27" s="3" customFormat="1" ht="15.5" x14ac:dyDescent="0.35">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2:27" s="3" customFormat="1" ht="15.5" x14ac:dyDescent="0.35">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2:27" s="3" customFormat="1" ht="15.5" x14ac:dyDescent="0.35">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2:27" s="3" customFormat="1" ht="15.5" x14ac:dyDescent="0.35">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2:27" s="3" customFormat="1" ht="15.5" x14ac:dyDescent="0.35">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2:27" s="3" customFormat="1" ht="15.5" x14ac:dyDescent="0.35">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2:27" s="3" customFormat="1" ht="15.5" x14ac:dyDescent="0.35">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2:27" s="3" customFormat="1" ht="15.5" x14ac:dyDescent="0.35">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2:27" s="3" customFormat="1" ht="15.5" x14ac:dyDescent="0.35">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2:27" s="3" customFormat="1" ht="15.5" x14ac:dyDescent="0.35">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2:27" s="3" customFormat="1" ht="15.5" x14ac:dyDescent="0.35">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2:27" s="3" customFormat="1" ht="15.5" x14ac:dyDescent="0.35">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2:27" s="3" customFormat="1" ht="15.5" x14ac:dyDescent="0.35">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2:27" s="3" customFormat="1" ht="15.5" x14ac:dyDescent="0.35">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2:27" s="3" customFormat="1" ht="15.5" x14ac:dyDescent="0.35">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2:27" s="3" customFormat="1" ht="15.5" x14ac:dyDescent="0.35">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2:27" s="3" customFormat="1" ht="15.5" x14ac:dyDescent="0.35">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2:27" s="3" customFormat="1" ht="15.5" x14ac:dyDescent="0.35">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2:27" s="3" customFormat="1" ht="15.5" x14ac:dyDescent="0.35">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2:27" s="3" customFormat="1" ht="15.5" x14ac:dyDescent="0.35">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2:27" s="3" customFormat="1" ht="15.5" x14ac:dyDescent="0.35">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2:27" s="3" customFormat="1" ht="15.5" x14ac:dyDescent="0.35">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2:27" s="3" customFormat="1" ht="15.5" x14ac:dyDescent="0.35">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2:27" s="3" customFormat="1" ht="15.5" x14ac:dyDescent="0.35">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2:27" s="3" customFormat="1" ht="15.5" x14ac:dyDescent="0.35">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2:27" s="3" customFormat="1" ht="15.5" x14ac:dyDescent="0.35">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2:27" s="3" customFormat="1" ht="15.5" x14ac:dyDescent="0.35">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2:27" s="3" customFormat="1" ht="15.5" x14ac:dyDescent="0.35">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2:27" s="3" customFormat="1" ht="15.5" x14ac:dyDescent="0.35">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2:27" s="3" customFormat="1" ht="15.5" x14ac:dyDescent="0.35">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2:27" s="3" customFormat="1" ht="15.5" x14ac:dyDescent="0.35">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2:27" s="3" customFormat="1" ht="15.5" x14ac:dyDescent="0.35">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2:27" s="3" customFormat="1" ht="15.5" x14ac:dyDescent="0.35">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2:27" s="3" customFormat="1" ht="15.5" x14ac:dyDescent="0.35">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2:27" s="3" customFormat="1" ht="15.5" x14ac:dyDescent="0.35">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2:27" s="3" customFormat="1" ht="15.5" x14ac:dyDescent="0.35">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2:27" s="3" customFormat="1" ht="15.5" x14ac:dyDescent="0.35">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2:27" s="3" customFormat="1" ht="15.5" x14ac:dyDescent="0.35">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2:27" s="3" customFormat="1" ht="15.5" x14ac:dyDescent="0.35">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2:27" s="3" customFormat="1" ht="15.5" x14ac:dyDescent="0.35">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2:27" s="3" customFormat="1" ht="15.5" x14ac:dyDescent="0.35">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2:27" s="3" customFormat="1" ht="15.5" x14ac:dyDescent="0.35">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2:27" s="3" customFormat="1" ht="15.5" x14ac:dyDescent="0.35">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2:27" s="3" customFormat="1" ht="15.5" x14ac:dyDescent="0.35">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2:27" s="3" customFormat="1" ht="15.5" x14ac:dyDescent="0.35">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2:27" s="3" customFormat="1" ht="15.5" x14ac:dyDescent="0.35">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2:27" s="3" customFormat="1" ht="15.5" x14ac:dyDescent="0.35">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2:27" s="3" customFormat="1" ht="15.5" x14ac:dyDescent="0.35">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2:27" s="3" customFormat="1" ht="15.5" x14ac:dyDescent="0.35">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2:27" s="3" customFormat="1" ht="15.5" x14ac:dyDescent="0.35">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2:27" s="3" customFormat="1" ht="15.5" x14ac:dyDescent="0.35">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2:27" s="3" customFormat="1" ht="15.5" x14ac:dyDescent="0.35">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2:27" s="3" customFormat="1" ht="15.5" x14ac:dyDescent="0.35">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2:27" s="3" customFormat="1" ht="15.5" x14ac:dyDescent="0.35">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2:27" s="3" customFormat="1" ht="15.5" x14ac:dyDescent="0.35">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2:27" s="3" customFormat="1" ht="15.5" x14ac:dyDescent="0.35">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2:27" s="3" customFormat="1" ht="15.5" x14ac:dyDescent="0.35">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2:27" s="3" customFormat="1" ht="15.5" x14ac:dyDescent="0.35">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2:27" s="3" customFormat="1" ht="15.5" x14ac:dyDescent="0.35">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2:27" s="3" customFormat="1" ht="15.5" x14ac:dyDescent="0.35">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2:27" s="3" customFormat="1" ht="15.5" x14ac:dyDescent="0.35">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2:27" s="3" customFormat="1" ht="15.5" x14ac:dyDescent="0.35">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2:27" s="3" customFormat="1" ht="15.5" x14ac:dyDescent="0.35">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2:27" s="3" customFormat="1" ht="15.5" x14ac:dyDescent="0.35">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2:27" s="3" customFormat="1" ht="15.5" x14ac:dyDescent="0.35">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2:27" s="3" customFormat="1" ht="15.5" x14ac:dyDescent="0.35">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2:27" s="3" customFormat="1" ht="15.5" x14ac:dyDescent="0.35">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2:27" s="3" customFormat="1" ht="15.5" x14ac:dyDescent="0.35">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2:27" s="3" customFormat="1" ht="15.5" x14ac:dyDescent="0.35">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2:27" s="3" customFormat="1" ht="15.5" x14ac:dyDescent="0.35">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2:27" s="3" customFormat="1" ht="15.5" x14ac:dyDescent="0.35">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2:27" s="3" customFormat="1" ht="15.5" x14ac:dyDescent="0.35">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2:27" s="3" customFormat="1" ht="15.5" x14ac:dyDescent="0.35">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2:27" s="3" customFormat="1" ht="15.5" x14ac:dyDescent="0.35">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2:27" s="3" customFormat="1" ht="15.5" x14ac:dyDescent="0.35">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2:27" s="3" customFormat="1" ht="15.5" x14ac:dyDescent="0.35">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2:27" s="3" customFormat="1" ht="15.5" x14ac:dyDescent="0.35">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2:27" s="3" customFormat="1" ht="15.5" x14ac:dyDescent="0.35">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2:27" s="3" customFormat="1" ht="15.5" x14ac:dyDescent="0.35">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2:27" s="3" customFormat="1" ht="15.5" x14ac:dyDescent="0.35">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2:27" s="3" customFormat="1" ht="15.5" x14ac:dyDescent="0.35">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2:27" s="3" customFormat="1" ht="15.5" x14ac:dyDescent="0.35">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2:27" s="3" customFormat="1" ht="15.5" x14ac:dyDescent="0.35">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2:27" s="3" customFormat="1" ht="15.5" x14ac:dyDescent="0.35">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2:27" s="3" customFormat="1" ht="15.5" x14ac:dyDescent="0.35">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2:27" s="3" customFormat="1" ht="15.5" x14ac:dyDescent="0.35">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2:27" s="3" customFormat="1" ht="15.5" x14ac:dyDescent="0.35">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2:27" s="3" customFormat="1" ht="15.5" x14ac:dyDescent="0.35">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2:27" s="3" customFormat="1" ht="15.5" x14ac:dyDescent="0.35">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2:27" s="3" customFormat="1" ht="15.5" x14ac:dyDescent="0.35">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2:27" s="3" customFormat="1" ht="15.5" x14ac:dyDescent="0.35">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2:27" s="3" customFormat="1" ht="15.5" x14ac:dyDescent="0.35">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2:27" s="3" customFormat="1" ht="15.5" x14ac:dyDescent="0.35">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2:27" s="3" customFormat="1" ht="15.5" x14ac:dyDescent="0.35">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2:27" s="3" customFormat="1" ht="15.5" x14ac:dyDescent="0.35">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2:27" s="3" customFormat="1" ht="15.5" x14ac:dyDescent="0.35">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2:27" s="3" customFormat="1" ht="15.5" x14ac:dyDescent="0.35">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2:27" s="3" customFormat="1" ht="15.5" x14ac:dyDescent="0.35">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2:27" s="3" customFormat="1" ht="15.5" x14ac:dyDescent="0.35">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2:27" s="3" customFormat="1" ht="15.5" x14ac:dyDescent="0.35">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2:27" s="3" customFormat="1" ht="15.5" x14ac:dyDescent="0.35">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2:27" s="3" customFormat="1" ht="15.5" x14ac:dyDescent="0.35">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2:27" s="3" customFormat="1" ht="15.5" x14ac:dyDescent="0.35">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2:27" s="3" customFormat="1" ht="15.5" x14ac:dyDescent="0.35">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2:27" s="3" customFormat="1" ht="15.5" x14ac:dyDescent="0.35">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2:27" s="3" customFormat="1" ht="15.5" x14ac:dyDescent="0.35">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2:27" s="3" customFormat="1" ht="15.5" x14ac:dyDescent="0.35">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2:27" s="3" customFormat="1" ht="15.5" x14ac:dyDescent="0.35">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2:27" s="3" customFormat="1" ht="15.5" x14ac:dyDescent="0.35">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2:27" s="3" customFormat="1" ht="15.5" x14ac:dyDescent="0.35">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2:27" s="3" customFormat="1" ht="15.5" x14ac:dyDescent="0.35">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2:27" s="3" customFormat="1" ht="15.5" x14ac:dyDescent="0.35">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2:27" s="3" customFormat="1" ht="15.5" x14ac:dyDescent="0.35">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2:27" s="3" customFormat="1" ht="15.5" x14ac:dyDescent="0.35">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2:27" s="3" customFormat="1" ht="15.5" x14ac:dyDescent="0.35">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2:27" s="3" customFormat="1" ht="15.5" x14ac:dyDescent="0.35">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2:27" s="3" customFormat="1" ht="15.5" x14ac:dyDescent="0.35">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2:27" s="3" customFormat="1" ht="15.5" x14ac:dyDescent="0.35">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2:27" s="3" customFormat="1" ht="15.5" x14ac:dyDescent="0.35">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2:27" s="3" customFormat="1" ht="15.5" x14ac:dyDescent="0.35">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2:27" s="3" customFormat="1" ht="15.5" x14ac:dyDescent="0.35">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2:27" s="3" customFormat="1" ht="15.5" x14ac:dyDescent="0.35">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2:27" s="3" customFormat="1" ht="15.5" x14ac:dyDescent="0.35">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2:27" s="3" customFormat="1" ht="15.5" x14ac:dyDescent="0.35">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2:27" s="3" customFormat="1" ht="15.5" x14ac:dyDescent="0.35">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2:27" s="3" customFormat="1" ht="15.5" x14ac:dyDescent="0.35">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2:27" s="3" customFormat="1" ht="15.5" x14ac:dyDescent="0.35">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2:27" s="3" customFormat="1" ht="15.5" x14ac:dyDescent="0.35">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2:27" s="3" customFormat="1" ht="15.5" x14ac:dyDescent="0.35">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2:27" s="3" customFormat="1" ht="15.5" x14ac:dyDescent="0.35">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2:27" s="3" customFormat="1" ht="15.5" x14ac:dyDescent="0.35">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2:27" s="3" customFormat="1" ht="15.5" x14ac:dyDescent="0.35">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2:27" s="3" customFormat="1" ht="15.5" x14ac:dyDescent="0.35">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2:27" s="3" customFormat="1" ht="15.5" x14ac:dyDescent="0.35">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2:27" s="3" customFormat="1" ht="15.5" x14ac:dyDescent="0.35">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2:27" s="3" customFormat="1" ht="15.5" x14ac:dyDescent="0.35">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2:27" s="3" customFormat="1" ht="15.5" x14ac:dyDescent="0.35">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2:27" s="3" customFormat="1" ht="15.5" x14ac:dyDescent="0.35">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2:27" s="3" customFormat="1" ht="15.5" x14ac:dyDescent="0.35">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2:27" s="3" customFormat="1" ht="15.5" x14ac:dyDescent="0.35">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2:27" s="3" customFormat="1" ht="15.5" x14ac:dyDescent="0.35">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2:27" s="3" customFormat="1" ht="15.5" x14ac:dyDescent="0.35">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2:27" s="3" customFormat="1" ht="15.5" x14ac:dyDescent="0.35">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2:27" s="3" customFormat="1" ht="15.5" x14ac:dyDescent="0.35">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2:27" s="3" customFormat="1" ht="15.5" x14ac:dyDescent="0.35">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2:27" s="3" customFormat="1" ht="15.5" x14ac:dyDescent="0.35">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2:27" s="3" customFormat="1" ht="15.5" x14ac:dyDescent="0.35">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2:27" s="3" customFormat="1" ht="15.5" x14ac:dyDescent="0.35">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2:27" s="3" customFormat="1" ht="15.5" x14ac:dyDescent="0.35">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2:27" s="3" customFormat="1" ht="15.5" x14ac:dyDescent="0.35">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2:27" s="3" customFormat="1" ht="15.5" x14ac:dyDescent="0.35">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2:27" s="3" customFormat="1" ht="15.5" x14ac:dyDescent="0.35">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2:27" s="3" customFormat="1" ht="15.5" x14ac:dyDescent="0.35">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2:27" s="3" customFormat="1" ht="15.5" x14ac:dyDescent="0.35">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2:27" s="3" customFormat="1" ht="15.5" x14ac:dyDescent="0.35">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2:27" s="3" customFormat="1" ht="15.5" x14ac:dyDescent="0.35">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2:27" s="3" customFormat="1" ht="15.5" x14ac:dyDescent="0.35">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2:27" s="3" customFormat="1" ht="15.5" x14ac:dyDescent="0.35">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2:27" s="3" customFormat="1" ht="15.5" x14ac:dyDescent="0.35">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2:27" s="3" customFormat="1" ht="15.5" x14ac:dyDescent="0.35">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2:27" s="3" customFormat="1" ht="15.5" x14ac:dyDescent="0.35">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2:27" s="3" customFormat="1" ht="15.5" x14ac:dyDescent="0.35">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2:27" s="3" customFormat="1" ht="15.5" x14ac:dyDescent="0.35">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2:27" s="3" customFormat="1" ht="15.5" x14ac:dyDescent="0.35">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2:27" s="3" customFormat="1" ht="15.5" x14ac:dyDescent="0.35">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2:27" s="3" customFormat="1" ht="15.5" x14ac:dyDescent="0.35">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2:27" s="3" customFormat="1" ht="15.5" x14ac:dyDescent="0.35">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2:27" s="3" customFormat="1" ht="15.5" x14ac:dyDescent="0.35">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2:27" s="3" customFormat="1" ht="15.5" x14ac:dyDescent="0.35">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2:27" s="3" customFormat="1" ht="15.5" x14ac:dyDescent="0.35">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2:27" s="3" customFormat="1" ht="15.5" x14ac:dyDescent="0.35">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2:27" s="3" customFormat="1" ht="15.5" x14ac:dyDescent="0.35">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2:27" s="3" customFormat="1" ht="15.5" x14ac:dyDescent="0.35">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2:27" s="3" customFormat="1" ht="15.5" x14ac:dyDescent="0.35">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2:27" s="3" customFormat="1" ht="15.5" x14ac:dyDescent="0.35">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2:27" s="3" customFormat="1" ht="15.5" x14ac:dyDescent="0.35">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2:27" s="3" customFormat="1" ht="15.5" x14ac:dyDescent="0.35">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2:27" s="3" customFormat="1" ht="15.5" x14ac:dyDescent="0.35">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2:27" s="3" customFormat="1" ht="15.5" x14ac:dyDescent="0.35">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2:27" s="3" customFormat="1" ht="15.5" x14ac:dyDescent="0.35">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2:27" s="3" customFormat="1" ht="15.5" x14ac:dyDescent="0.35">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2:27" s="3" customFormat="1" ht="15.5" x14ac:dyDescent="0.35">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2:27" s="3" customFormat="1" ht="15.5" x14ac:dyDescent="0.35">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2:27" s="3" customFormat="1" ht="15.5" x14ac:dyDescent="0.35">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2:27" s="3" customFormat="1" ht="15.5" x14ac:dyDescent="0.35">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2:27" s="3" customFormat="1" ht="15.5" x14ac:dyDescent="0.35">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2:27" s="3" customFormat="1" ht="15.5" x14ac:dyDescent="0.35">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2:27" s="3" customFormat="1" ht="15.5" x14ac:dyDescent="0.35">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2:27" s="3" customFormat="1" ht="15.5" x14ac:dyDescent="0.35">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2:27" s="3" customFormat="1" ht="15.5" x14ac:dyDescent="0.35">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2:27" s="3" customFormat="1" ht="15.5" x14ac:dyDescent="0.35">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2:27" s="3" customFormat="1" ht="15.5" x14ac:dyDescent="0.35">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2:27" s="3" customFormat="1" ht="15.5" x14ac:dyDescent="0.35">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2:27" s="3" customFormat="1" ht="15.5" x14ac:dyDescent="0.35">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2:27" s="3" customFormat="1" ht="15.5" x14ac:dyDescent="0.35">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2:27" s="3" customFormat="1" ht="15.5" x14ac:dyDescent="0.35">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2:27" s="3" customFormat="1" ht="15.5" x14ac:dyDescent="0.35">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2:27" s="3" customFormat="1" ht="15.5" x14ac:dyDescent="0.35">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2:27" s="3" customFormat="1" ht="15.5" x14ac:dyDescent="0.35">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2:27" s="3" customFormat="1" ht="15.5" x14ac:dyDescent="0.35">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2:27" s="3" customFormat="1" ht="15.5" x14ac:dyDescent="0.35">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2:27" s="3" customFormat="1" ht="15.5" x14ac:dyDescent="0.35">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2:27" s="3" customFormat="1" ht="15.5" x14ac:dyDescent="0.35">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2:27" s="3" customFormat="1" ht="15.5" x14ac:dyDescent="0.35">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2:27" s="3" customFormat="1" ht="15.5" x14ac:dyDescent="0.35">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2:27" s="3" customFormat="1" ht="15.5" x14ac:dyDescent="0.35">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2:27" s="3" customFormat="1" ht="15.5" x14ac:dyDescent="0.35">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2:27" s="3" customFormat="1" ht="15.5" x14ac:dyDescent="0.35">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2:27" s="3" customFormat="1" ht="15.5" x14ac:dyDescent="0.35">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2:27" s="3" customFormat="1" ht="15.5" x14ac:dyDescent="0.35">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2:27" s="3" customFormat="1" ht="15.5" x14ac:dyDescent="0.35">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2:27" s="3" customFormat="1" ht="15.5" x14ac:dyDescent="0.35">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2:27" s="3" customFormat="1" ht="15.5" x14ac:dyDescent="0.35">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2:27" s="3" customFormat="1" ht="15.5" x14ac:dyDescent="0.35">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2:27" s="3" customFormat="1" ht="15.5" x14ac:dyDescent="0.35">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2:27" s="3" customFormat="1" ht="15.5" x14ac:dyDescent="0.35">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2:27" s="3" customFormat="1" ht="15.5" x14ac:dyDescent="0.35">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2:27" s="3" customFormat="1" ht="15.5" x14ac:dyDescent="0.35">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2:27" s="3" customFormat="1" ht="15.5" x14ac:dyDescent="0.35">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2:27" s="3" customFormat="1" ht="15.5" x14ac:dyDescent="0.35">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2:27" s="3" customFormat="1" ht="15.5" x14ac:dyDescent="0.35">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2:27" s="3" customFormat="1" ht="15.5" x14ac:dyDescent="0.35">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2:27" s="3" customFormat="1" ht="15.5" x14ac:dyDescent="0.35">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2:27" s="3" customFormat="1" ht="15.5" x14ac:dyDescent="0.35">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2:27" s="3" customFormat="1" ht="15.5" x14ac:dyDescent="0.35">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2:27" s="3" customFormat="1" ht="15.5" x14ac:dyDescent="0.35">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2:27" s="3" customFormat="1" ht="15.5" x14ac:dyDescent="0.35">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2:27" s="3" customFormat="1" ht="15.5" x14ac:dyDescent="0.35">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2:27" s="3" customFormat="1" ht="15.5" x14ac:dyDescent="0.35">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2:27" s="3" customFormat="1" ht="15.5" x14ac:dyDescent="0.35">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2:27" s="3" customFormat="1" ht="15.5" x14ac:dyDescent="0.35">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2:27" s="3" customFormat="1" ht="15.5" x14ac:dyDescent="0.35">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2:27" s="3" customFormat="1" ht="15.5" x14ac:dyDescent="0.35">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2:27" s="3" customFormat="1" ht="15.5" x14ac:dyDescent="0.35">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2:27" s="3" customFormat="1" ht="15.5" x14ac:dyDescent="0.35">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2:27" s="3" customFormat="1" ht="15.5" x14ac:dyDescent="0.35">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2:27" s="3" customFormat="1" ht="15.5" x14ac:dyDescent="0.35">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2:27" s="3" customFormat="1" ht="15.5" x14ac:dyDescent="0.35">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2:27" s="3" customFormat="1" ht="15.5" x14ac:dyDescent="0.35">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2:27" s="3" customFormat="1" ht="15.5" x14ac:dyDescent="0.35">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2:27" s="3" customFormat="1" ht="15.5" x14ac:dyDescent="0.35">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2:27" s="3" customFormat="1" ht="15.5" x14ac:dyDescent="0.35">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2:27" s="3" customFormat="1" ht="15.5" x14ac:dyDescent="0.35">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2:27" s="3" customFormat="1" ht="15.5" x14ac:dyDescent="0.35">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2:27" s="3" customFormat="1" ht="15.5" x14ac:dyDescent="0.35">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2:27" s="3" customFormat="1" ht="15.5" x14ac:dyDescent="0.35">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2:27" s="3" customFormat="1" ht="15.5" x14ac:dyDescent="0.35">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2:27" s="3" customFormat="1" ht="15.5" x14ac:dyDescent="0.35">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2:27" s="3" customFormat="1" ht="15.5" x14ac:dyDescent="0.35">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2:27" s="3" customFormat="1" ht="15.5" x14ac:dyDescent="0.35">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2:27" s="3" customFormat="1" ht="15.5" x14ac:dyDescent="0.35">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2:27" s="3" customFormat="1" ht="15.5" x14ac:dyDescent="0.35">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2:27" s="3" customFormat="1" ht="15.5" x14ac:dyDescent="0.35">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2:27" s="3" customFormat="1" ht="15.5" x14ac:dyDescent="0.35">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2:27" s="3" customFormat="1" ht="15.5" x14ac:dyDescent="0.35">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2:27" s="3" customFormat="1" ht="15.5" x14ac:dyDescent="0.35">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2:27" s="3" customFormat="1" ht="15.5" x14ac:dyDescent="0.35">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2:27" s="3" customFormat="1" ht="15.5" x14ac:dyDescent="0.35">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2:27" s="3" customFormat="1" ht="15.5" x14ac:dyDescent="0.35">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2:27" s="3" customFormat="1" ht="15.5" x14ac:dyDescent="0.35">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2:27" s="3" customFormat="1" ht="15.5" x14ac:dyDescent="0.35">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2:27" s="3" customFormat="1" ht="15.5" x14ac:dyDescent="0.35">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2:27" s="3" customFormat="1" ht="15.5" x14ac:dyDescent="0.35">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2:27" s="3" customFormat="1" ht="15.5" x14ac:dyDescent="0.35">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2:27" s="3" customFormat="1" ht="15.5" x14ac:dyDescent="0.35">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2:27" s="3" customFormat="1" ht="15.5" x14ac:dyDescent="0.35">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2:27" s="3" customFormat="1" ht="15.5" x14ac:dyDescent="0.35">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2:27" s="3" customFormat="1" ht="15.5" x14ac:dyDescent="0.35">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2:27" s="3" customFormat="1" ht="15.5" x14ac:dyDescent="0.35">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2:27" s="3" customFormat="1" ht="15.5" x14ac:dyDescent="0.35">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2:27" s="3" customFormat="1" ht="15.5" x14ac:dyDescent="0.35">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2:27" s="3" customFormat="1" ht="15.5" x14ac:dyDescent="0.35">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2:27" s="3" customFormat="1" ht="15.5" x14ac:dyDescent="0.35">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2:27" s="3" customFormat="1" ht="15.5" x14ac:dyDescent="0.35">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2:27" s="3" customFormat="1" ht="15.5" x14ac:dyDescent="0.35">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2:27" s="3" customFormat="1" ht="15.5" x14ac:dyDescent="0.35">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2:27" s="3" customFormat="1" ht="15.5" x14ac:dyDescent="0.35">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2:27" s="3" customFormat="1" ht="15.5" x14ac:dyDescent="0.35">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2:27" s="3" customFormat="1" ht="15.5" x14ac:dyDescent="0.35">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2:27" s="3" customFormat="1" ht="15.5" x14ac:dyDescent="0.35">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2:27" s="3" customFormat="1" ht="15.5" x14ac:dyDescent="0.35">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2:27" s="3" customFormat="1" ht="15.5" x14ac:dyDescent="0.35">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2:27" s="3" customFormat="1" ht="15.5" x14ac:dyDescent="0.35">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2:27" s="3" customFormat="1" ht="15.5" x14ac:dyDescent="0.35">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2:27" s="3" customFormat="1" ht="15.5" x14ac:dyDescent="0.35">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2:27" s="3" customFormat="1" ht="15.5" x14ac:dyDescent="0.35">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2:27" s="3" customFormat="1" ht="15.5" x14ac:dyDescent="0.35">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2:27" s="3" customFormat="1" ht="15.5" x14ac:dyDescent="0.35">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2:27" s="3" customFormat="1" ht="15.5" x14ac:dyDescent="0.35">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2:27" s="3" customFormat="1" ht="15.5" x14ac:dyDescent="0.35">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2:27" s="3" customFormat="1" ht="15.5" x14ac:dyDescent="0.35">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2:27" s="3" customFormat="1" ht="15.5" x14ac:dyDescent="0.35">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2:27" s="3" customFormat="1" ht="15.5" x14ac:dyDescent="0.35">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2:27" s="3" customFormat="1" ht="15.5" x14ac:dyDescent="0.35">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2:27" s="3" customFormat="1" ht="15.5" x14ac:dyDescent="0.35">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2:27" s="3" customFormat="1" ht="15.5" x14ac:dyDescent="0.35">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2:27" s="3" customFormat="1" ht="15.5" x14ac:dyDescent="0.35">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2:27" s="3" customFormat="1" ht="15.5" x14ac:dyDescent="0.35">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2:27" s="3" customFormat="1" ht="15.5" x14ac:dyDescent="0.35">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2:27" s="3" customFormat="1" ht="15.5" x14ac:dyDescent="0.35">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2:27" s="3" customFormat="1" ht="15.5" x14ac:dyDescent="0.35">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2:27" s="3" customFormat="1" ht="15.5" x14ac:dyDescent="0.35">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2:27" ht="15.5" x14ac:dyDescent="0.35">
      <c r="B992" s="1"/>
      <c r="C992" s="1"/>
      <c r="D992" s="1"/>
      <c r="E992" s="1"/>
      <c r="F992" s="1"/>
      <c r="G992" s="1"/>
      <c r="H992" s="1"/>
      <c r="I992" s="1"/>
      <c r="J992" s="1"/>
      <c r="K992" s="1"/>
      <c r="L992" s="2"/>
      <c r="M992" s="2"/>
      <c r="N992" s="2"/>
      <c r="O992" s="2"/>
      <c r="P992" s="2"/>
      <c r="Q992" s="2"/>
      <c r="R992" s="2"/>
      <c r="S992" s="2"/>
      <c r="T992" s="2"/>
      <c r="U992" s="2"/>
      <c r="V992" s="2"/>
      <c r="W992" s="2"/>
      <c r="X992" s="2"/>
      <c r="Y992" s="2"/>
      <c r="Z992" s="2"/>
      <c r="AA992" s="2"/>
    </row>
    <row r="993" spans="2:27" ht="15.5" x14ac:dyDescent="0.35">
      <c r="B993" s="1"/>
      <c r="C993" s="1"/>
      <c r="D993" s="1"/>
      <c r="E993" s="1"/>
      <c r="F993" s="1"/>
      <c r="G993" s="1"/>
      <c r="H993" s="1"/>
      <c r="I993" s="1"/>
      <c r="J993" s="1"/>
      <c r="K993" s="1"/>
      <c r="L993" s="2"/>
      <c r="M993" s="2"/>
      <c r="N993" s="2"/>
      <c r="O993" s="2"/>
      <c r="P993" s="2"/>
      <c r="Q993" s="2"/>
      <c r="R993" s="2"/>
      <c r="S993" s="2"/>
      <c r="T993" s="2"/>
      <c r="U993" s="2"/>
      <c r="V993" s="2"/>
      <c r="W993" s="2"/>
      <c r="X993" s="2"/>
      <c r="Y993" s="2"/>
      <c r="Z993" s="2"/>
      <c r="AA993" s="2"/>
    </row>
    <row r="994" spans="2:27" ht="15.5" x14ac:dyDescent="0.35">
      <c r="B994" s="1"/>
      <c r="C994" s="1"/>
      <c r="D994" s="1"/>
      <c r="E994" s="1"/>
      <c r="F994" s="1"/>
      <c r="G994" s="1"/>
      <c r="H994" s="1"/>
      <c r="I994" s="1"/>
      <c r="J994" s="1"/>
      <c r="K994" s="1"/>
      <c r="L994" s="2"/>
      <c r="M994" s="2"/>
      <c r="N994" s="2"/>
      <c r="O994" s="2"/>
      <c r="P994" s="2"/>
      <c r="Q994" s="2"/>
      <c r="R994" s="2"/>
      <c r="S994" s="2"/>
      <c r="T994" s="2"/>
      <c r="U994" s="2"/>
      <c r="V994" s="2"/>
      <c r="W994" s="2"/>
      <c r="X994" s="2"/>
      <c r="Y994" s="2"/>
      <c r="Z994" s="2"/>
      <c r="AA994" s="2"/>
    </row>
    <row r="995" spans="2:27" ht="15.5" x14ac:dyDescent="0.35">
      <c r="B995" s="1"/>
      <c r="C995" s="1"/>
      <c r="D995" s="1"/>
      <c r="E995" s="1"/>
      <c r="F995" s="1"/>
      <c r="G995" s="1"/>
      <c r="H995" s="1"/>
      <c r="I995" s="1"/>
      <c r="J995" s="1"/>
      <c r="K995" s="1"/>
      <c r="L995" s="2"/>
      <c r="M995" s="2"/>
      <c r="N995" s="2"/>
      <c r="O995" s="2"/>
      <c r="P995" s="2"/>
      <c r="Q995" s="2"/>
      <c r="R995" s="2"/>
      <c r="S995" s="2"/>
      <c r="T995" s="2"/>
      <c r="U995" s="2"/>
      <c r="V995" s="2"/>
      <c r="W995" s="2"/>
      <c r="X995" s="2"/>
      <c r="Y995" s="2"/>
      <c r="Z995" s="2"/>
      <c r="AA995" s="2"/>
    </row>
  </sheetData>
  <mergeCells count="77">
    <mergeCell ref="C15:E15"/>
    <mergeCell ref="G15:J15"/>
    <mergeCell ref="B1:J1"/>
    <mergeCell ref="B4:J4"/>
    <mergeCell ref="B6:J7"/>
    <mergeCell ref="B10:J10"/>
    <mergeCell ref="C12:E12"/>
    <mergeCell ref="G12:J12"/>
    <mergeCell ref="O12:P12"/>
    <mergeCell ref="C13:E13"/>
    <mergeCell ref="G13:J13"/>
    <mergeCell ref="C14:E14"/>
    <mergeCell ref="G14:J14"/>
    <mergeCell ref="C25:E25"/>
    <mergeCell ref="G25:J25"/>
    <mergeCell ref="C16:E16"/>
    <mergeCell ref="G16:J16"/>
    <mergeCell ref="C17:E17"/>
    <mergeCell ref="G17:J17"/>
    <mergeCell ref="C18:E18"/>
    <mergeCell ref="G18:J18"/>
    <mergeCell ref="B21:J21"/>
    <mergeCell ref="C23:E23"/>
    <mergeCell ref="G23:J23"/>
    <mergeCell ref="C24:E24"/>
    <mergeCell ref="G24:J24"/>
    <mergeCell ref="C35:D35"/>
    <mergeCell ref="H35:J35"/>
    <mergeCell ref="C26:E26"/>
    <mergeCell ref="G26:J26"/>
    <mergeCell ref="C27:E27"/>
    <mergeCell ref="G27:J27"/>
    <mergeCell ref="C28:E28"/>
    <mergeCell ref="G28:J28"/>
    <mergeCell ref="C29:E29"/>
    <mergeCell ref="G29:J29"/>
    <mergeCell ref="B32:J32"/>
    <mergeCell ref="C34:D34"/>
    <mergeCell ref="H34:J34"/>
    <mergeCell ref="C49:J49"/>
    <mergeCell ref="C36:D36"/>
    <mergeCell ref="H36:J36"/>
    <mergeCell ref="B39:J39"/>
    <mergeCell ref="C41:J41"/>
    <mergeCell ref="C43:J43"/>
    <mergeCell ref="C44:J44"/>
    <mergeCell ref="B45:B48"/>
    <mergeCell ref="C45:J45"/>
    <mergeCell ref="C46:J46"/>
    <mergeCell ref="C47:J47"/>
    <mergeCell ref="C48:J48"/>
    <mergeCell ref="G59:J59"/>
    <mergeCell ref="D60:E60"/>
    <mergeCell ref="G60:J60"/>
    <mergeCell ref="B50:B55"/>
    <mergeCell ref="C50:J50"/>
    <mergeCell ref="C51:J51"/>
    <mergeCell ref="C52:J52"/>
    <mergeCell ref="C55:J55"/>
    <mergeCell ref="C53:J53"/>
    <mergeCell ref="C54:J54"/>
    <mergeCell ref="B66:J66"/>
    <mergeCell ref="C68:J68"/>
    <mergeCell ref="D61:E61"/>
    <mergeCell ref="G61:J61"/>
    <mergeCell ref="D62:E62"/>
    <mergeCell ref="G62:J62"/>
    <mergeCell ref="D63:E63"/>
    <mergeCell ref="G63:J63"/>
    <mergeCell ref="B56:B63"/>
    <mergeCell ref="D56:E56"/>
    <mergeCell ref="G56:J56"/>
    <mergeCell ref="D57:E57"/>
    <mergeCell ref="G57:J57"/>
    <mergeCell ref="D58:E58"/>
    <mergeCell ref="G58:J58"/>
    <mergeCell ref="D59:E59"/>
  </mergeCells>
  <dataValidations count="3">
    <dataValidation type="list" allowBlank="1" showErrorMessage="1" sqref="P13:P14" xr:uid="{F2E11D9F-D279-457E-A243-6BA4058751EF}">
      <formula1>#REF!</formula1>
    </dataValidation>
    <dataValidation type="list" allowBlank="1" showInputMessage="1" showErrorMessage="1" prompt="ERROR EN DIGITACION - Este campo es unicamente unicamente_x000a_" sqref="O12" xr:uid="{C9A29C42-0256-46B0-9F11-1531FC1358BD}">
      <formula1>#REF!</formula1>
    </dataValidation>
    <dataValidation type="decimal" operator="greaterThan" allowBlank="1" showInputMessage="1" showErrorMessage="1" prompt="ERROR EN DIGITACION - Este campo es unicamente unicamente_x000a_" sqref="O15 G27" xr:uid="{887C11C4-AA9A-4925-BD2C-12898EE2BEA8}">
      <formula1>0</formula1>
    </dataValidation>
  </dataValidations>
  <hyperlinks>
    <hyperlink ref="C16" r:id="rId1" xr:uid="{36DA9D0D-4193-4406-9D8B-33C9AFD8B3CB}"/>
    <hyperlink ref="G16" r:id="rId2" xr:uid="{A13F8851-D025-4098-94EC-DB8DF12F6132}"/>
    <hyperlink ref="H34" r:id="rId3" xr:uid="{95A5639A-E3C7-48DE-877E-F8C9DBEFE791}"/>
    <hyperlink ref="H35" r:id="rId4" xr:uid="{9FBAA14D-76CE-4079-9485-527E38794B01}"/>
    <hyperlink ref="H36" r:id="rId5" xr:uid="{F53C8240-A402-47C8-8996-0FC94237F664}"/>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D6A09-A3B8-4E12-B506-552D17246036}">
  <sheetPr>
    <tabColor theme="7" tint="0.59999389629810485"/>
  </sheetPr>
  <dimension ref="A1:FU1071"/>
  <sheetViews>
    <sheetView showGridLines="0" topLeftCell="A256" zoomScale="80" zoomScaleNormal="80" workbookViewId="0">
      <selection activeCell="B254" sqref="B254"/>
    </sheetView>
  </sheetViews>
  <sheetFormatPr baseColWidth="10" defaultColWidth="14.453125" defaultRowHeight="15.5" x14ac:dyDescent="0.35"/>
  <cols>
    <col min="1" max="1" width="6.26953125" style="43" customWidth="1"/>
    <col min="2" max="2" width="23" style="43" customWidth="1"/>
    <col min="3" max="5" width="10.7265625" style="43" customWidth="1"/>
    <col min="6" max="7" width="11.453125" style="43" customWidth="1"/>
    <col min="8" max="8" width="31.26953125" style="43" customWidth="1"/>
    <col min="9" max="10" width="17.26953125" style="43" customWidth="1"/>
    <col min="11" max="11" width="17.81640625" style="43" customWidth="1"/>
    <col min="12" max="12" width="22.453125" style="43" customWidth="1"/>
    <col min="13" max="13" width="6.1796875" style="43" customWidth="1"/>
    <col min="14" max="15" width="10.7265625" style="44" customWidth="1"/>
    <col min="16" max="16" width="22.7265625" style="44" customWidth="1"/>
    <col min="17" max="17" width="18.1796875" style="44" customWidth="1"/>
    <col min="18" max="25" width="10.7265625" style="44" customWidth="1"/>
    <col min="26" max="177" width="14.453125" style="44"/>
    <col min="178" max="16384" width="14.453125" style="43"/>
  </cols>
  <sheetData>
    <row r="1" spans="1:31" ht="409.5" customHeight="1" x14ac:dyDescent="0.35">
      <c r="A1" s="42"/>
      <c r="B1" s="1028"/>
      <c r="C1" s="1028"/>
      <c r="D1" s="1028"/>
      <c r="E1" s="1028"/>
      <c r="F1" s="1028"/>
      <c r="G1" s="1028"/>
      <c r="H1" s="1028"/>
      <c r="I1" s="1028"/>
      <c r="J1" s="1028"/>
      <c r="K1" s="1028"/>
      <c r="L1" s="1028"/>
    </row>
    <row r="2" spans="1:31" s="46" customFormat="1" ht="14.25" customHeight="1" x14ac:dyDescent="0.35">
      <c r="A2" s="21"/>
      <c r="B2" s="45"/>
      <c r="C2" s="21"/>
      <c r="D2" s="21"/>
      <c r="E2" s="21"/>
      <c r="F2" s="21"/>
      <c r="G2" s="21"/>
      <c r="H2" s="21"/>
      <c r="I2" s="21"/>
      <c r="J2" s="21"/>
      <c r="K2" s="21"/>
      <c r="L2" s="21"/>
      <c r="M2" s="21"/>
      <c r="U2" s="44"/>
      <c r="V2" s="44"/>
      <c r="W2" s="44"/>
      <c r="X2" s="44"/>
      <c r="Y2" s="44"/>
      <c r="Z2" s="44"/>
      <c r="AA2" s="44"/>
      <c r="AB2" s="44"/>
      <c r="AC2" s="44"/>
      <c r="AD2" s="44"/>
      <c r="AE2" s="44"/>
    </row>
    <row r="3" spans="1:31" s="46" customFormat="1" ht="15" customHeight="1" x14ac:dyDescent="0.35">
      <c r="A3" s="21"/>
      <c r="B3" s="43"/>
      <c r="C3" s="43"/>
      <c r="D3" s="43"/>
      <c r="E3" s="43"/>
      <c r="F3" s="43"/>
      <c r="G3" s="43"/>
      <c r="H3" s="43"/>
      <c r="I3" s="43"/>
      <c r="J3" s="43"/>
      <c r="K3" s="43"/>
      <c r="L3" s="43"/>
      <c r="M3" s="43"/>
      <c r="N3" s="44"/>
      <c r="O3" s="44"/>
      <c r="P3" s="44"/>
      <c r="Q3" s="44"/>
      <c r="R3" s="44"/>
      <c r="S3" s="44"/>
      <c r="T3" s="44"/>
      <c r="U3" s="44"/>
      <c r="V3" s="44"/>
      <c r="W3" s="44"/>
      <c r="X3" s="44"/>
      <c r="Y3" s="44"/>
      <c r="Z3" s="44"/>
      <c r="AA3" s="44"/>
      <c r="AB3" s="44"/>
      <c r="AC3" s="44"/>
      <c r="AD3" s="44"/>
      <c r="AE3" s="44"/>
    </row>
    <row r="4" spans="1:31" ht="26" x14ac:dyDescent="0.35">
      <c r="A4" s="47"/>
      <c r="B4" s="1029" t="s">
        <v>48</v>
      </c>
      <c r="C4" s="1029"/>
      <c r="D4" s="1029"/>
      <c r="E4" s="1029"/>
      <c r="F4" s="1029"/>
      <c r="G4" s="1029"/>
      <c r="H4" s="1029"/>
      <c r="I4" s="1029"/>
      <c r="J4" s="1029"/>
      <c r="K4" s="1029"/>
      <c r="L4" s="1029"/>
    </row>
    <row r="5" spans="1:31" s="46" customFormat="1" ht="15" customHeight="1" x14ac:dyDescent="0.35">
      <c r="A5" s="21"/>
      <c r="B5" s="43"/>
      <c r="C5" s="43"/>
      <c r="D5" s="43"/>
      <c r="E5" s="43"/>
      <c r="F5" s="43"/>
      <c r="G5" s="43"/>
      <c r="H5" s="43"/>
      <c r="I5" s="43"/>
      <c r="J5" s="43"/>
      <c r="K5" s="43"/>
      <c r="L5" s="43"/>
      <c r="M5" s="43"/>
      <c r="N5" s="44"/>
      <c r="O5" s="44"/>
      <c r="P5" s="44"/>
      <c r="Q5" s="44"/>
      <c r="R5" s="44"/>
      <c r="S5" s="44"/>
      <c r="T5" s="44"/>
      <c r="U5" s="44"/>
      <c r="V5" s="44"/>
      <c r="W5" s="44"/>
      <c r="X5" s="44"/>
      <c r="Y5" s="44"/>
      <c r="Z5" s="44"/>
      <c r="AA5" s="44"/>
      <c r="AB5" s="44"/>
      <c r="AC5" s="44"/>
      <c r="AD5" s="44"/>
      <c r="AE5" s="44"/>
    </row>
    <row r="6" spans="1:31" ht="21" x14ac:dyDescent="0.35">
      <c r="A6" s="47"/>
      <c r="B6" s="826" t="s">
        <v>49</v>
      </c>
      <c r="C6" s="826"/>
      <c r="D6" s="826"/>
      <c r="E6" s="826"/>
      <c r="F6" s="826"/>
      <c r="G6" s="826"/>
      <c r="H6" s="826"/>
      <c r="I6" s="826"/>
      <c r="J6" s="826"/>
      <c r="K6" s="826"/>
      <c r="L6" s="826"/>
    </row>
    <row r="7" spans="1:31" s="46" customFormat="1" ht="15" customHeight="1" x14ac:dyDescent="0.35">
      <c r="A7" s="21"/>
      <c r="B7" s="43"/>
      <c r="C7" s="43"/>
      <c r="D7" s="43"/>
      <c r="E7" s="43"/>
      <c r="F7" s="43"/>
      <c r="G7" s="43"/>
      <c r="H7" s="43"/>
      <c r="I7" s="43"/>
      <c r="J7" s="43"/>
      <c r="K7" s="43"/>
      <c r="L7" s="43"/>
      <c r="M7" s="43"/>
      <c r="N7" s="44"/>
      <c r="O7" s="44"/>
      <c r="P7" s="44"/>
      <c r="Q7" s="44"/>
      <c r="R7" s="44"/>
      <c r="S7" s="44"/>
      <c r="T7" s="44"/>
      <c r="U7" s="44"/>
      <c r="V7" s="44"/>
      <c r="W7" s="44"/>
      <c r="X7" s="44"/>
      <c r="Y7" s="44"/>
      <c r="Z7" s="44"/>
      <c r="AA7" s="44"/>
      <c r="AB7" s="44"/>
      <c r="AC7" s="44"/>
      <c r="AD7" s="44"/>
      <c r="AE7" s="44"/>
    </row>
    <row r="8" spans="1:31" ht="18.5" x14ac:dyDescent="0.35">
      <c r="A8" s="47"/>
      <c r="B8" s="863" t="s">
        <v>50</v>
      </c>
      <c r="C8" s="863"/>
      <c r="D8" s="863"/>
      <c r="E8" s="863"/>
      <c r="F8" s="863"/>
      <c r="G8" s="863"/>
      <c r="H8" s="863"/>
      <c r="I8" s="863"/>
      <c r="J8" s="863"/>
      <c r="K8" s="863"/>
      <c r="L8" s="863"/>
    </row>
    <row r="9" spans="1:31" s="46" customFormat="1" ht="15" customHeight="1" thickBot="1" x14ac:dyDescent="0.4">
      <c r="A9" s="21"/>
      <c r="B9" s="43"/>
      <c r="C9" s="43"/>
      <c r="D9" s="43"/>
      <c r="E9" s="43"/>
      <c r="F9" s="43"/>
      <c r="G9" s="43"/>
      <c r="H9" s="43"/>
      <c r="I9" s="43"/>
      <c r="J9" s="43"/>
      <c r="K9" s="43"/>
      <c r="L9" s="43"/>
      <c r="M9" s="43"/>
      <c r="N9" s="44"/>
      <c r="O9" s="44"/>
      <c r="P9" s="44"/>
      <c r="Q9" s="44"/>
      <c r="R9" s="44"/>
      <c r="S9" s="44"/>
      <c r="T9" s="44"/>
      <c r="U9" s="44"/>
      <c r="V9" s="44"/>
      <c r="W9" s="44"/>
      <c r="X9" s="44"/>
      <c r="Y9" s="44"/>
      <c r="Z9" s="44"/>
      <c r="AA9" s="44"/>
      <c r="AB9" s="44"/>
      <c r="AC9" s="44"/>
      <c r="AD9" s="44"/>
      <c r="AE9" s="44"/>
    </row>
    <row r="10" spans="1:31" x14ac:dyDescent="0.35">
      <c r="A10" s="47"/>
      <c r="B10" s="854" t="s">
        <v>188</v>
      </c>
      <c r="C10" s="855"/>
      <c r="D10" s="855"/>
      <c r="E10" s="855"/>
      <c r="F10" s="855"/>
      <c r="G10" s="855"/>
      <c r="H10" s="855"/>
      <c r="I10" s="855"/>
      <c r="J10" s="855"/>
      <c r="K10" s="855"/>
      <c r="L10" s="856"/>
    </row>
    <row r="11" spans="1:31" x14ac:dyDescent="0.35">
      <c r="A11" s="47"/>
      <c r="B11" s="857"/>
      <c r="C11" s="858"/>
      <c r="D11" s="858"/>
      <c r="E11" s="858"/>
      <c r="F11" s="858"/>
      <c r="G11" s="858"/>
      <c r="H11" s="858"/>
      <c r="I11" s="858"/>
      <c r="J11" s="858"/>
      <c r="K11" s="858"/>
      <c r="L11" s="859"/>
    </row>
    <row r="12" spans="1:31" x14ac:dyDescent="0.35">
      <c r="A12" s="47"/>
      <c r="B12" s="857"/>
      <c r="C12" s="858"/>
      <c r="D12" s="858"/>
      <c r="E12" s="858"/>
      <c r="F12" s="858"/>
      <c r="G12" s="858"/>
      <c r="H12" s="858"/>
      <c r="I12" s="858"/>
      <c r="J12" s="858"/>
      <c r="K12" s="858"/>
      <c r="L12" s="859"/>
    </row>
    <row r="13" spans="1:31" ht="16" thickBot="1" x14ac:dyDescent="0.4">
      <c r="A13" s="47"/>
      <c r="B13" s="860"/>
      <c r="C13" s="861"/>
      <c r="D13" s="861"/>
      <c r="E13" s="861"/>
      <c r="F13" s="861"/>
      <c r="G13" s="861"/>
      <c r="H13" s="861"/>
      <c r="I13" s="861"/>
      <c r="J13" s="861"/>
      <c r="K13" s="861"/>
      <c r="L13" s="862"/>
    </row>
    <row r="14" spans="1:31" s="46" customFormat="1" ht="15" customHeight="1" x14ac:dyDescent="0.35">
      <c r="A14" s="21"/>
      <c r="B14" s="43"/>
      <c r="C14" s="43"/>
      <c r="D14" s="43"/>
      <c r="E14" s="43"/>
      <c r="F14" s="43"/>
      <c r="G14" s="43"/>
      <c r="H14" s="43"/>
      <c r="I14" s="43"/>
      <c r="J14" s="43"/>
      <c r="K14" s="43"/>
      <c r="L14" s="43"/>
      <c r="M14" s="43"/>
      <c r="N14" s="44"/>
      <c r="O14" s="44"/>
      <c r="P14" s="44"/>
      <c r="Q14" s="44"/>
      <c r="R14" s="44"/>
      <c r="S14" s="44"/>
      <c r="T14" s="44"/>
      <c r="U14" s="44"/>
      <c r="V14" s="44"/>
      <c r="W14" s="44"/>
      <c r="X14" s="44"/>
      <c r="Y14" s="44"/>
      <c r="Z14" s="44"/>
      <c r="AA14" s="44"/>
      <c r="AB14" s="44"/>
      <c r="AC14" s="44"/>
      <c r="AD14" s="44"/>
      <c r="AE14" s="44"/>
    </row>
    <row r="15" spans="1:31" ht="18.5" x14ac:dyDescent="0.35">
      <c r="A15" s="47"/>
      <c r="B15" s="863" t="s">
        <v>51</v>
      </c>
      <c r="C15" s="863"/>
      <c r="D15" s="863"/>
      <c r="E15" s="863"/>
      <c r="F15" s="863"/>
      <c r="G15" s="863"/>
      <c r="H15" s="863"/>
      <c r="I15" s="863"/>
      <c r="J15" s="863"/>
      <c r="K15" s="863"/>
      <c r="L15" s="863"/>
    </row>
    <row r="16" spans="1:31" s="46" customFormat="1" ht="15" customHeight="1" thickBot="1" x14ac:dyDescent="0.4">
      <c r="A16" s="21"/>
      <c r="B16" s="43"/>
      <c r="C16" s="43"/>
      <c r="D16" s="43"/>
      <c r="E16" s="43"/>
      <c r="F16" s="43"/>
      <c r="G16" s="43"/>
      <c r="H16" s="43"/>
      <c r="I16" s="43"/>
      <c r="J16" s="43"/>
      <c r="K16" s="43"/>
      <c r="L16" s="43"/>
      <c r="M16" s="43"/>
      <c r="N16" s="44"/>
      <c r="O16" s="44"/>
      <c r="P16" s="44"/>
      <c r="Q16" s="44"/>
      <c r="R16" s="44"/>
      <c r="S16" s="44"/>
      <c r="T16" s="44"/>
      <c r="U16" s="44"/>
      <c r="V16" s="44"/>
      <c r="W16" s="44"/>
      <c r="X16" s="44"/>
      <c r="Y16" s="44"/>
      <c r="Z16" s="44"/>
      <c r="AA16" s="44"/>
      <c r="AB16" s="44"/>
      <c r="AC16" s="44"/>
      <c r="AD16" s="44"/>
      <c r="AE16" s="44"/>
    </row>
    <row r="17" spans="1:177" x14ac:dyDescent="0.35">
      <c r="A17" s="47"/>
      <c r="B17" s="854" t="s">
        <v>189</v>
      </c>
      <c r="C17" s="855"/>
      <c r="D17" s="855"/>
      <c r="E17" s="855"/>
      <c r="F17" s="855"/>
      <c r="G17" s="855"/>
      <c r="H17" s="855"/>
      <c r="I17" s="855"/>
      <c r="J17" s="855"/>
      <c r="K17" s="855"/>
      <c r="L17" s="856"/>
    </row>
    <row r="18" spans="1:177" x14ac:dyDescent="0.35">
      <c r="A18" s="47"/>
      <c r="B18" s="857"/>
      <c r="C18" s="858"/>
      <c r="D18" s="858"/>
      <c r="E18" s="858"/>
      <c r="F18" s="858"/>
      <c r="G18" s="858"/>
      <c r="H18" s="858"/>
      <c r="I18" s="858"/>
      <c r="J18" s="858"/>
      <c r="K18" s="858"/>
      <c r="L18" s="859"/>
    </row>
    <row r="19" spans="1:177" x14ac:dyDescent="0.35">
      <c r="A19" s="47"/>
      <c r="B19" s="857"/>
      <c r="C19" s="858"/>
      <c r="D19" s="858"/>
      <c r="E19" s="858"/>
      <c r="F19" s="858"/>
      <c r="G19" s="858"/>
      <c r="H19" s="858"/>
      <c r="I19" s="858"/>
      <c r="J19" s="858"/>
      <c r="K19" s="858"/>
      <c r="L19" s="859"/>
      <c r="O19" s="716"/>
    </row>
    <row r="20" spans="1:177" ht="16" thickBot="1" x14ac:dyDescent="0.4">
      <c r="A20" s="47"/>
      <c r="B20" s="860"/>
      <c r="C20" s="861"/>
      <c r="D20" s="861"/>
      <c r="E20" s="861"/>
      <c r="F20" s="861"/>
      <c r="G20" s="861"/>
      <c r="H20" s="861"/>
      <c r="I20" s="861"/>
      <c r="J20" s="861"/>
      <c r="K20" s="861"/>
      <c r="L20" s="862"/>
    </row>
    <row r="21" spans="1:177" s="46" customFormat="1" ht="15" customHeight="1" x14ac:dyDescent="0.35">
      <c r="A21" s="21"/>
      <c r="B21" s="43"/>
      <c r="C21" s="43"/>
      <c r="D21" s="43"/>
      <c r="E21" s="43"/>
      <c r="F21" s="43"/>
      <c r="G21" s="43"/>
      <c r="H21" s="43"/>
      <c r="I21" s="43"/>
      <c r="J21" s="43"/>
      <c r="K21" s="43"/>
      <c r="L21" s="43"/>
      <c r="M21" s="43"/>
      <c r="N21" s="44"/>
      <c r="O21" s="44"/>
      <c r="P21" s="44"/>
      <c r="Q21" s="44"/>
      <c r="R21" s="44"/>
      <c r="S21" s="44"/>
      <c r="T21" s="44"/>
      <c r="U21" s="44"/>
      <c r="V21" s="44"/>
      <c r="W21" s="44"/>
      <c r="X21" s="44"/>
      <c r="Y21" s="44"/>
      <c r="Z21" s="44"/>
      <c r="AA21" s="44"/>
      <c r="AB21" s="44"/>
      <c r="AC21" s="44"/>
      <c r="AD21" s="44"/>
      <c r="AE21" s="44"/>
    </row>
    <row r="22" spans="1:177" ht="18.5" x14ac:dyDescent="0.35">
      <c r="A22" s="47"/>
      <c r="B22" s="863" t="s">
        <v>52</v>
      </c>
      <c r="C22" s="863"/>
      <c r="D22" s="863"/>
      <c r="E22" s="863"/>
      <c r="F22" s="863"/>
      <c r="G22" s="863"/>
      <c r="H22" s="863"/>
      <c r="I22" s="863"/>
      <c r="J22" s="863"/>
      <c r="K22" s="863"/>
      <c r="L22" s="863"/>
    </row>
    <row r="23" spans="1:177" s="46" customFormat="1" ht="15" customHeight="1" thickBot="1" x14ac:dyDescent="0.4">
      <c r="A23" s="21"/>
      <c r="B23" s="43"/>
      <c r="C23" s="43"/>
      <c r="D23" s="43"/>
      <c r="E23" s="43"/>
      <c r="F23" s="43"/>
      <c r="G23" s="43"/>
      <c r="H23" s="43"/>
      <c r="I23" s="43"/>
      <c r="J23" s="43"/>
      <c r="K23" s="43"/>
      <c r="L23" s="43"/>
      <c r="M23" s="43"/>
      <c r="N23" s="44"/>
      <c r="O23" s="44"/>
      <c r="P23" s="44"/>
      <c r="Q23" s="44"/>
      <c r="R23" s="44"/>
      <c r="S23" s="44"/>
      <c r="T23" s="44"/>
      <c r="U23" s="44"/>
      <c r="V23" s="44"/>
      <c r="W23" s="44"/>
      <c r="X23" s="44"/>
      <c r="Y23" s="44"/>
      <c r="Z23" s="44"/>
      <c r="AA23" s="44"/>
      <c r="AB23" s="44"/>
      <c r="AC23" s="44"/>
      <c r="AD23" s="44"/>
      <c r="AE23" s="44"/>
    </row>
    <row r="24" spans="1:177" ht="16" thickBot="1" x14ac:dyDescent="0.4">
      <c r="A24" s="47"/>
      <c r="B24" s="1021" t="s">
        <v>53</v>
      </c>
      <c r="C24" s="1022"/>
      <c r="D24" s="1022"/>
      <c r="E24" s="1022"/>
      <c r="F24" s="1023" t="s">
        <v>1158</v>
      </c>
      <c r="G24" s="1023"/>
      <c r="H24" s="1023"/>
      <c r="I24" s="1023"/>
      <c r="J24" s="1023"/>
      <c r="K24" s="1023"/>
      <c r="L24" s="1024"/>
    </row>
    <row r="25" spans="1:177" s="46" customFormat="1" ht="15" customHeight="1" thickBot="1" x14ac:dyDescent="0.4">
      <c r="A25" s="21"/>
      <c r="B25" s="43"/>
      <c r="C25" s="43"/>
      <c r="D25" s="43"/>
      <c r="E25" s="43"/>
      <c r="F25" s="43"/>
      <c r="G25" s="43"/>
      <c r="H25" s="43"/>
      <c r="I25" s="43"/>
      <c r="J25" s="43"/>
      <c r="K25" s="43"/>
      <c r="L25" s="43"/>
      <c r="M25" s="43"/>
      <c r="N25" s="44"/>
      <c r="O25" s="44"/>
      <c r="P25" s="44"/>
      <c r="Q25" s="44"/>
      <c r="R25" s="44"/>
      <c r="S25" s="44"/>
      <c r="T25" s="44"/>
      <c r="U25" s="44"/>
      <c r="V25" s="44"/>
      <c r="W25" s="44"/>
      <c r="X25" s="44"/>
      <c r="Y25" s="44"/>
      <c r="Z25" s="44"/>
      <c r="AA25" s="44"/>
      <c r="AB25" s="44"/>
      <c r="AC25" s="44"/>
      <c r="AD25" s="44"/>
      <c r="AE25" s="44"/>
    </row>
    <row r="26" spans="1:177" ht="58" customHeight="1" thickBot="1" x14ac:dyDescent="0.4">
      <c r="A26" s="47"/>
      <c r="B26" s="1021" t="s">
        <v>54</v>
      </c>
      <c r="C26" s="1022"/>
      <c r="D26" s="1022"/>
      <c r="E26" s="1022"/>
      <c r="F26" s="1025" t="s">
        <v>1155</v>
      </c>
      <c r="G26" s="1026"/>
      <c r="H26" s="1026"/>
      <c r="I26" s="1026"/>
      <c r="J26" s="1026"/>
      <c r="K26" s="1026"/>
      <c r="L26" s="1027"/>
      <c r="O26" s="711"/>
      <c r="P26" s="711"/>
    </row>
    <row r="27" spans="1:177" s="46" customFormat="1" ht="15" customHeight="1" thickBot="1" x14ac:dyDescent="0.4">
      <c r="A27" s="21"/>
      <c r="B27" s="43"/>
      <c r="C27" s="43"/>
      <c r="D27" s="43"/>
      <c r="E27" s="43"/>
      <c r="F27" s="43"/>
      <c r="G27" s="43"/>
      <c r="H27" s="43"/>
      <c r="I27" s="43"/>
      <c r="J27" s="43"/>
      <c r="K27" s="43"/>
      <c r="L27" s="43"/>
      <c r="M27" s="43"/>
      <c r="N27" s="44"/>
      <c r="O27" s="44"/>
      <c r="P27" s="44"/>
      <c r="Q27" s="44"/>
      <c r="R27" s="44"/>
      <c r="S27" s="44"/>
      <c r="T27" s="44"/>
      <c r="U27" s="44"/>
      <c r="V27" s="44"/>
      <c r="W27" s="44"/>
      <c r="X27" s="44"/>
      <c r="Y27" s="44"/>
      <c r="Z27" s="44"/>
      <c r="AA27" s="44"/>
      <c r="AB27" s="44"/>
      <c r="AC27" s="44"/>
      <c r="AD27" s="44"/>
      <c r="AE27" s="44"/>
    </row>
    <row r="28" spans="1:177" ht="16" thickBot="1" x14ac:dyDescent="0.4">
      <c r="A28" s="47"/>
      <c r="B28" s="1011" t="s">
        <v>55</v>
      </c>
      <c r="C28" s="1009"/>
      <c r="D28" s="1009"/>
      <c r="E28" s="1009"/>
      <c r="F28" s="1010"/>
      <c r="G28" s="48"/>
      <c r="H28" s="1011" t="s">
        <v>56</v>
      </c>
      <c r="I28" s="1009"/>
      <c r="J28" s="1009"/>
      <c r="K28" s="1009"/>
      <c r="L28" s="1010"/>
    </row>
    <row r="29" spans="1:177" x14ac:dyDescent="0.35">
      <c r="A29" s="47"/>
      <c r="B29" s="60">
        <f>+C29-1</f>
        <v>2019</v>
      </c>
      <c r="C29" s="49">
        <f>+D29-1</f>
        <v>2020</v>
      </c>
      <c r="D29" s="50">
        <f>E29-1</f>
        <v>2021</v>
      </c>
      <c r="E29" s="50">
        <f>F29-1</f>
        <v>2022</v>
      </c>
      <c r="F29" s="50">
        <v>2023</v>
      </c>
      <c r="G29" s="51"/>
      <c r="H29" s="52">
        <f>+I29-1</f>
        <v>2019</v>
      </c>
      <c r="I29" s="53">
        <f>+J29-1</f>
        <v>2020</v>
      </c>
      <c r="J29" s="53">
        <f>+K29-1</f>
        <v>2021</v>
      </c>
      <c r="K29" s="53">
        <f>+L29-1</f>
        <v>2022</v>
      </c>
      <c r="L29" s="54">
        <v>2023</v>
      </c>
    </row>
    <row r="30" spans="1:177" s="56" customFormat="1" ht="15.75" customHeight="1" thickBot="1" x14ac:dyDescent="0.4">
      <c r="A30" s="55"/>
      <c r="B30" s="91">
        <v>3.7999999999999999E-2</v>
      </c>
      <c r="C30" s="92">
        <v>1.61E-2</v>
      </c>
      <c r="D30" s="92">
        <v>5.62E-2</v>
      </c>
      <c r="E30" s="92">
        <v>0.13120000000000001</v>
      </c>
      <c r="F30" s="93">
        <v>9.2799999999999994E-2</v>
      </c>
      <c r="G30" s="48"/>
      <c r="H30" s="88">
        <v>3.3000000000000002E-2</v>
      </c>
      <c r="I30" s="89">
        <v>-6.8000000000000005E-2</v>
      </c>
      <c r="J30" s="89">
        <v>0.106</v>
      </c>
      <c r="K30" s="89">
        <v>7.4999999999999997E-2</v>
      </c>
      <c r="L30" s="90">
        <v>6.4999999999999997E-3</v>
      </c>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7"/>
      <c r="EB30" s="57"/>
      <c r="EC30" s="57"/>
      <c r="ED30" s="57"/>
      <c r="EE30" s="57"/>
      <c r="EF30" s="57"/>
      <c r="EG30" s="57"/>
      <c r="EH30" s="57"/>
      <c r="EI30" s="57"/>
      <c r="EJ30" s="57"/>
      <c r="EK30" s="57"/>
      <c r="EL30" s="57"/>
      <c r="EM30" s="57"/>
      <c r="EN30" s="57"/>
      <c r="EO30" s="57"/>
      <c r="EP30" s="57"/>
      <c r="EQ30" s="57"/>
      <c r="ER30" s="57"/>
      <c r="ES30" s="57"/>
      <c r="ET30" s="57"/>
      <c r="EU30" s="57"/>
      <c r="EV30" s="57"/>
      <c r="EW30" s="57"/>
      <c r="EX30" s="57"/>
      <c r="EY30" s="57"/>
      <c r="EZ30" s="57"/>
      <c r="FA30" s="57"/>
      <c r="FB30" s="57"/>
      <c r="FC30" s="57"/>
      <c r="FD30" s="57"/>
      <c r="FE30" s="57"/>
      <c r="FF30" s="57"/>
      <c r="FG30" s="57"/>
      <c r="FH30" s="57"/>
      <c r="FI30" s="57"/>
      <c r="FJ30" s="57"/>
      <c r="FK30" s="57"/>
      <c r="FL30" s="57"/>
      <c r="FM30" s="57"/>
      <c r="FN30" s="57"/>
      <c r="FO30" s="57"/>
      <c r="FP30" s="57"/>
      <c r="FQ30" s="57"/>
      <c r="FR30" s="57"/>
      <c r="FS30" s="57"/>
      <c r="FT30" s="57"/>
      <c r="FU30" s="57"/>
    </row>
    <row r="31" spans="1:177" s="46" customFormat="1" ht="15" customHeight="1" x14ac:dyDescent="0.35">
      <c r="A31" s="21"/>
      <c r="B31" s="43"/>
      <c r="C31" s="43"/>
      <c r="D31" s="43"/>
      <c r="E31" s="43"/>
      <c r="F31" s="43"/>
      <c r="G31" s="43"/>
      <c r="H31" s="43"/>
      <c r="I31" s="43"/>
      <c r="J31" s="43"/>
      <c r="K31" s="43"/>
      <c r="L31" s="43"/>
      <c r="M31" s="43"/>
      <c r="N31" s="44"/>
      <c r="O31" s="44"/>
      <c r="P31" s="44"/>
      <c r="Q31" s="44"/>
      <c r="R31" s="44"/>
      <c r="S31" s="44"/>
      <c r="T31" s="44"/>
      <c r="U31" s="44"/>
      <c r="V31" s="44"/>
      <c r="W31" s="44"/>
      <c r="X31" s="44"/>
      <c r="Y31" s="44"/>
      <c r="Z31" s="44"/>
      <c r="AA31" s="44"/>
      <c r="AB31" s="44"/>
      <c r="AC31" s="44"/>
      <c r="AD31" s="44"/>
      <c r="AE31" s="44"/>
    </row>
    <row r="32" spans="1:177" ht="15.75" customHeight="1" x14ac:dyDescent="0.35">
      <c r="A32" s="47"/>
      <c r="B32" s="863" t="s">
        <v>57</v>
      </c>
      <c r="C32" s="863"/>
      <c r="D32" s="863"/>
      <c r="E32" s="863"/>
      <c r="F32" s="863"/>
      <c r="G32" s="863"/>
      <c r="H32" s="863"/>
      <c r="I32" s="863"/>
      <c r="J32" s="863"/>
      <c r="K32" s="863"/>
      <c r="L32" s="863"/>
    </row>
    <row r="33" spans="1:31" s="46" customFormat="1" ht="7.5" customHeight="1" thickBot="1" x14ac:dyDescent="0.4">
      <c r="A33" s="21"/>
      <c r="B33" s="43"/>
      <c r="C33" s="43"/>
      <c r="D33" s="43"/>
      <c r="E33" s="43"/>
      <c r="F33" s="43"/>
      <c r="G33" s="43"/>
      <c r="H33" s="43"/>
      <c r="I33" s="43"/>
      <c r="J33" s="43"/>
      <c r="K33" s="43"/>
      <c r="L33" s="43"/>
      <c r="M33" s="43"/>
      <c r="N33" s="44"/>
      <c r="O33" s="44"/>
      <c r="P33" s="44"/>
      <c r="Q33" s="44"/>
      <c r="R33" s="44"/>
      <c r="S33" s="44"/>
      <c r="T33" s="44"/>
      <c r="U33" s="44"/>
      <c r="V33" s="44"/>
      <c r="W33" s="44"/>
      <c r="X33" s="44"/>
      <c r="Y33" s="44"/>
      <c r="Z33" s="44"/>
      <c r="AA33" s="44"/>
      <c r="AB33" s="44"/>
      <c r="AC33" s="44"/>
      <c r="AD33" s="44"/>
      <c r="AE33" s="44"/>
    </row>
    <row r="34" spans="1:31" ht="15.75" customHeight="1" x14ac:dyDescent="0.35">
      <c r="A34" s="47"/>
      <c r="B34" s="1012" t="s">
        <v>1195</v>
      </c>
      <c r="C34" s="1013"/>
      <c r="D34" s="1013"/>
      <c r="E34" s="1013"/>
      <c r="F34" s="1013"/>
      <c r="G34" s="1013"/>
      <c r="H34" s="1013"/>
      <c r="I34" s="1013"/>
      <c r="J34" s="1013"/>
      <c r="K34" s="1013"/>
      <c r="L34" s="1014"/>
    </row>
    <row r="35" spans="1:31" ht="15.75" customHeight="1" x14ac:dyDescent="0.35">
      <c r="A35" s="47"/>
      <c r="B35" s="1015"/>
      <c r="C35" s="1016"/>
      <c r="D35" s="1016"/>
      <c r="E35" s="1016"/>
      <c r="F35" s="1016"/>
      <c r="G35" s="1016"/>
      <c r="H35" s="1016"/>
      <c r="I35" s="1016"/>
      <c r="J35" s="1016"/>
      <c r="K35" s="1016"/>
      <c r="L35" s="1017"/>
    </row>
    <row r="36" spans="1:31" ht="23.5" customHeight="1" x14ac:dyDescent="0.35">
      <c r="A36" s="47"/>
      <c r="B36" s="1015"/>
      <c r="C36" s="1016"/>
      <c r="D36" s="1016"/>
      <c r="E36" s="1016"/>
      <c r="F36" s="1016"/>
      <c r="G36" s="1016"/>
      <c r="H36" s="1016"/>
      <c r="I36" s="1016"/>
      <c r="J36" s="1016"/>
      <c r="K36" s="1016"/>
      <c r="L36" s="1017"/>
    </row>
    <row r="37" spans="1:31" ht="49" customHeight="1" thickBot="1" x14ac:dyDescent="0.4">
      <c r="A37" s="47"/>
      <c r="B37" s="1018"/>
      <c r="C37" s="1019"/>
      <c r="D37" s="1019"/>
      <c r="E37" s="1019"/>
      <c r="F37" s="1019"/>
      <c r="G37" s="1019"/>
      <c r="H37" s="1019"/>
      <c r="I37" s="1019"/>
      <c r="J37" s="1019"/>
      <c r="K37" s="1019"/>
      <c r="L37" s="1020"/>
    </row>
    <row r="38" spans="1:31" s="46" customFormat="1" ht="15" customHeight="1" x14ac:dyDescent="0.35">
      <c r="A38" s="21"/>
      <c r="B38" s="43"/>
      <c r="C38" s="43"/>
      <c r="D38" s="43"/>
      <c r="E38" s="43"/>
      <c r="F38" s="43"/>
      <c r="G38" s="43"/>
      <c r="H38" s="43"/>
      <c r="I38" s="43"/>
      <c r="J38" s="43"/>
      <c r="K38" s="43"/>
      <c r="L38" s="43"/>
      <c r="M38" s="43"/>
      <c r="N38" s="44"/>
      <c r="O38" s="44"/>
      <c r="P38" s="44"/>
      <c r="Q38" s="44"/>
      <c r="R38" s="44"/>
      <c r="S38" s="44"/>
      <c r="T38" s="44"/>
      <c r="U38" s="44"/>
      <c r="V38" s="44"/>
      <c r="W38" s="44"/>
      <c r="X38" s="44"/>
      <c r="Y38" s="44"/>
      <c r="Z38" s="44"/>
      <c r="AA38" s="44"/>
      <c r="AB38" s="44"/>
      <c r="AC38" s="44"/>
      <c r="AD38" s="44"/>
      <c r="AE38" s="44"/>
    </row>
    <row r="39" spans="1:31" ht="15.75" customHeight="1" x14ac:dyDescent="0.35">
      <c r="A39" s="47"/>
      <c r="B39" s="863" t="s">
        <v>58</v>
      </c>
      <c r="C39" s="863"/>
      <c r="D39" s="863"/>
      <c r="E39" s="863"/>
      <c r="F39" s="863"/>
      <c r="G39" s="863"/>
      <c r="H39" s="863"/>
      <c r="I39" s="863"/>
      <c r="J39" s="863"/>
      <c r="K39" s="863"/>
      <c r="L39" s="863"/>
    </row>
    <row r="40" spans="1:31" s="46" customFormat="1" ht="6.75" customHeight="1" thickBot="1" x14ac:dyDescent="0.4">
      <c r="A40" s="21"/>
      <c r="B40" s="43"/>
      <c r="C40" s="43"/>
      <c r="D40" s="43"/>
      <c r="E40" s="43"/>
      <c r="F40" s="43"/>
      <c r="G40" s="43"/>
      <c r="H40" s="43"/>
      <c r="I40" s="43"/>
      <c r="J40" s="43"/>
      <c r="K40" s="43"/>
      <c r="L40" s="43"/>
      <c r="M40" s="43"/>
      <c r="N40" s="44"/>
      <c r="O40" s="44"/>
      <c r="P40" s="44"/>
      <c r="Q40" s="44"/>
      <c r="R40" s="44"/>
      <c r="S40" s="44"/>
      <c r="T40" s="44"/>
      <c r="U40" s="44"/>
      <c r="V40" s="44"/>
      <c r="W40" s="44"/>
      <c r="X40" s="44"/>
      <c r="Y40" s="44"/>
      <c r="Z40" s="44"/>
      <c r="AA40" s="44"/>
      <c r="AB40" s="44"/>
      <c r="AC40" s="44"/>
      <c r="AD40" s="44"/>
      <c r="AE40" s="44"/>
    </row>
    <row r="41" spans="1:31" ht="15.75" customHeight="1" x14ac:dyDescent="0.35">
      <c r="A41" s="47"/>
      <c r="B41" s="854" t="s">
        <v>1194</v>
      </c>
      <c r="C41" s="855"/>
      <c r="D41" s="855"/>
      <c r="E41" s="855"/>
      <c r="F41" s="855"/>
      <c r="G41" s="855"/>
      <c r="H41" s="855"/>
      <c r="I41" s="855"/>
      <c r="J41" s="855"/>
      <c r="K41" s="855"/>
      <c r="L41" s="856"/>
    </row>
    <row r="42" spans="1:31" ht="15.75" customHeight="1" x14ac:dyDescent="0.35">
      <c r="A42" s="47"/>
      <c r="B42" s="857"/>
      <c r="C42" s="858"/>
      <c r="D42" s="858"/>
      <c r="E42" s="858"/>
      <c r="F42" s="858"/>
      <c r="G42" s="858"/>
      <c r="H42" s="858"/>
      <c r="I42" s="858"/>
      <c r="J42" s="858"/>
      <c r="K42" s="858"/>
      <c r="L42" s="859"/>
    </row>
    <row r="43" spans="1:31" ht="15.75" customHeight="1" x14ac:dyDescent="0.35">
      <c r="A43" s="47"/>
      <c r="B43" s="857"/>
      <c r="C43" s="858"/>
      <c r="D43" s="858"/>
      <c r="E43" s="858"/>
      <c r="F43" s="858"/>
      <c r="G43" s="858"/>
      <c r="H43" s="858"/>
      <c r="I43" s="858"/>
      <c r="J43" s="858"/>
      <c r="K43" s="858"/>
      <c r="L43" s="859"/>
    </row>
    <row r="44" spans="1:31" ht="15.75" customHeight="1" x14ac:dyDescent="0.35">
      <c r="A44" s="47"/>
      <c r="B44" s="857"/>
      <c r="C44" s="858"/>
      <c r="D44" s="858"/>
      <c r="E44" s="858"/>
      <c r="F44" s="858"/>
      <c r="G44" s="858"/>
      <c r="H44" s="858"/>
      <c r="I44" s="858"/>
      <c r="J44" s="858"/>
      <c r="K44" s="858"/>
      <c r="L44" s="859"/>
    </row>
    <row r="45" spans="1:31" ht="32" customHeight="1" thickBot="1" x14ac:dyDescent="0.4">
      <c r="A45" s="47"/>
      <c r="B45" s="860"/>
      <c r="C45" s="861"/>
      <c r="D45" s="861"/>
      <c r="E45" s="861"/>
      <c r="F45" s="861"/>
      <c r="G45" s="861"/>
      <c r="H45" s="861"/>
      <c r="I45" s="861"/>
      <c r="J45" s="861"/>
      <c r="K45" s="861"/>
      <c r="L45" s="862"/>
    </row>
    <row r="46" spans="1:31" ht="15.75" customHeight="1" x14ac:dyDescent="0.35">
      <c r="B46" s="58"/>
      <c r="C46" s="58"/>
      <c r="D46" s="58"/>
      <c r="E46" s="58"/>
      <c r="F46" s="58"/>
      <c r="G46" s="58"/>
      <c r="H46" s="58"/>
      <c r="I46" s="58"/>
      <c r="J46" s="58"/>
      <c r="K46" s="58"/>
      <c r="L46" s="58"/>
    </row>
    <row r="47" spans="1:31" ht="15.75" customHeight="1" x14ac:dyDescent="0.35">
      <c r="B47" s="846" t="s">
        <v>59</v>
      </c>
      <c r="C47" s="846"/>
      <c r="D47" s="846"/>
      <c r="E47" s="846"/>
      <c r="F47" s="846"/>
      <c r="G47" s="846"/>
      <c r="H47" s="846"/>
      <c r="I47" s="846"/>
      <c r="J47" s="846"/>
      <c r="K47" s="846"/>
      <c r="L47" s="846"/>
    </row>
    <row r="48" spans="1:31" ht="15.75" customHeight="1" thickBot="1" x14ac:dyDescent="0.4">
      <c r="B48" s="58"/>
      <c r="C48" s="58"/>
      <c r="D48" s="58"/>
      <c r="E48" s="58"/>
      <c r="F48" s="58"/>
      <c r="G48" s="58"/>
      <c r="H48" s="58"/>
      <c r="I48" s="58"/>
      <c r="J48" s="58"/>
      <c r="K48" s="58"/>
      <c r="L48" s="58"/>
    </row>
    <row r="49" spans="1:177" ht="15.75" customHeight="1" thickBot="1" x14ac:dyDescent="0.4">
      <c r="B49" s="1011" t="s">
        <v>1162</v>
      </c>
      <c r="C49" s="1009"/>
      <c r="D49" s="1009"/>
      <c r="E49" s="1009"/>
      <c r="F49" s="1010"/>
      <c r="G49" s="48"/>
      <c r="H49" s="1011" t="s">
        <v>1161</v>
      </c>
      <c r="I49" s="1009"/>
      <c r="J49" s="1009"/>
      <c r="K49" s="1009"/>
      <c r="L49" s="1010"/>
    </row>
    <row r="50" spans="1:177" ht="15.75" customHeight="1" x14ac:dyDescent="0.35">
      <c r="B50" s="60">
        <v>2024</v>
      </c>
      <c r="C50" s="49">
        <f>+B50+1</f>
        <v>2025</v>
      </c>
      <c r="D50" s="49">
        <f>+C50+1</f>
        <v>2026</v>
      </c>
      <c r="E50" s="49">
        <f>+D50+1</f>
        <v>2027</v>
      </c>
      <c r="F50" s="50">
        <f>+E50+1</f>
        <v>2028</v>
      </c>
      <c r="G50" s="51"/>
      <c r="H50" s="60">
        <v>2024</v>
      </c>
      <c r="I50" s="49">
        <f>+H50+1</f>
        <v>2025</v>
      </c>
      <c r="J50" s="49">
        <f>+I50+1</f>
        <v>2026</v>
      </c>
      <c r="K50" s="49">
        <f>+J50+1</f>
        <v>2027</v>
      </c>
      <c r="L50" s="50">
        <f>+K50+1</f>
        <v>2028</v>
      </c>
    </row>
    <row r="51" spans="1:177" s="56" customFormat="1" ht="15.75" customHeight="1" thickBot="1" x14ac:dyDescent="0.4">
      <c r="B51" s="91">
        <v>3.4099999999999998E-2</v>
      </c>
      <c r="C51" s="92">
        <v>4.7699999999999999E-2</v>
      </c>
      <c r="D51" s="92">
        <v>3.6999999999999998E-2</v>
      </c>
      <c r="E51" s="92">
        <v>3.1E-2</v>
      </c>
      <c r="F51" s="93">
        <v>3.49E-2</v>
      </c>
      <c r="G51" s="48"/>
      <c r="H51" s="88">
        <v>1.8599999999999998E-2</v>
      </c>
      <c r="I51" s="89">
        <v>6.6400000000000001E-2</v>
      </c>
      <c r="J51" s="89">
        <v>6.3399999999999998E-2</v>
      </c>
      <c r="K51" s="89">
        <v>4.7699999999999999E-2</v>
      </c>
      <c r="L51" s="90">
        <v>3.9699999999999999E-2</v>
      </c>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7"/>
      <c r="EB51" s="57"/>
      <c r="EC51" s="57"/>
      <c r="ED51" s="57"/>
      <c r="EE51" s="57"/>
      <c r="EF51" s="57"/>
      <c r="EG51" s="57"/>
      <c r="EH51" s="57"/>
      <c r="EI51" s="57"/>
      <c r="EJ51" s="57"/>
      <c r="EK51" s="57"/>
      <c r="EL51" s="57"/>
      <c r="EM51" s="57"/>
      <c r="EN51" s="57"/>
      <c r="EO51" s="57"/>
      <c r="EP51" s="57"/>
      <c r="EQ51" s="57"/>
      <c r="ER51" s="57"/>
      <c r="ES51" s="57"/>
      <c r="ET51" s="57"/>
      <c r="EU51" s="57"/>
      <c r="EV51" s="57"/>
      <c r="EW51" s="57"/>
      <c r="EX51" s="57"/>
      <c r="EY51" s="57"/>
      <c r="EZ51" s="57"/>
      <c r="FA51" s="57"/>
      <c r="FB51" s="57"/>
      <c r="FC51" s="57"/>
      <c r="FD51" s="57"/>
      <c r="FE51" s="57"/>
      <c r="FF51" s="57"/>
      <c r="FG51" s="57"/>
      <c r="FH51" s="57"/>
      <c r="FI51" s="57"/>
      <c r="FJ51" s="57"/>
      <c r="FK51" s="57"/>
      <c r="FL51" s="57"/>
      <c r="FM51" s="57"/>
      <c r="FN51" s="57"/>
      <c r="FO51" s="57"/>
      <c r="FP51" s="57"/>
      <c r="FQ51" s="57"/>
      <c r="FR51" s="57"/>
      <c r="FS51" s="57"/>
      <c r="FT51" s="57"/>
      <c r="FU51" s="57"/>
    </row>
    <row r="52" spans="1:177" ht="15.75" customHeight="1" x14ac:dyDescent="0.35">
      <c r="B52" s="58"/>
      <c r="C52" s="58"/>
      <c r="D52" s="58"/>
      <c r="E52" s="58"/>
      <c r="F52" s="58"/>
      <c r="G52" s="58"/>
      <c r="H52" s="58"/>
      <c r="I52" s="58"/>
      <c r="J52" s="58"/>
      <c r="K52" s="58"/>
      <c r="L52" s="58"/>
    </row>
    <row r="53" spans="1:177" ht="15.75" customHeight="1" x14ac:dyDescent="0.35">
      <c r="A53" s="47"/>
      <c r="B53" s="863" t="s">
        <v>60</v>
      </c>
      <c r="C53" s="863"/>
      <c r="D53" s="863"/>
      <c r="E53" s="863"/>
      <c r="F53" s="863"/>
      <c r="G53" s="863"/>
      <c r="H53" s="863"/>
      <c r="I53" s="863"/>
      <c r="J53" s="863"/>
      <c r="K53" s="863"/>
      <c r="L53" s="863"/>
    </row>
    <row r="54" spans="1:177" s="46" customFormat="1" ht="15" customHeight="1" thickBot="1" x14ac:dyDescent="0.4">
      <c r="A54" s="21"/>
      <c r="B54" s="43"/>
      <c r="C54" s="43"/>
      <c r="D54" s="43"/>
      <c r="E54" s="43"/>
      <c r="F54" s="43"/>
      <c r="G54" s="43"/>
      <c r="H54" s="43"/>
      <c r="I54" s="43"/>
      <c r="J54" s="43"/>
      <c r="K54" s="43"/>
      <c r="L54" s="43"/>
      <c r="M54" s="43"/>
      <c r="N54" s="44"/>
      <c r="O54" s="44"/>
      <c r="P54" s="44"/>
      <c r="Q54" s="44"/>
      <c r="R54" s="44"/>
      <c r="S54" s="44"/>
      <c r="T54" s="44"/>
      <c r="U54" s="44"/>
      <c r="V54" s="44"/>
      <c r="W54" s="44"/>
      <c r="X54" s="44"/>
      <c r="Y54" s="44"/>
      <c r="Z54" s="44"/>
      <c r="AA54" s="44"/>
      <c r="AB54" s="44"/>
      <c r="AC54" s="44"/>
      <c r="AD54" s="44"/>
      <c r="AE54" s="44"/>
    </row>
    <row r="55" spans="1:177" ht="15.75" customHeight="1" thickBot="1" x14ac:dyDescent="0.4">
      <c r="A55" s="47"/>
      <c r="B55" s="1008" t="s">
        <v>61</v>
      </c>
      <c r="C55" s="1009"/>
      <c r="D55" s="1009"/>
      <c r="E55" s="1009"/>
      <c r="F55" s="1009"/>
      <c r="G55" s="1009"/>
      <c r="H55" s="1009"/>
      <c r="I55" s="1009"/>
      <c r="J55" s="1009"/>
      <c r="K55" s="1009"/>
      <c r="L55" s="1010"/>
    </row>
    <row r="56" spans="1:177" ht="15.75" customHeight="1" x14ac:dyDescent="0.35">
      <c r="A56" s="47"/>
      <c r="B56" s="854" t="s">
        <v>476</v>
      </c>
      <c r="C56" s="855"/>
      <c r="D56" s="855"/>
      <c r="E56" s="855"/>
      <c r="F56" s="855"/>
      <c r="G56" s="855"/>
      <c r="H56" s="855"/>
      <c r="I56" s="855"/>
      <c r="J56" s="855"/>
      <c r="K56" s="855"/>
      <c r="L56" s="856"/>
    </row>
    <row r="57" spans="1:177" ht="15.75" customHeight="1" x14ac:dyDescent="0.35">
      <c r="A57" s="47"/>
      <c r="B57" s="857"/>
      <c r="C57" s="858"/>
      <c r="D57" s="858"/>
      <c r="E57" s="858"/>
      <c r="F57" s="858"/>
      <c r="G57" s="858"/>
      <c r="H57" s="858"/>
      <c r="I57" s="858"/>
      <c r="J57" s="858"/>
      <c r="K57" s="858"/>
      <c r="L57" s="859"/>
    </row>
    <row r="58" spans="1:177" ht="15.75" customHeight="1" thickBot="1" x14ac:dyDescent="0.4">
      <c r="A58" s="47"/>
      <c r="B58" s="860"/>
      <c r="C58" s="861"/>
      <c r="D58" s="861"/>
      <c r="E58" s="861"/>
      <c r="F58" s="861"/>
      <c r="G58" s="861"/>
      <c r="H58" s="861"/>
      <c r="I58" s="861"/>
      <c r="J58" s="861"/>
      <c r="K58" s="861"/>
      <c r="L58" s="862"/>
    </row>
    <row r="59" spans="1:177" s="46" customFormat="1" ht="15" customHeight="1" thickBot="1" x14ac:dyDescent="0.4">
      <c r="A59" s="21"/>
      <c r="B59" s="43"/>
      <c r="C59" s="43"/>
      <c r="D59" s="43"/>
      <c r="E59" s="43"/>
      <c r="F59" s="43"/>
      <c r="G59" s="43"/>
      <c r="H59" s="43"/>
      <c r="I59" s="43"/>
      <c r="J59" s="43"/>
      <c r="K59" s="43"/>
      <c r="L59" s="43"/>
      <c r="M59" s="43"/>
      <c r="N59" s="44"/>
      <c r="O59" s="44"/>
      <c r="P59" s="44"/>
      <c r="Q59" s="44"/>
      <c r="R59" s="44"/>
      <c r="S59" s="44"/>
      <c r="T59" s="44"/>
      <c r="U59" s="44"/>
      <c r="V59" s="44"/>
      <c r="W59" s="44"/>
      <c r="X59" s="44"/>
      <c r="Y59" s="44"/>
      <c r="Z59" s="44"/>
      <c r="AA59" s="44"/>
      <c r="AB59" s="44"/>
      <c r="AC59" s="44"/>
      <c r="AD59" s="44"/>
      <c r="AE59" s="44"/>
    </row>
    <row r="60" spans="1:177" ht="15.75" customHeight="1" thickBot="1" x14ac:dyDescent="0.4">
      <c r="A60" s="47"/>
      <c r="B60" s="1008" t="s">
        <v>62</v>
      </c>
      <c r="C60" s="1009"/>
      <c r="D60" s="1009"/>
      <c r="E60" s="1009"/>
      <c r="F60" s="1009"/>
      <c r="G60" s="1009"/>
      <c r="H60" s="1009"/>
      <c r="I60" s="1009"/>
      <c r="J60" s="1009"/>
      <c r="K60" s="1009"/>
      <c r="L60" s="1010"/>
    </row>
    <row r="61" spans="1:177" ht="15.75" customHeight="1" x14ac:dyDescent="0.35">
      <c r="A61" s="47"/>
      <c r="B61" s="854" t="s">
        <v>498</v>
      </c>
      <c r="C61" s="855"/>
      <c r="D61" s="855"/>
      <c r="E61" s="855"/>
      <c r="F61" s="855"/>
      <c r="G61" s="855"/>
      <c r="H61" s="855"/>
      <c r="I61" s="855"/>
      <c r="J61" s="855"/>
      <c r="K61" s="855"/>
      <c r="L61" s="856"/>
    </row>
    <row r="62" spans="1:177" ht="15.75" customHeight="1" x14ac:dyDescent="0.35">
      <c r="A62" s="47"/>
      <c r="B62" s="857"/>
      <c r="C62" s="858"/>
      <c r="D62" s="858"/>
      <c r="E62" s="858"/>
      <c r="F62" s="858"/>
      <c r="G62" s="858"/>
      <c r="H62" s="858"/>
      <c r="I62" s="858"/>
      <c r="J62" s="858"/>
      <c r="K62" s="858"/>
      <c r="L62" s="859"/>
    </row>
    <row r="63" spans="1:177" ht="15.75" customHeight="1" thickBot="1" x14ac:dyDescent="0.4">
      <c r="A63" s="47"/>
      <c r="B63" s="860"/>
      <c r="C63" s="861"/>
      <c r="D63" s="861"/>
      <c r="E63" s="861"/>
      <c r="F63" s="861"/>
      <c r="G63" s="861"/>
      <c r="H63" s="861"/>
      <c r="I63" s="861"/>
      <c r="J63" s="861"/>
      <c r="K63" s="861"/>
      <c r="L63" s="862"/>
    </row>
    <row r="64" spans="1:177" s="46" customFormat="1" ht="15" customHeight="1" thickBot="1" x14ac:dyDescent="0.4">
      <c r="A64" s="21"/>
      <c r="B64" s="43"/>
      <c r="C64" s="43"/>
      <c r="D64" s="43"/>
      <c r="E64" s="43"/>
      <c r="F64" s="43"/>
      <c r="G64" s="43"/>
      <c r="H64" s="43"/>
      <c r="I64" s="43"/>
      <c r="J64" s="43"/>
      <c r="K64" s="43"/>
      <c r="L64" s="43"/>
      <c r="M64" s="43"/>
      <c r="N64" s="44"/>
      <c r="O64" s="44"/>
      <c r="P64" s="44"/>
      <c r="Q64" s="44"/>
      <c r="R64" s="44"/>
      <c r="S64" s="44"/>
      <c r="T64" s="44"/>
      <c r="U64" s="44"/>
      <c r="V64" s="44"/>
      <c r="W64" s="44"/>
      <c r="X64" s="44"/>
      <c r="Y64" s="44"/>
      <c r="Z64" s="44"/>
      <c r="AA64" s="44"/>
      <c r="AB64" s="44"/>
      <c r="AC64" s="44"/>
      <c r="AD64" s="44"/>
      <c r="AE64" s="44"/>
    </row>
    <row r="65" spans="1:31" ht="15.75" customHeight="1" thickBot="1" x14ac:dyDescent="0.4">
      <c r="A65" s="47"/>
      <c r="B65" s="1008" t="s">
        <v>63</v>
      </c>
      <c r="C65" s="1009"/>
      <c r="D65" s="1009"/>
      <c r="E65" s="1009"/>
      <c r="F65" s="1009"/>
      <c r="G65" s="1009"/>
      <c r="H65" s="1009"/>
      <c r="I65" s="1009"/>
      <c r="J65" s="1009"/>
      <c r="K65" s="1009"/>
      <c r="L65" s="1010"/>
    </row>
    <row r="66" spans="1:31" ht="15.75" customHeight="1" x14ac:dyDescent="0.35">
      <c r="A66" s="47"/>
      <c r="B66" s="854" t="s">
        <v>1163</v>
      </c>
      <c r="C66" s="855"/>
      <c r="D66" s="855"/>
      <c r="E66" s="855"/>
      <c r="F66" s="855"/>
      <c r="G66" s="855"/>
      <c r="H66" s="855"/>
      <c r="I66" s="855"/>
      <c r="J66" s="855"/>
      <c r="K66" s="855"/>
      <c r="L66" s="856"/>
    </row>
    <row r="67" spans="1:31" ht="15.75" customHeight="1" x14ac:dyDescent="0.35">
      <c r="A67" s="47"/>
      <c r="B67" s="857"/>
      <c r="C67" s="858"/>
      <c r="D67" s="858"/>
      <c r="E67" s="858"/>
      <c r="F67" s="858"/>
      <c r="G67" s="858"/>
      <c r="H67" s="858"/>
      <c r="I67" s="858"/>
      <c r="J67" s="858"/>
      <c r="K67" s="858"/>
      <c r="L67" s="859"/>
    </row>
    <row r="68" spans="1:31" ht="15.75" customHeight="1" thickBot="1" x14ac:dyDescent="0.4">
      <c r="A68" s="47"/>
      <c r="B68" s="860"/>
      <c r="C68" s="861"/>
      <c r="D68" s="861"/>
      <c r="E68" s="861"/>
      <c r="F68" s="861"/>
      <c r="G68" s="861"/>
      <c r="H68" s="861"/>
      <c r="I68" s="861"/>
      <c r="J68" s="861"/>
      <c r="K68" s="861"/>
      <c r="L68" s="862"/>
    </row>
    <row r="69" spans="1:31" s="46" customFormat="1" ht="15" customHeight="1" thickBot="1" x14ac:dyDescent="0.4">
      <c r="A69" s="21"/>
      <c r="B69" s="371"/>
      <c r="C69" s="43"/>
      <c r="D69" s="43"/>
      <c r="E69" s="43"/>
      <c r="F69" s="43"/>
      <c r="G69" s="43"/>
      <c r="H69" s="43"/>
      <c r="I69" s="43"/>
      <c r="J69" s="43"/>
      <c r="K69" s="43"/>
      <c r="L69" s="43"/>
      <c r="M69" s="43"/>
      <c r="N69" s="44"/>
      <c r="O69" s="44"/>
      <c r="P69" s="44"/>
      <c r="Q69" s="44"/>
      <c r="R69" s="44"/>
      <c r="S69" s="44"/>
      <c r="T69" s="44"/>
      <c r="U69" s="44"/>
      <c r="V69" s="44"/>
      <c r="W69" s="44"/>
      <c r="X69" s="44"/>
      <c r="Y69" s="44"/>
      <c r="Z69" s="44"/>
      <c r="AA69" s="44"/>
      <c r="AB69" s="44"/>
      <c r="AC69" s="44"/>
      <c r="AD69" s="44"/>
      <c r="AE69" s="44"/>
    </row>
    <row r="70" spans="1:31" ht="15.75" customHeight="1" thickBot="1" x14ac:dyDescent="0.4">
      <c r="A70" s="47"/>
      <c r="B70" s="1008" t="s">
        <v>64</v>
      </c>
      <c r="C70" s="1009"/>
      <c r="D70" s="1009"/>
      <c r="E70" s="1009"/>
      <c r="F70" s="1009"/>
      <c r="G70" s="1009"/>
      <c r="H70" s="1009"/>
      <c r="I70" s="1009"/>
      <c r="J70" s="1009"/>
      <c r="K70" s="1009"/>
      <c r="L70" s="1010"/>
    </row>
    <row r="71" spans="1:31" ht="15.75" customHeight="1" x14ac:dyDescent="0.35">
      <c r="A71" s="47"/>
      <c r="B71" s="854" t="s">
        <v>1164</v>
      </c>
      <c r="C71" s="855"/>
      <c r="D71" s="855"/>
      <c r="E71" s="855"/>
      <c r="F71" s="855"/>
      <c r="G71" s="855"/>
      <c r="H71" s="855"/>
      <c r="I71" s="855"/>
      <c r="J71" s="855"/>
      <c r="K71" s="855"/>
      <c r="L71" s="856"/>
    </row>
    <row r="72" spans="1:31" ht="15.75" customHeight="1" x14ac:dyDescent="0.35">
      <c r="A72" s="47"/>
      <c r="B72" s="857"/>
      <c r="C72" s="858"/>
      <c r="D72" s="858"/>
      <c r="E72" s="858"/>
      <c r="F72" s="858"/>
      <c r="G72" s="858"/>
      <c r="H72" s="858"/>
      <c r="I72" s="858"/>
      <c r="J72" s="858"/>
      <c r="K72" s="858"/>
      <c r="L72" s="859"/>
    </row>
    <row r="73" spans="1:31" ht="15.75" customHeight="1" thickBot="1" x14ac:dyDescent="0.4">
      <c r="A73" s="47"/>
      <c r="B73" s="860"/>
      <c r="C73" s="861"/>
      <c r="D73" s="861"/>
      <c r="E73" s="861"/>
      <c r="F73" s="861"/>
      <c r="G73" s="861"/>
      <c r="H73" s="861"/>
      <c r="I73" s="861"/>
      <c r="J73" s="861"/>
      <c r="K73" s="861"/>
      <c r="L73" s="862"/>
    </row>
    <row r="74" spans="1:31" s="46" customFormat="1" ht="15" customHeight="1" thickBot="1" x14ac:dyDescent="0.4">
      <c r="A74" s="21"/>
      <c r="B74" s="43"/>
      <c r="C74" s="43"/>
      <c r="D74" s="43"/>
      <c r="E74" s="43"/>
      <c r="F74" s="43"/>
      <c r="G74" s="43"/>
      <c r="H74" s="43"/>
      <c r="I74" s="43"/>
      <c r="J74" s="43"/>
      <c r="K74" s="43"/>
      <c r="L74" s="43"/>
      <c r="M74" s="43"/>
      <c r="N74" s="44"/>
      <c r="O74" s="44"/>
      <c r="P74" s="44"/>
      <c r="Q74" s="44"/>
      <c r="R74" s="44"/>
      <c r="S74" s="44"/>
      <c r="T74" s="44"/>
      <c r="U74" s="44"/>
      <c r="V74" s="44"/>
      <c r="W74" s="44"/>
      <c r="X74" s="44"/>
      <c r="Y74" s="44"/>
      <c r="Z74" s="44"/>
      <c r="AA74" s="44"/>
      <c r="AB74" s="44"/>
      <c r="AC74" s="44"/>
      <c r="AD74" s="44"/>
      <c r="AE74" s="44"/>
    </row>
    <row r="75" spans="1:31" ht="15.75" customHeight="1" thickBot="1" x14ac:dyDescent="0.4">
      <c r="A75" s="47"/>
      <c r="B75" s="1008" t="s">
        <v>65</v>
      </c>
      <c r="C75" s="1009"/>
      <c r="D75" s="1009"/>
      <c r="E75" s="1009"/>
      <c r="F75" s="1009"/>
      <c r="G75" s="1009"/>
      <c r="H75" s="1009"/>
      <c r="I75" s="1009"/>
      <c r="J75" s="1009"/>
      <c r="K75" s="1009"/>
      <c r="L75" s="1010"/>
    </row>
    <row r="76" spans="1:31" ht="15.75" customHeight="1" x14ac:dyDescent="0.35">
      <c r="A76" s="47"/>
      <c r="B76" s="854" t="s">
        <v>499</v>
      </c>
      <c r="C76" s="855"/>
      <c r="D76" s="855"/>
      <c r="E76" s="855"/>
      <c r="F76" s="855"/>
      <c r="G76" s="855"/>
      <c r="H76" s="855"/>
      <c r="I76" s="855"/>
      <c r="J76" s="855"/>
      <c r="K76" s="855"/>
      <c r="L76" s="856"/>
    </row>
    <row r="77" spans="1:31" ht="15.75" customHeight="1" x14ac:dyDescent="0.35">
      <c r="A77" s="47"/>
      <c r="B77" s="857"/>
      <c r="C77" s="858"/>
      <c r="D77" s="858"/>
      <c r="E77" s="858"/>
      <c r="F77" s="858"/>
      <c r="G77" s="858"/>
      <c r="H77" s="858"/>
      <c r="I77" s="858"/>
      <c r="J77" s="858"/>
      <c r="K77" s="858"/>
      <c r="L77" s="859"/>
    </row>
    <row r="78" spans="1:31" ht="15.75" customHeight="1" thickBot="1" x14ac:dyDescent="0.4">
      <c r="A78" s="47"/>
      <c r="B78" s="860"/>
      <c r="C78" s="861"/>
      <c r="D78" s="861"/>
      <c r="E78" s="861"/>
      <c r="F78" s="861"/>
      <c r="G78" s="861"/>
      <c r="H78" s="861"/>
      <c r="I78" s="861"/>
      <c r="J78" s="861"/>
      <c r="K78" s="861"/>
      <c r="L78" s="862"/>
    </row>
    <row r="79" spans="1:31" s="46" customFormat="1" ht="15" customHeight="1" x14ac:dyDescent="0.35">
      <c r="A79" s="21"/>
      <c r="B79" s="43"/>
      <c r="C79" s="43"/>
      <c r="D79" s="43"/>
      <c r="E79" s="43"/>
      <c r="F79" s="43"/>
      <c r="G79" s="43"/>
      <c r="H79" s="43"/>
      <c r="I79" s="43"/>
      <c r="J79" s="43"/>
      <c r="K79" s="43"/>
      <c r="L79" s="43"/>
      <c r="M79" s="43"/>
      <c r="N79" s="44"/>
      <c r="O79" s="44"/>
      <c r="P79" s="44"/>
      <c r="Q79" s="44"/>
      <c r="R79" s="44"/>
      <c r="S79" s="44"/>
      <c r="T79" s="44"/>
      <c r="U79" s="44"/>
      <c r="V79" s="44"/>
      <c r="W79" s="44"/>
      <c r="X79" s="44"/>
      <c r="Y79" s="44"/>
      <c r="Z79" s="44"/>
      <c r="AA79" s="44"/>
      <c r="AB79" s="44"/>
      <c r="AC79" s="44"/>
      <c r="AD79" s="44"/>
      <c r="AE79" s="44"/>
    </row>
    <row r="80" spans="1:31" s="46" customFormat="1" ht="15" customHeight="1" x14ac:dyDescent="0.35">
      <c r="A80" s="21"/>
      <c r="B80" s="43"/>
      <c r="C80" s="43"/>
      <c r="D80" s="43"/>
      <c r="E80" s="43"/>
      <c r="F80" s="43"/>
      <c r="G80" s="43"/>
      <c r="H80" s="43"/>
      <c r="I80" s="43"/>
      <c r="J80" s="43"/>
      <c r="K80" s="43"/>
      <c r="L80" s="43"/>
      <c r="M80" s="43"/>
      <c r="N80" s="44"/>
      <c r="O80" s="44"/>
      <c r="P80" s="44"/>
      <c r="Q80" s="44"/>
      <c r="R80" s="44"/>
      <c r="S80" s="44"/>
      <c r="T80" s="44"/>
      <c r="U80" s="44"/>
      <c r="V80" s="44"/>
      <c r="W80" s="44"/>
      <c r="X80" s="44"/>
      <c r="Y80" s="44"/>
      <c r="Z80" s="44"/>
      <c r="AA80" s="44"/>
      <c r="AB80" s="44"/>
      <c r="AC80" s="44"/>
      <c r="AD80" s="44"/>
      <c r="AE80" s="44"/>
    </row>
    <row r="81" spans="1:31" ht="15.75" customHeight="1" x14ac:dyDescent="0.35">
      <c r="A81" s="47"/>
      <c r="B81" s="826" t="s">
        <v>66</v>
      </c>
      <c r="C81" s="826"/>
      <c r="D81" s="826"/>
      <c r="E81" s="826"/>
      <c r="F81" s="826"/>
      <c r="G81" s="826"/>
      <c r="H81" s="826"/>
      <c r="I81" s="826"/>
      <c r="J81" s="826"/>
      <c r="K81" s="826"/>
      <c r="L81" s="826"/>
    </row>
    <row r="82" spans="1:31" s="46" customFormat="1" ht="15" customHeight="1" x14ac:dyDescent="0.35">
      <c r="A82" s="21"/>
      <c r="B82" s="43"/>
      <c r="C82" s="43"/>
      <c r="D82" s="43"/>
      <c r="E82" s="43"/>
      <c r="F82" s="43"/>
      <c r="G82" s="43"/>
      <c r="H82" s="43"/>
      <c r="I82" s="43"/>
      <c r="J82" s="43"/>
      <c r="K82" s="43"/>
      <c r="L82" s="43"/>
      <c r="M82" s="43"/>
      <c r="N82" s="44"/>
      <c r="O82" s="44"/>
      <c r="P82" s="44"/>
      <c r="Q82" s="44"/>
      <c r="R82" s="44"/>
      <c r="S82" s="44"/>
      <c r="T82" s="44"/>
      <c r="U82" s="44"/>
      <c r="V82" s="44"/>
      <c r="W82" s="44"/>
      <c r="X82" s="44"/>
      <c r="Y82" s="44"/>
      <c r="Z82" s="44"/>
      <c r="AA82" s="44"/>
      <c r="AB82" s="44"/>
      <c r="AC82" s="44"/>
      <c r="AD82" s="44"/>
      <c r="AE82" s="44"/>
    </row>
    <row r="83" spans="1:31" ht="15.75" customHeight="1" x14ac:dyDescent="0.35">
      <c r="A83" s="47"/>
      <c r="B83" s="863" t="s">
        <v>67</v>
      </c>
      <c r="C83" s="863"/>
      <c r="D83" s="863"/>
      <c r="E83" s="863"/>
      <c r="F83" s="863"/>
      <c r="G83" s="863"/>
      <c r="H83" s="863"/>
      <c r="I83" s="863"/>
      <c r="J83" s="863"/>
      <c r="K83" s="863"/>
      <c r="L83" s="863"/>
    </row>
    <row r="84" spans="1:31" s="46" customFormat="1" ht="15" customHeight="1" x14ac:dyDescent="0.35">
      <c r="A84" s="21"/>
      <c r="B84" s="43"/>
      <c r="C84" s="43"/>
      <c r="D84" s="43"/>
      <c r="E84" s="43"/>
      <c r="F84" s="43"/>
      <c r="G84" s="43"/>
      <c r="H84" s="43"/>
      <c r="I84" s="43"/>
      <c r="J84" s="43"/>
      <c r="K84" s="43"/>
      <c r="L84" s="43"/>
      <c r="M84" s="43"/>
      <c r="N84" s="44"/>
      <c r="O84" s="44"/>
      <c r="P84" s="44"/>
      <c r="Q84" s="44"/>
      <c r="R84" s="44"/>
      <c r="S84" s="44"/>
      <c r="T84" s="44"/>
      <c r="U84" s="44"/>
      <c r="V84" s="44"/>
      <c r="W84" s="44"/>
      <c r="X84" s="44"/>
      <c r="Y84" s="44"/>
      <c r="Z84" s="44"/>
      <c r="AA84" s="44"/>
      <c r="AB84" s="44"/>
      <c r="AC84" s="44"/>
      <c r="AD84" s="44"/>
      <c r="AE84" s="44"/>
    </row>
    <row r="85" spans="1:31" ht="15.75" customHeight="1" x14ac:dyDescent="0.35">
      <c r="A85" s="47"/>
      <c r="B85" s="59" t="s">
        <v>68</v>
      </c>
      <c r="C85" s="906" t="s">
        <v>485</v>
      </c>
      <c r="D85" s="886"/>
      <c r="E85" s="887"/>
      <c r="F85" s="48"/>
      <c r="G85" s="48"/>
      <c r="H85" s="48"/>
      <c r="I85" s="48"/>
      <c r="J85" s="48"/>
      <c r="K85" s="48"/>
      <c r="L85" s="48"/>
    </row>
    <row r="86" spans="1:31" ht="3.75" customHeight="1" x14ac:dyDescent="0.35">
      <c r="A86" s="47"/>
      <c r="B86" s="61"/>
      <c r="C86" s="48"/>
      <c r="D86" s="48"/>
      <c r="E86" s="48"/>
      <c r="F86" s="48"/>
      <c r="G86" s="48"/>
      <c r="H86" s="48"/>
      <c r="I86" s="48"/>
      <c r="J86" s="48"/>
      <c r="K86" s="48"/>
      <c r="L86" s="48"/>
    </row>
    <row r="87" spans="1:31" ht="15.75" customHeight="1" x14ac:dyDescent="0.35">
      <c r="A87" s="47"/>
      <c r="B87" s="62" t="s">
        <v>69</v>
      </c>
      <c r="C87" s="906" t="s">
        <v>485</v>
      </c>
      <c r="D87" s="886"/>
      <c r="E87" s="887"/>
      <c r="H87" s="62" t="s">
        <v>70</v>
      </c>
      <c r="I87" s="906" t="s">
        <v>485</v>
      </c>
      <c r="J87" s="886"/>
      <c r="K87" s="886"/>
      <c r="L87" s="887"/>
    </row>
    <row r="88" spans="1:31" ht="3.75" customHeight="1" x14ac:dyDescent="0.35">
      <c r="A88" s="47"/>
      <c r="B88" s="61"/>
      <c r="C88" s="48"/>
      <c r="D88" s="48"/>
      <c r="E88" s="48"/>
      <c r="H88" s="61"/>
      <c r="I88" s="48"/>
      <c r="J88" s="48"/>
      <c r="K88" s="48"/>
      <c r="L88" s="48"/>
    </row>
    <row r="89" spans="1:31" ht="15.75" customHeight="1" x14ac:dyDescent="0.35">
      <c r="A89" s="47"/>
      <c r="B89" s="62" t="s">
        <v>71</v>
      </c>
      <c r="C89" s="906" t="s">
        <v>485</v>
      </c>
      <c r="D89" s="886"/>
      <c r="E89" s="887"/>
      <c r="H89" s="62" t="s">
        <v>72</v>
      </c>
      <c r="I89" s="906" t="s">
        <v>485</v>
      </c>
      <c r="J89" s="886"/>
      <c r="K89" s="886"/>
      <c r="L89" s="887"/>
    </row>
    <row r="90" spans="1:31" ht="3.75" customHeight="1" x14ac:dyDescent="0.35">
      <c r="A90" s="47"/>
      <c r="B90" s="61"/>
      <c r="C90" s="48"/>
      <c r="D90" s="48"/>
      <c r="E90" s="48"/>
      <c r="H90" s="61"/>
      <c r="I90" s="48"/>
      <c r="J90" s="48"/>
      <c r="K90" s="48"/>
      <c r="L90" s="48"/>
    </row>
    <row r="91" spans="1:31" ht="15.75" customHeight="1" x14ac:dyDescent="0.35">
      <c r="A91" s="47"/>
      <c r="B91" s="62" t="s">
        <v>73</v>
      </c>
      <c r="C91" s="906" t="s">
        <v>485</v>
      </c>
      <c r="D91" s="886"/>
      <c r="E91" s="887"/>
      <c r="H91" s="62" t="s">
        <v>74</v>
      </c>
      <c r="I91" s="906" t="s">
        <v>485</v>
      </c>
      <c r="J91" s="886"/>
      <c r="K91" s="886"/>
      <c r="L91" s="887"/>
    </row>
    <row r="92" spans="1:31" ht="3.75" customHeight="1" x14ac:dyDescent="0.35">
      <c r="A92" s="47"/>
      <c r="B92" s="61"/>
      <c r="C92" s="48"/>
      <c r="D92" s="48"/>
      <c r="E92" s="48"/>
      <c r="F92" s="48"/>
      <c r="G92" s="48"/>
      <c r="H92" s="48"/>
      <c r="I92" s="48"/>
      <c r="J92" s="48"/>
      <c r="K92" s="48"/>
      <c r="L92" s="48"/>
    </row>
    <row r="93" spans="1:31" ht="15.75" customHeight="1" x14ac:dyDescent="0.35">
      <c r="A93" s="47"/>
      <c r="B93" s="62" t="s">
        <v>75</v>
      </c>
      <c r="C93" s="906" t="s">
        <v>485</v>
      </c>
      <c r="D93" s="886"/>
      <c r="E93" s="887"/>
      <c r="F93" s="48"/>
      <c r="G93" s="48"/>
      <c r="H93" s="62" t="s">
        <v>76</v>
      </c>
      <c r="I93" s="906" t="s">
        <v>485</v>
      </c>
      <c r="J93" s="886"/>
      <c r="K93" s="886"/>
      <c r="L93" s="887"/>
    </row>
    <row r="94" spans="1:31" ht="3.75" customHeight="1" x14ac:dyDescent="0.35">
      <c r="A94" s="47"/>
      <c r="B94" s="61"/>
      <c r="C94" s="48"/>
      <c r="D94" s="48"/>
      <c r="E94" s="48"/>
      <c r="F94" s="48"/>
      <c r="G94" s="48"/>
      <c r="H94" s="48"/>
      <c r="I94" s="48"/>
      <c r="J94" s="48"/>
      <c r="K94" s="48"/>
      <c r="L94" s="48"/>
    </row>
    <row r="95" spans="1:31" ht="15.75" customHeight="1" x14ac:dyDescent="0.35">
      <c r="A95" s="47"/>
      <c r="B95" s="59" t="s">
        <v>77</v>
      </c>
      <c r="C95" s="906" t="s">
        <v>485</v>
      </c>
      <c r="D95" s="886"/>
      <c r="E95" s="887"/>
      <c r="F95" s="48"/>
      <c r="G95" s="48"/>
      <c r="H95" s="48"/>
      <c r="I95" s="48"/>
      <c r="J95" s="48"/>
      <c r="K95" s="48"/>
      <c r="L95" s="48"/>
    </row>
    <row r="96" spans="1:31" ht="3.75" customHeight="1" x14ac:dyDescent="0.35">
      <c r="A96" s="47"/>
      <c r="B96" s="61"/>
      <c r="C96" s="48"/>
      <c r="D96" s="48"/>
      <c r="E96" s="48"/>
      <c r="F96" s="48"/>
      <c r="G96" s="48"/>
      <c r="H96" s="48"/>
      <c r="I96" s="48"/>
      <c r="J96" s="48"/>
      <c r="K96" s="48"/>
      <c r="L96" s="48"/>
    </row>
    <row r="97" spans="1:31" ht="15.75" customHeight="1" x14ac:dyDescent="0.35">
      <c r="A97" s="47"/>
      <c r="B97" s="62" t="s">
        <v>69</v>
      </c>
      <c r="C97" s="906" t="s">
        <v>485</v>
      </c>
      <c r="D97" s="886"/>
      <c r="E97" s="887"/>
      <c r="H97" s="62" t="s">
        <v>70</v>
      </c>
      <c r="I97" s="906" t="s">
        <v>485</v>
      </c>
      <c r="J97" s="886"/>
      <c r="K97" s="886"/>
      <c r="L97" s="887"/>
    </row>
    <row r="98" spans="1:31" ht="3.75" customHeight="1" x14ac:dyDescent="0.35">
      <c r="A98" s="47"/>
      <c r="B98" s="61"/>
      <c r="C98" s="48"/>
      <c r="D98" s="48"/>
      <c r="E98" s="48"/>
      <c r="H98" s="61"/>
      <c r="I98" s="48"/>
      <c r="J98" s="48"/>
      <c r="K98" s="48"/>
      <c r="L98" s="48"/>
    </row>
    <row r="99" spans="1:31" ht="15.75" customHeight="1" x14ac:dyDescent="0.35">
      <c r="A99" s="47"/>
      <c r="B99" s="62" t="s">
        <v>71</v>
      </c>
      <c r="C99" s="906" t="s">
        <v>485</v>
      </c>
      <c r="D99" s="886"/>
      <c r="E99" s="887"/>
      <c r="H99" s="62" t="s">
        <v>72</v>
      </c>
      <c r="I99" s="906" t="s">
        <v>485</v>
      </c>
      <c r="J99" s="886"/>
      <c r="K99" s="886"/>
      <c r="L99" s="887"/>
    </row>
    <row r="100" spans="1:31" ht="3.75" customHeight="1" x14ac:dyDescent="0.35">
      <c r="A100" s="47"/>
      <c r="B100" s="61"/>
      <c r="C100" s="48"/>
      <c r="D100" s="48"/>
      <c r="E100" s="48"/>
      <c r="H100" s="61"/>
      <c r="I100" s="48"/>
      <c r="J100" s="48"/>
      <c r="K100" s="48"/>
      <c r="L100" s="48"/>
    </row>
    <row r="101" spans="1:31" ht="15.75" customHeight="1" x14ac:dyDescent="0.35">
      <c r="A101" s="47"/>
      <c r="B101" s="62" t="s">
        <v>73</v>
      </c>
      <c r="C101" s="906" t="s">
        <v>485</v>
      </c>
      <c r="D101" s="886"/>
      <c r="E101" s="887"/>
      <c r="H101" s="62" t="s">
        <v>74</v>
      </c>
      <c r="I101" s="906" t="s">
        <v>485</v>
      </c>
      <c r="J101" s="886"/>
      <c r="K101" s="886"/>
      <c r="L101" s="887"/>
    </row>
    <row r="102" spans="1:31" ht="3.75" customHeight="1" x14ac:dyDescent="0.35">
      <c r="A102" s="47"/>
      <c r="B102" s="61"/>
      <c r="C102" s="48"/>
      <c r="D102" s="48"/>
      <c r="E102" s="48"/>
      <c r="F102" s="48"/>
      <c r="G102" s="48"/>
      <c r="H102" s="48"/>
      <c r="I102" s="48"/>
      <c r="J102" s="48"/>
      <c r="K102" s="48"/>
      <c r="L102" s="48"/>
    </row>
    <row r="103" spans="1:31" ht="15.75" customHeight="1" x14ac:dyDescent="0.35">
      <c r="A103" s="47"/>
      <c r="B103" s="62" t="s">
        <v>75</v>
      </c>
      <c r="C103" s="906" t="s">
        <v>485</v>
      </c>
      <c r="D103" s="886"/>
      <c r="E103" s="887"/>
      <c r="F103" s="48"/>
      <c r="G103" s="48"/>
      <c r="H103" s="62" t="s">
        <v>76</v>
      </c>
      <c r="I103" s="906" t="s">
        <v>485</v>
      </c>
      <c r="J103" s="886"/>
      <c r="K103" s="886"/>
      <c r="L103" s="887"/>
    </row>
    <row r="104" spans="1:31" s="46" customFormat="1" ht="15" customHeight="1" x14ac:dyDescent="0.35">
      <c r="A104" s="21"/>
      <c r="B104" s="43"/>
      <c r="C104" s="43"/>
      <c r="D104" s="43"/>
      <c r="E104" s="43"/>
      <c r="F104" s="43"/>
      <c r="G104" s="43"/>
      <c r="H104" s="43"/>
      <c r="I104" s="43"/>
      <c r="J104" s="43"/>
      <c r="K104" s="43"/>
      <c r="L104" s="43"/>
      <c r="M104" s="43"/>
      <c r="N104" s="44"/>
      <c r="O104" s="44"/>
      <c r="P104" s="44"/>
      <c r="Q104" s="44"/>
      <c r="R104" s="44"/>
      <c r="S104" s="44"/>
      <c r="T104" s="44"/>
      <c r="U104" s="44"/>
      <c r="V104" s="44"/>
      <c r="W104" s="44"/>
      <c r="X104" s="44"/>
      <c r="Y104" s="44"/>
      <c r="Z104" s="44"/>
      <c r="AA104" s="44"/>
      <c r="AB104" s="44"/>
      <c r="AC104" s="44"/>
      <c r="AD104" s="44"/>
      <c r="AE104" s="44"/>
    </row>
    <row r="105" spans="1:31" ht="3.75" customHeight="1" x14ac:dyDescent="0.35">
      <c r="A105" s="47"/>
      <c r="B105" s="61"/>
      <c r="C105" s="48"/>
      <c r="D105" s="48"/>
      <c r="E105" s="48"/>
      <c r="F105" s="48"/>
      <c r="G105" s="48"/>
      <c r="H105" s="48"/>
      <c r="I105" s="48"/>
      <c r="J105" s="48"/>
      <c r="K105" s="48"/>
      <c r="L105" s="48"/>
    </row>
    <row r="106" spans="1:31" ht="15.75" customHeight="1" x14ac:dyDescent="0.35">
      <c r="A106" s="47"/>
      <c r="B106" s="863" t="s">
        <v>78</v>
      </c>
      <c r="C106" s="863"/>
      <c r="D106" s="863"/>
      <c r="E106" s="863"/>
      <c r="F106" s="863"/>
      <c r="G106" s="863"/>
      <c r="H106" s="863"/>
      <c r="I106" s="863"/>
      <c r="J106" s="863"/>
      <c r="K106" s="863"/>
      <c r="L106" s="863"/>
    </row>
    <row r="107" spans="1:31" s="46" customFormat="1" ht="15" customHeight="1" x14ac:dyDescent="0.35">
      <c r="A107" s="21"/>
      <c r="B107" s="43"/>
      <c r="C107" s="43"/>
      <c r="D107" s="43"/>
      <c r="E107" s="43"/>
      <c r="F107" s="43"/>
      <c r="G107" s="43"/>
      <c r="H107" s="43"/>
      <c r="I107" s="43"/>
      <c r="J107" s="43"/>
      <c r="K107" s="43"/>
      <c r="L107" s="43"/>
      <c r="M107" s="43"/>
      <c r="N107" s="44"/>
      <c r="O107" s="44"/>
      <c r="P107" s="44"/>
      <c r="Q107" s="44"/>
      <c r="R107" s="44"/>
      <c r="S107" s="44"/>
      <c r="T107" s="44"/>
      <c r="U107" s="44"/>
      <c r="V107" s="44"/>
      <c r="W107" s="44"/>
      <c r="X107" s="44"/>
      <c r="Y107" s="44"/>
      <c r="Z107" s="44"/>
      <c r="AA107" s="44"/>
      <c r="AB107" s="44"/>
      <c r="AC107" s="44"/>
      <c r="AD107" s="44"/>
      <c r="AE107" s="44"/>
    </row>
    <row r="108" spans="1:31" ht="3.75" customHeight="1" x14ac:dyDescent="0.35">
      <c r="A108" s="47"/>
      <c r="C108" s="48"/>
      <c r="D108" s="48"/>
      <c r="E108" s="48"/>
      <c r="F108" s="48"/>
      <c r="G108" s="48"/>
      <c r="H108" s="48"/>
      <c r="I108" s="48"/>
      <c r="J108" s="48"/>
      <c r="K108" s="48"/>
      <c r="L108" s="48"/>
    </row>
    <row r="109" spans="1:31" ht="15.75" customHeight="1" x14ac:dyDescent="0.35">
      <c r="A109" s="47"/>
      <c r="B109" s="59" t="s">
        <v>79</v>
      </c>
      <c r="C109" s="906" t="s">
        <v>479</v>
      </c>
      <c r="D109" s="886"/>
      <c r="E109" s="887"/>
      <c r="F109" s="48"/>
      <c r="G109" s="48"/>
      <c r="H109" s="48"/>
      <c r="I109" s="48"/>
      <c r="J109" s="48"/>
      <c r="K109" s="48"/>
      <c r="L109" s="48"/>
    </row>
    <row r="110" spans="1:31" ht="3.75" customHeight="1" x14ac:dyDescent="0.35">
      <c r="A110" s="47"/>
      <c r="C110" s="48"/>
      <c r="D110" s="48"/>
      <c r="E110" s="48"/>
      <c r="F110" s="48"/>
      <c r="G110" s="48"/>
      <c r="H110" s="48"/>
      <c r="I110" s="48"/>
      <c r="J110" s="48"/>
      <c r="K110" s="48"/>
      <c r="L110" s="48"/>
    </row>
    <row r="111" spans="1:31" ht="15.75" customHeight="1" x14ac:dyDescent="0.35">
      <c r="A111" s="47"/>
      <c r="B111" s="62" t="s">
        <v>80</v>
      </c>
      <c r="C111" s="906" t="s">
        <v>480</v>
      </c>
      <c r="D111" s="886"/>
      <c r="E111" s="887"/>
      <c r="H111" s="62" t="s">
        <v>486</v>
      </c>
      <c r="I111" s="1002">
        <v>180000000</v>
      </c>
      <c r="J111" s="1003"/>
      <c r="K111" s="1003"/>
      <c r="L111" s="1004"/>
      <c r="P111" s="367"/>
    </row>
    <row r="112" spans="1:31" ht="3.75" customHeight="1" x14ac:dyDescent="0.35">
      <c r="A112" s="47"/>
      <c r="B112" s="61"/>
      <c r="C112" s="48"/>
      <c r="D112" s="48"/>
      <c r="E112" s="48"/>
      <c r="H112" s="61"/>
      <c r="I112" s="48"/>
      <c r="J112" s="48"/>
      <c r="K112" s="48"/>
      <c r="L112" s="48"/>
    </row>
    <row r="113" spans="1:31" ht="15.75" customHeight="1" x14ac:dyDescent="0.35">
      <c r="A113" s="47"/>
      <c r="B113" s="63" t="s">
        <v>81</v>
      </c>
      <c r="C113" s="906" t="s">
        <v>481</v>
      </c>
      <c r="D113" s="886"/>
      <c r="E113" s="887"/>
      <c r="H113" s="63" t="s">
        <v>82</v>
      </c>
      <c r="I113" s="1005" t="s">
        <v>483</v>
      </c>
      <c r="J113" s="1006"/>
      <c r="K113" s="1006"/>
      <c r="L113" s="1007"/>
    </row>
    <row r="114" spans="1:31" ht="3.75" customHeight="1" x14ac:dyDescent="0.35">
      <c r="A114" s="47"/>
      <c r="B114" s="61"/>
      <c r="C114" s="48"/>
      <c r="D114" s="48"/>
      <c r="E114" s="48"/>
      <c r="H114" s="61"/>
      <c r="I114" s="48"/>
      <c r="J114" s="48"/>
      <c r="K114" s="48"/>
      <c r="L114" s="48"/>
    </row>
    <row r="115" spans="1:31" ht="15.75" customHeight="1" x14ac:dyDescent="0.35">
      <c r="A115" s="47"/>
      <c r="B115" s="62" t="s">
        <v>83</v>
      </c>
      <c r="C115" s="906" t="s">
        <v>478</v>
      </c>
      <c r="D115" s="886"/>
      <c r="E115" s="887"/>
      <c r="H115" s="62" t="s">
        <v>84</v>
      </c>
      <c r="I115" s="1005" t="s">
        <v>484</v>
      </c>
      <c r="J115" s="1006"/>
      <c r="K115" s="1006"/>
      <c r="L115" s="1007"/>
    </row>
    <row r="116" spans="1:31" ht="3.75" customHeight="1" x14ac:dyDescent="0.35">
      <c r="A116" s="47"/>
      <c r="B116" s="61"/>
      <c r="C116" s="48"/>
      <c r="D116" s="48"/>
      <c r="E116" s="48"/>
      <c r="F116" s="48"/>
      <c r="G116" s="48"/>
      <c r="H116" s="48"/>
      <c r="I116" s="48"/>
      <c r="J116" s="48"/>
      <c r="K116" s="48"/>
      <c r="L116" s="48"/>
    </row>
    <row r="117" spans="1:31" ht="15.75" customHeight="1" x14ac:dyDescent="0.35">
      <c r="A117" s="47"/>
      <c r="B117" s="63" t="s">
        <v>85</v>
      </c>
      <c r="C117" s="906">
        <v>23</v>
      </c>
      <c r="D117" s="886"/>
      <c r="E117" s="887"/>
      <c r="F117" s="48"/>
      <c r="G117" s="48"/>
      <c r="H117" s="61"/>
      <c r="I117" s="997"/>
      <c r="J117" s="811"/>
      <c r="K117" s="811"/>
      <c r="L117" s="811"/>
    </row>
    <row r="118" spans="1:31" ht="3.75" customHeight="1" x14ac:dyDescent="0.35">
      <c r="A118" s="47"/>
      <c r="B118" s="61"/>
      <c r="C118" s="48"/>
      <c r="D118" s="48"/>
      <c r="E118" s="48"/>
      <c r="F118" s="48"/>
      <c r="G118" s="48"/>
      <c r="H118" s="48"/>
      <c r="I118" s="48"/>
      <c r="J118" s="48"/>
      <c r="K118" s="48"/>
      <c r="L118" s="48"/>
    </row>
    <row r="119" spans="1:31" ht="15.75" customHeight="1" x14ac:dyDescent="0.35">
      <c r="A119" s="47"/>
      <c r="B119" s="59" t="s">
        <v>86</v>
      </c>
      <c r="C119" s="906" t="s">
        <v>487</v>
      </c>
      <c r="D119" s="886"/>
      <c r="E119" s="887"/>
      <c r="F119" s="48"/>
      <c r="G119" s="48"/>
      <c r="H119" s="48"/>
      <c r="I119" s="48"/>
      <c r="J119" s="48"/>
      <c r="K119" s="48"/>
      <c r="L119" s="48"/>
    </row>
    <row r="120" spans="1:31" ht="3.75" customHeight="1" x14ac:dyDescent="0.35">
      <c r="A120" s="47"/>
      <c r="C120" s="48"/>
      <c r="D120" s="48"/>
      <c r="E120" s="48"/>
      <c r="F120" s="48"/>
      <c r="G120" s="48"/>
      <c r="H120" s="48"/>
      <c r="I120" s="48"/>
      <c r="J120" s="48"/>
      <c r="K120" s="48"/>
      <c r="L120" s="48"/>
    </row>
    <row r="121" spans="1:31" ht="15.75" customHeight="1" x14ac:dyDescent="0.35">
      <c r="A121" s="47"/>
      <c r="B121" s="62" t="s">
        <v>80</v>
      </c>
      <c r="C121" s="906" t="s">
        <v>488</v>
      </c>
      <c r="D121" s="886"/>
      <c r="E121" s="887"/>
      <c r="H121" s="62" t="s">
        <v>486</v>
      </c>
      <c r="I121" s="1002">
        <v>590000000</v>
      </c>
      <c r="J121" s="1003"/>
      <c r="K121" s="1003"/>
      <c r="L121" s="1004"/>
    </row>
    <row r="122" spans="1:31" ht="3.75" customHeight="1" x14ac:dyDescent="0.35">
      <c r="A122" s="47"/>
      <c r="B122" s="61"/>
      <c r="C122" s="48"/>
      <c r="D122" s="48"/>
      <c r="E122" s="48"/>
      <c r="H122" s="61"/>
      <c r="I122" s="48"/>
      <c r="J122" s="48"/>
      <c r="K122" s="48"/>
      <c r="L122" s="48"/>
    </row>
    <row r="123" spans="1:31" ht="15.75" customHeight="1" x14ac:dyDescent="0.35">
      <c r="A123" s="47"/>
      <c r="B123" s="63" t="s">
        <v>81</v>
      </c>
      <c r="C123" s="906" t="s">
        <v>489</v>
      </c>
      <c r="D123" s="886"/>
      <c r="E123" s="887"/>
      <c r="H123" s="63" t="s">
        <v>82</v>
      </c>
      <c r="I123" s="1005" t="s">
        <v>482</v>
      </c>
      <c r="J123" s="1006"/>
      <c r="K123" s="1006"/>
      <c r="L123" s="1007"/>
    </row>
    <row r="124" spans="1:31" ht="3.75" customHeight="1" x14ac:dyDescent="0.35">
      <c r="A124" s="47"/>
      <c r="B124" s="61"/>
      <c r="C124" s="48"/>
      <c r="D124" s="48"/>
      <c r="E124" s="48"/>
      <c r="H124" s="61"/>
      <c r="I124" s="48"/>
      <c r="J124" s="48"/>
      <c r="K124" s="48"/>
      <c r="L124" s="48"/>
    </row>
    <row r="125" spans="1:31" ht="15.75" customHeight="1" x14ac:dyDescent="0.35">
      <c r="A125" s="47"/>
      <c r="B125" s="62" t="s">
        <v>83</v>
      </c>
      <c r="C125" s="906" t="s">
        <v>490</v>
      </c>
      <c r="D125" s="886"/>
      <c r="E125" s="887"/>
      <c r="H125" s="62" t="s">
        <v>84</v>
      </c>
      <c r="I125" s="1005" t="s">
        <v>491</v>
      </c>
      <c r="J125" s="1006"/>
      <c r="K125" s="1006"/>
      <c r="L125" s="1007"/>
    </row>
    <row r="126" spans="1:31" ht="3.75" customHeight="1" x14ac:dyDescent="0.35">
      <c r="A126" s="47"/>
      <c r="B126" s="61"/>
      <c r="C126" s="48"/>
      <c r="D126" s="48"/>
      <c r="E126" s="48"/>
      <c r="F126" s="48"/>
      <c r="G126" s="48"/>
      <c r="H126" s="48"/>
      <c r="I126" s="48"/>
      <c r="J126" s="48"/>
      <c r="K126" s="48"/>
      <c r="L126" s="48"/>
    </row>
    <row r="127" spans="1:31" ht="15.75" customHeight="1" x14ac:dyDescent="0.35">
      <c r="A127" s="47"/>
      <c r="B127" s="63" t="s">
        <v>85</v>
      </c>
      <c r="C127" s="906">
        <v>58</v>
      </c>
      <c r="D127" s="886"/>
      <c r="E127" s="887"/>
      <c r="F127" s="48"/>
      <c r="G127" s="48"/>
      <c r="H127" s="61"/>
      <c r="I127" s="997"/>
      <c r="J127" s="811"/>
      <c r="K127" s="811"/>
      <c r="L127" s="811"/>
    </row>
    <row r="128" spans="1:31" s="46" customFormat="1" ht="15" customHeight="1" x14ac:dyDescent="0.35">
      <c r="A128" s="21"/>
      <c r="B128" s="43"/>
      <c r="C128" s="43"/>
      <c r="D128" s="43"/>
      <c r="E128" s="43"/>
      <c r="F128" s="43"/>
      <c r="G128" s="43"/>
      <c r="H128" s="43"/>
      <c r="I128" s="43"/>
      <c r="J128" s="43"/>
      <c r="K128" s="43"/>
      <c r="L128" s="43"/>
      <c r="M128" s="43"/>
      <c r="N128" s="44"/>
      <c r="O128" s="44"/>
      <c r="P128" s="44"/>
      <c r="Q128" s="44"/>
      <c r="R128" s="44"/>
      <c r="S128" s="44"/>
      <c r="T128" s="44"/>
      <c r="U128" s="44"/>
      <c r="V128" s="44"/>
      <c r="W128" s="44"/>
      <c r="X128" s="44"/>
      <c r="Y128" s="44"/>
      <c r="Z128" s="44"/>
      <c r="AA128" s="44"/>
      <c r="AB128" s="44"/>
      <c r="AC128" s="44"/>
      <c r="AD128" s="44"/>
      <c r="AE128" s="44"/>
    </row>
    <row r="129" spans="1:31" s="46" customFormat="1" ht="15" customHeight="1" x14ac:dyDescent="0.35">
      <c r="A129" s="21"/>
      <c r="B129" s="43"/>
      <c r="C129" s="43"/>
      <c r="D129" s="43"/>
      <c r="E129" s="43"/>
      <c r="F129" s="43"/>
      <c r="G129" s="43"/>
      <c r="H129" s="43"/>
      <c r="I129" s="43"/>
      <c r="J129" s="43"/>
      <c r="K129" s="43"/>
      <c r="L129" s="43"/>
      <c r="M129" s="43"/>
      <c r="N129" s="44"/>
      <c r="O129" s="44"/>
      <c r="P129" s="44"/>
      <c r="Q129" s="44"/>
      <c r="R129" s="44"/>
      <c r="S129" s="44"/>
      <c r="T129" s="44"/>
      <c r="U129" s="44"/>
      <c r="V129" s="44"/>
      <c r="W129" s="44"/>
      <c r="X129" s="44"/>
      <c r="Y129" s="44"/>
      <c r="Z129" s="44"/>
      <c r="AA129" s="44"/>
      <c r="AB129" s="44"/>
      <c r="AC129" s="44"/>
      <c r="AD129" s="44"/>
      <c r="AE129" s="44"/>
    </row>
    <row r="130" spans="1:31" ht="15.75" customHeight="1" x14ac:dyDescent="0.35">
      <c r="A130" s="47"/>
      <c r="B130" s="826" t="s">
        <v>87</v>
      </c>
      <c r="C130" s="826"/>
      <c r="D130" s="826"/>
      <c r="E130" s="826"/>
      <c r="F130" s="826"/>
      <c r="G130" s="826"/>
      <c r="H130" s="826"/>
      <c r="I130" s="826"/>
      <c r="J130" s="826"/>
      <c r="K130" s="826"/>
      <c r="L130" s="826"/>
    </row>
    <row r="131" spans="1:31" s="46" customFormat="1" ht="15" customHeight="1" x14ac:dyDescent="0.35">
      <c r="A131" s="21"/>
      <c r="B131" s="43"/>
      <c r="C131" s="43"/>
      <c r="D131" s="43"/>
      <c r="E131" s="43"/>
      <c r="F131" s="43"/>
      <c r="G131" s="43"/>
      <c r="H131" s="43"/>
      <c r="I131" s="43"/>
      <c r="J131" s="43"/>
      <c r="K131" s="43"/>
      <c r="L131" s="43"/>
      <c r="M131" s="43"/>
      <c r="N131" s="44"/>
      <c r="O131" s="44"/>
      <c r="P131" s="44"/>
      <c r="Q131" s="44"/>
      <c r="R131" s="44"/>
      <c r="S131" s="44"/>
      <c r="T131" s="44"/>
      <c r="U131" s="44"/>
      <c r="V131" s="44"/>
      <c r="W131" s="44"/>
      <c r="X131" s="44"/>
      <c r="Y131" s="44"/>
      <c r="Z131" s="44"/>
      <c r="AA131" s="44"/>
      <c r="AB131" s="44"/>
      <c r="AC131" s="44"/>
      <c r="AD131" s="44"/>
      <c r="AE131" s="44"/>
    </row>
    <row r="132" spans="1:31" ht="15.75" customHeight="1" x14ac:dyDescent="0.35">
      <c r="A132" s="47"/>
      <c r="B132" s="863" t="s">
        <v>88</v>
      </c>
      <c r="C132" s="863"/>
      <c r="D132" s="863"/>
      <c r="E132" s="863"/>
      <c r="F132" s="863"/>
      <c r="G132" s="863"/>
      <c r="H132" s="863"/>
      <c r="I132" s="863"/>
      <c r="J132" s="863"/>
      <c r="K132" s="863"/>
      <c r="L132" s="863"/>
    </row>
    <row r="133" spans="1:31" s="46" customFormat="1" ht="15" customHeight="1" x14ac:dyDescent="0.35">
      <c r="A133" s="21"/>
      <c r="B133" s="43"/>
      <c r="C133" s="43"/>
      <c r="D133" s="43"/>
      <c r="E133" s="43"/>
      <c r="F133" s="43"/>
      <c r="G133" s="43"/>
      <c r="H133" s="43"/>
      <c r="I133" s="43"/>
      <c r="J133" s="43"/>
      <c r="K133" s="43"/>
      <c r="L133" s="43"/>
      <c r="M133" s="43"/>
      <c r="N133" s="44"/>
      <c r="O133" s="44"/>
      <c r="P133" s="44"/>
      <c r="Q133" s="44"/>
      <c r="R133" s="44"/>
      <c r="S133" s="44"/>
      <c r="T133" s="44"/>
      <c r="U133" s="44"/>
      <c r="V133" s="44"/>
      <c r="W133" s="44"/>
      <c r="X133" s="44"/>
      <c r="Y133" s="44"/>
      <c r="Z133" s="44"/>
      <c r="AA133" s="44"/>
      <c r="AB133" s="44"/>
      <c r="AC133" s="44"/>
      <c r="AD133" s="44"/>
      <c r="AE133" s="44"/>
    </row>
    <row r="134" spans="1:31" ht="15.75" customHeight="1" x14ac:dyDescent="0.35">
      <c r="A134" s="47"/>
      <c r="B134" s="64" t="s">
        <v>89</v>
      </c>
      <c r="C134" s="906" t="s">
        <v>162</v>
      </c>
      <c r="D134" s="998"/>
      <c r="E134" s="998"/>
      <c r="F134" s="998"/>
      <c r="G134" s="998"/>
      <c r="H134" s="998"/>
      <c r="I134" s="998"/>
      <c r="J134" s="998"/>
      <c r="K134" s="998"/>
      <c r="L134" s="999"/>
    </row>
    <row r="135" spans="1:31" ht="3.75" customHeight="1" x14ac:dyDescent="0.35">
      <c r="A135" s="47"/>
      <c r="B135" s="51"/>
      <c r="C135" s="48"/>
      <c r="D135" s="48"/>
      <c r="E135" s="48"/>
      <c r="F135" s="48"/>
      <c r="G135" s="48"/>
      <c r="H135" s="48"/>
      <c r="I135" s="48"/>
      <c r="J135" s="48"/>
      <c r="K135" s="48"/>
      <c r="L135" s="48"/>
    </row>
    <row r="136" spans="1:31" ht="15.75" customHeight="1" x14ac:dyDescent="0.35">
      <c r="A136" s="47"/>
      <c r="B136" s="62" t="s">
        <v>90</v>
      </c>
      <c r="C136" s="1000" t="s">
        <v>163</v>
      </c>
      <c r="D136" s="1000"/>
      <c r="E136" s="1000"/>
      <c r="F136" s="1000"/>
      <c r="G136" s="1000"/>
      <c r="H136" s="1000"/>
      <c r="I136" s="1000"/>
      <c r="J136" s="1000"/>
      <c r="K136" s="1000"/>
      <c r="L136" s="1001"/>
    </row>
    <row r="137" spans="1:31" ht="3.75" customHeight="1" x14ac:dyDescent="0.35">
      <c r="A137" s="47"/>
      <c r="B137" s="51"/>
      <c r="C137" s="51"/>
      <c r="D137" s="56"/>
      <c r="E137" s="56"/>
      <c r="F137" s="56"/>
      <c r="G137" s="56"/>
      <c r="H137" s="56"/>
      <c r="I137" s="56"/>
      <c r="J137" s="56"/>
      <c r="K137" s="56"/>
      <c r="L137" s="56"/>
    </row>
    <row r="138" spans="1:31" ht="15.75" customHeight="1" x14ac:dyDescent="0.35">
      <c r="A138" s="47"/>
      <c r="B138" s="64" t="s">
        <v>91</v>
      </c>
      <c r="C138" s="906" t="s">
        <v>169</v>
      </c>
      <c r="D138" s="886"/>
      <c r="E138" s="886"/>
      <c r="F138" s="886"/>
      <c r="G138" s="886"/>
      <c r="H138" s="886"/>
      <c r="I138" s="886"/>
      <c r="J138" s="886"/>
      <c r="K138" s="886"/>
      <c r="L138" s="887"/>
    </row>
    <row r="139" spans="1:31" ht="3.75" customHeight="1" x14ac:dyDescent="0.35">
      <c r="A139" s="47"/>
      <c r="B139" s="51"/>
      <c r="C139" s="48"/>
      <c r="D139" s="48"/>
      <c r="E139" s="48"/>
      <c r="F139" s="48"/>
      <c r="G139" s="48"/>
      <c r="H139" s="48"/>
      <c r="I139" s="48"/>
      <c r="J139" s="48"/>
      <c r="K139" s="48"/>
      <c r="L139" s="48"/>
    </row>
    <row r="140" spans="1:31" ht="15.75" customHeight="1" x14ac:dyDescent="0.35">
      <c r="A140" s="47"/>
      <c r="B140" s="64" t="s">
        <v>92</v>
      </c>
      <c r="C140" s="906" t="s">
        <v>477</v>
      </c>
      <c r="D140" s="886"/>
      <c r="E140" s="886"/>
      <c r="F140" s="886"/>
      <c r="G140" s="886"/>
      <c r="H140" s="886"/>
      <c r="I140" s="886"/>
      <c r="J140" s="886"/>
      <c r="K140" s="886"/>
      <c r="L140" s="887"/>
    </row>
    <row r="141" spans="1:31" s="46" customFormat="1" ht="15" customHeight="1" x14ac:dyDescent="0.35">
      <c r="A141" s="21"/>
      <c r="B141" s="43"/>
      <c r="C141" s="43"/>
      <c r="D141" s="43"/>
      <c r="E141" s="43"/>
      <c r="F141" s="43"/>
      <c r="G141" s="43"/>
      <c r="H141" s="43"/>
      <c r="I141" s="43"/>
      <c r="J141" s="43"/>
      <c r="K141" s="43"/>
      <c r="L141" s="43"/>
      <c r="M141" s="43"/>
      <c r="N141" s="44"/>
      <c r="O141" s="44"/>
      <c r="P141" s="44"/>
      <c r="Q141" s="44"/>
      <c r="R141" s="44"/>
      <c r="S141" s="44"/>
      <c r="T141" s="44"/>
      <c r="U141" s="44"/>
      <c r="V141" s="44"/>
      <c r="W141" s="44"/>
      <c r="X141" s="44"/>
      <c r="Y141" s="44"/>
      <c r="Z141" s="44"/>
      <c r="AA141" s="44"/>
      <c r="AB141" s="44"/>
      <c r="AC141" s="44"/>
      <c r="AD141" s="44"/>
      <c r="AE141" s="44"/>
    </row>
    <row r="142" spans="1:31" ht="3.75" customHeight="1" x14ac:dyDescent="0.35">
      <c r="A142" s="47"/>
      <c r="B142" s="51"/>
      <c r="C142" s="48"/>
      <c r="D142" s="48"/>
      <c r="E142" s="48"/>
      <c r="F142" s="48"/>
      <c r="G142" s="48"/>
      <c r="H142" s="48"/>
      <c r="I142" s="48"/>
      <c r="J142" s="48"/>
      <c r="K142" s="48"/>
      <c r="L142" s="48"/>
    </row>
    <row r="143" spans="1:31" ht="15.75" customHeight="1" x14ac:dyDescent="0.35">
      <c r="A143" s="47"/>
      <c r="B143" s="863" t="s">
        <v>93</v>
      </c>
      <c r="C143" s="826"/>
      <c r="D143" s="826"/>
      <c r="E143" s="826"/>
      <c r="F143" s="826"/>
      <c r="G143" s="826"/>
      <c r="H143" s="826"/>
      <c r="I143" s="826"/>
      <c r="J143" s="826"/>
      <c r="K143" s="826"/>
      <c r="L143" s="826"/>
    </row>
    <row r="144" spans="1:31" s="46" customFormat="1" ht="15" customHeight="1" thickBot="1" x14ac:dyDescent="0.4">
      <c r="A144" s="21"/>
      <c r="B144" s="43"/>
      <c r="C144" s="43"/>
      <c r="D144" s="43"/>
      <c r="E144" s="43"/>
      <c r="F144" s="43"/>
      <c r="G144" s="43"/>
      <c r="H144" s="43"/>
      <c r="I144" s="43"/>
      <c r="J144" s="43"/>
      <c r="K144" s="43"/>
      <c r="L144" s="43"/>
      <c r="M144" s="43"/>
      <c r="N144" s="44"/>
      <c r="O144" s="44"/>
      <c r="P144" s="44"/>
      <c r="Q144" s="44"/>
      <c r="R144" s="44"/>
      <c r="S144" s="44"/>
      <c r="T144" s="44"/>
      <c r="U144" s="44"/>
      <c r="V144" s="44"/>
      <c r="W144" s="44"/>
      <c r="X144" s="44"/>
      <c r="Y144" s="44"/>
      <c r="Z144" s="44"/>
      <c r="AA144" s="44"/>
      <c r="AB144" s="44"/>
      <c r="AC144" s="44"/>
      <c r="AD144" s="44"/>
      <c r="AE144" s="44"/>
    </row>
    <row r="145" spans="1:177" ht="64.5" customHeight="1" thickBot="1" x14ac:dyDescent="0.4">
      <c r="A145" s="47"/>
      <c r="B145" s="877" t="s">
        <v>1159</v>
      </c>
      <c r="C145" s="880"/>
      <c r="D145" s="880"/>
      <c r="E145" s="880"/>
      <c r="F145" s="880"/>
      <c r="G145" s="880"/>
      <c r="H145" s="880"/>
      <c r="I145" s="880"/>
      <c r="J145" s="880"/>
      <c r="K145" s="880"/>
      <c r="L145" s="881"/>
    </row>
    <row r="146" spans="1:177" s="46" customFormat="1" ht="15" customHeight="1" x14ac:dyDescent="0.35">
      <c r="A146" s="21"/>
      <c r="B146" s="371"/>
      <c r="C146" s="43"/>
      <c r="D146" s="43"/>
      <c r="E146" s="43"/>
      <c r="F146" s="43"/>
      <c r="G146" s="43"/>
      <c r="H146" s="43"/>
      <c r="I146" s="43"/>
      <c r="J146" s="43"/>
      <c r="K146" s="43"/>
      <c r="L146" s="43"/>
      <c r="M146" s="43"/>
      <c r="N146" s="44"/>
      <c r="O146" s="44"/>
      <c r="P146" s="44"/>
      <c r="Q146" s="44"/>
      <c r="R146" s="44"/>
      <c r="S146" s="44"/>
      <c r="T146" s="44"/>
      <c r="U146" s="44"/>
      <c r="V146" s="44"/>
      <c r="W146" s="44"/>
      <c r="X146" s="44"/>
      <c r="Y146" s="44"/>
      <c r="Z146" s="44"/>
      <c r="AA146" s="44"/>
      <c r="AB146" s="44"/>
      <c r="AC146" s="44"/>
      <c r="AD146" s="44"/>
      <c r="AE146" s="44"/>
    </row>
    <row r="147" spans="1:177" ht="25.5" customHeight="1" x14ac:dyDescent="0.45">
      <c r="A147" s="47"/>
      <c r="B147" s="992" t="s">
        <v>94</v>
      </c>
      <c r="C147" s="993"/>
      <c r="D147" s="993"/>
      <c r="E147" s="993"/>
      <c r="F147" s="993"/>
      <c r="G147" s="993"/>
      <c r="H147" s="993"/>
      <c r="I147" s="993"/>
      <c r="J147" s="993"/>
      <c r="K147" s="993"/>
      <c r="L147" s="993"/>
    </row>
    <row r="148" spans="1:177" s="46" customFormat="1" ht="15" customHeight="1" thickBot="1" x14ac:dyDescent="0.4">
      <c r="A148" s="21"/>
      <c r="B148" s="43"/>
      <c r="C148" s="43"/>
      <c r="D148" s="43"/>
      <c r="E148" s="43"/>
      <c r="F148" s="43"/>
      <c r="G148" s="43"/>
      <c r="H148" s="43"/>
      <c r="I148" s="43"/>
      <c r="J148" s="43"/>
      <c r="K148" s="43"/>
      <c r="L148" s="43"/>
      <c r="M148" s="43"/>
      <c r="N148" s="44"/>
      <c r="O148" s="44"/>
      <c r="P148" s="44"/>
      <c r="Q148" s="44"/>
      <c r="R148" s="44"/>
      <c r="S148" s="44"/>
      <c r="T148" s="44"/>
      <c r="U148" s="44"/>
      <c r="V148" s="44"/>
      <c r="W148" s="44"/>
      <c r="X148" s="44"/>
      <c r="Y148" s="44"/>
      <c r="Z148" s="44"/>
      <c r="AA148" s="44"/>
      <c r="AB148" s="44"/>
      <c r="AC148" s="44"/>
      <c r="AD148" s="44"/>
      <c r="AE148" s="44"/>
    </row>
    <row r="149" spans="1:177" s="372" customFormat="1" ht="88" customHeight="1" thickBot="1" x14ac:dyDescent="0.4">
      <c r="A149" s="373"/>
      <c r="B149" s="994" t="s">
        <v>500</v>
      </c>
      <c r="C149" s="995"/>
      <c r="D149" s="995"/>
      <c r="E149" s="995"/>
      <c r="F149" s="995"/>
      <c r="G149" s="995"/>
      <c r="H149" s="995"/>
      <c r="I149" s="995"/>
      <c r="J149" s="995"/>
      <c r="K149" s="995"/>
      <c r="L149" s="996"/>
      <c r="N149" s="369"/>
      <c r="O149" s="369"/>
      <c r="P149" s="369"/>
      <c r="Q149" s="369"/>
      <c r="R149" s="369"/>
      <c r="S149" s="369"/>
      <c r="T149" s="369"/>
      <c r="U149" s="369"/>
      <c r="V149" s="369"/>
      <c r="W149" s="369"/>
      <c r="X149" s="369"/>
      <c r="Y149" s="369"/>
      <c r="Z149" s="369"/>
      <c r="AA149" s="369"/>
      <c r="AB149" s="369"/>
      <c r="AC149" s="369"/>
      <c r="AD149" s="369"/>
      <c r="AE149" s="369"/>
      <c r="AF149" s="369"/>
      <c r="AG149" s="369"/>
      <c r="AH149" s="369"/>
      <c r="AI149" s="369"/>
      <c r="AJ149" s="369"/>
      <c r="AK149" s="369"/>
      <c r="AL149" s="369"/>
      <c r="AM149" s="369"/>
      <c r="AN149" s="369"/>
      <c r="AO149" s="369"/>
      <c r="AP149" s="369"/>
      <c r="AQ149" s="369"/>
      <c r="AR149" s="369"/>
      <c r="AS149" s="369"/>
      <c r="AT149" s="369"/>
      <c r="AU149" s="369"/>
      <c r="AV149" s="369"/>
      <c r="AW149" s="369"/>
      <c r="AX149" s="369"/>
      <c r="AY149" s="369"/>
      <c r="AZ149" s="369"/>
      <c r="BA149" s="369"/>
      <c r="BB149" s="369"/>
      <c r="BC149" s="369"/>
      <c r="BD149" s="369"/>
      <c r="BE149" s="369"/>
      <c r="BF149" s="369"/>
      <c r="BG149" s="369"/>
      <c r="BH149" s="369"/>
      <c r="BI149" s="369"/>
      <c r="BJ149" s="369"/>
      <c r="BK149" s="369"/>
      <c r="BL149" s="369"/>
      <c r="BM149" s="369"/>
      <c r="BN149" s="369"/>
      <c r="BO149" s="369"/>
      <c r="BP149" s="369"/>
      <c r="BQ149" s="369"/>
      <c r="BR149" s="369"/>
      <c r="BS149" s="369"/>
      <c r="BT149" s="369"/>
      <c r="BU149" s="369"/>
      <c r="BV149" s="369"/>
      <c r="BW149" s="369"/>
      <c r="BX149" s="369"/>
      <c r="BY149" s="369"/>
      <c r="BZ149" s="369"/>
      <c r="CA149" s="369"/>
      <c r="CB149" s="369"/>
      <c r="CC149" s="369"/>
      <c r="CD149" s="369"/>
      <c r="CE149" s="369"/>
      <c r="CF149" s="369"/>
      <c r="CG149" s="369"/>
      <c r="CH149" s="369"/>
      <c r="CI149" s="369"/>
      <c r="CJ149" s="369"/>
      <c r="CK149" s="369"/>
      <c r="CL149" s="369"/>
      <c r="CM149" s="369"/>
      <c r="CN149" s="369"/>
      <c r="CO149" s="369"/>
      <c r="CP149" s="369"/>
      <c r="CQ149" s="369"/>
      <c r="CR149" s="369"/>
      <c r="CS149" s="369"/>
      <c r="CT149" s="369"/>
      <c r="CU149" s="369"/>
      <c r="CV149" s="369"/>
      <c r="CW149" s="369"/>
      <c r="CX149" s="369"/>
      <c r="CY149" s="369"/>
      <c r="CZ149" s="369"/>
      <c r="DA149" s="369"/>
      <c r="DB149" s="369"/>
      <c r="DC149" s="369"/>
      <c r="DD149" s="369"/>
      <c r="DE149" s="369"/>
      <c r="DF149" s="369"/>
      <c r="DG149" s="369"/>
      <c r="DH149" s="369"/>
      <c r="DI149" s="369"/>
      <c r="DJ149" s="369"/>
      <c r="DK149" s="369"/>
      <c r="DL149" s="369"/>
      <c r="DM149" s="369"/>
      <c r="DN149" s="369"/>
      <c r="DO149" s="369"/>
      <c r="DP149" s="369"/>
      <c r="DQ149" s="369"/>
      <c r="DR149" s="369"/>
      <c r="DS149" s="369"/>
      <c r="DT149" s="369"/>
      <c r="DU149" s="369"/>
      <c r="DV149" s="369"/>
      <c r="DW149" s="369"/>
      <c r="DX149" s="369"/>
      <c r="DY149" s="369"/>
      <c r="DZ149" s="369"/>
      <c r="EA149" s="369"/>
      <c r="EB149" s="369"/>
      <c r="EC149" s="369"/>
      <c r="ED149" s="369"/>
      <c r="EE149" s="369"/>
      <c r="EF149" s="369"/>
      <c r="EG149" s="369"/>
      <c r="EH149" s="369"/>
      <c r="EI149" s="369"/>
      <c r="EJ149" s="369"/>
      <c r="EK149" s="369"/>
      <c r="EL149" s="369"/>
      <c r="EM149" s="369"/>
      <c r="EN149" s="369"/>
      <c r="EO149" s="369"/>
      <c r="EP149" s="369"/>
      <c r="EQ149" s="369"/>
      <c r="ER149" s="369"/>
      <c r="ES149" s="369"/>
      <c r="ET149" s="369"/>
      <c r="EU149" s="369"/>
      <c r="EV149" s="369"/>
      <c r="EW149" s="369"/>
      <c r="EX149" s="369"/>
      <c r="EY149" s="369"/>
      <c r="EZ149" s="369"/>
      <c r="FA149" s="369"/>
      <c r="FB149" s="369"/>
      <c r="FC149" s="369"/>
      <c r="FD149" s="369"/>
      <c r="FE149" s="369"/>
      <c r="FF149" s="369"/>
      <c r="FG149" s="369"/>
      <c r="FH149" s="369"/>
      <c r="FI149" s="369"/>
      <c r="FJ149" s="369"/>
      <c r="FK149" s="369"/>
      <c r="FL149" s="369"/>
      <c r="FM149" s="369"/>
      <c r="FN149" s="369"/>
      <c r="FO149" s="369"/>
      <c r="FP149" s="369"/>
      <c r="FQ149" s="369"/>
      <c r="FR149" s="369"/>
      <c r="FS149" s="369"/>
      <c r="FT149" s="369"/>
      <c r="FU149" s="369"/>
    </row>
    <row r="150" spans="1:177" s="46" customFormat="1" ht="15" customHeight="1" x14ac:dyDescent="0.35">
      <c r="A150" s="21"/>
      <c r="B150" s="43"/>
      <c r="C150" s="43"/>
      <c r="D150" s="43"/>
      <c r="E150" s="43"/>
      <c r="F150" s="43"/>
      <c r="G150" s="43"/>
      <c r="H150" s="43"/>
      <c r="I150" s="43"/>
      <c r="J150" s="43"/>
      <c r="K150" s="43"/>
      <c r="L150" s="43"/>
      <c r="M150" s="43"/>
      <c r="N150" s="44"/>
      <c r="O150" s="44"/>
      <c r="P150" s="44"/>
      <c r="Q150" s="44"/>
      <c r="R150" s="44"/>
      <c r="S150" s="44"/>
      <c r="T150" s="44"/>
      <c r="U150" s="44"/>
      <c r="V150" s="44"/>
      <c r="W150" s="44"/>
      <c r="X150" s="44"/>
      <c r="Y150" s="44"/>
      <c r="Z150" s="44"/>
      <c r="AA150" s="44"/>
      <c r="AB150" s="44"/>
      <c r="AC150" s="44"/>
      <c r="AD150" s="44"/>
      <c r="AE150" s="44"/>
    </row>
    <row r="151" spans="1:177" ht="15.75" customHeight="1" x14ac:dyDescent="0.35">
      <c r="A151" s="47"/>
      <c r="B151" s="863" t="s">
        <v>95</v>
      </c>
      <c r="C151" s="813"/>
      <c r="D151" s="813"/>
      <c r="E151" s="813"/>
      <c r="F151" s="813"/>
      <c r="G151" s="813"/>
      <c r="H151" s="813"/>
      <c r="I151" s="813"/>
      <c r="J151" s="813"/>
      <c r="K151" s="813"/>
      <c r="L151" s="813"/>
    </row>
    <row r="152" spans="1:177" s="46" customFormat="1" ht="15" customHeight="1" thickBot="1" x14ac:dyDescent="0.4">
      <c r="A152" s="21"/>
      <c r="B152" s="43"/>
      <c r="C152" s="43"/>
      <c r="D152" s="43"/>
      <c r="E152" s="43"/>
      <c r="F152" s="43"/>
      <c r="G152" s="43"/>
      <c r="H152" s="43"/>
      <c r="I152" s="43"/>
      <c r="J152" s="43"/>
      <c r="K152" s="43"/>
      <c r="L152" s="43"/>
      <c r="M152" s="43"/>
      <c r="N152" s="44"/>
      <c r="O152" s="44"/>
      <c r="P152" s="44"/>
      <c r="Q152" s="44"/>
      <c r="R152" s="44"/>
      <c r="S152" s="44"/>
      <c r="T152" s="44"/>
      <c r="U152" s="44"/>
      <c r="V152" s="44"/>
      <c r="W152" s="44"/>
      <c r="X152" s="44"/>
      <c r="Y152" s="44"/>
      <c r="Z152" s="44"/>
      <c r="AA152" s="44"/>
      <c r="AB152" s="44"/>
      <c r="AC152" s="44"/>
      <c r="AD152" s="44"/>
      <c r="AE152" s="44"/>
    </row>
    <row r="153" spans="1:177" ht="89" customHeight="1" thickBot="1" x14ac:dyDescent="0.4">
      <c r="A153" s="47"/>
      <c r="B153" s="877" t="s">
        <v>1196</v>
      </c>
      <c r="C153" s="880"/>
      <c r="D153" s="880"/>
      <c r="E153" s="880"/>
      <c r="F153" s="880"/>
      <c r="G153" s="880"/>
      <c r="H153" s="880"/>
      <c r="I153" s="880"/>
      <c r="J153" s="880"/>
      <c r="K153" s="880"/>
      <c r="L153" s="881"/>
    </row>
    <row r="154" spans="1:177" s="46" customFormat="1" ht="15" customHeight="1" x14ac:dyDescent="0.35">
      <c r="A154" s="21"/>
      <c r="B154" s="43"/>
      <c r="C154" s="43"/>
      <c r="D154" s="43"/>
      <c r="E154" s="43"/>
      <c r="F154" s="43"/>
      <c r="G154" s="43"/>
      <c r="H154" s="43"/>
      <c r="I154" s="43"/>
      <c r="J154" s="43"/>
      <c r="K154" s="43"/>
      <c r="L154" s="43"/>
      <c r="M154" s="43"/>
      <c r="N154" s="44"/>
      <c r="O154" s="44"/>
      <c r="P154" s="44"/>
      <c r="Q154" s="44"/>
      <c r="R154" s="44"/>
      <c r="S154" s="44"/>
      <c r="T154" s="44"/>
      <c r="U154" s="44"/>
      <c r="V154" s="44"/>
      <c r="W154" s="44"/>
      <c r="X154" s="44"/>
      <c r="Y154" s="44"/>
      <c r="Z154" s="44"/>
      <c r="AA154" s="44"/>
      <c r="AB154" s="44"/>
      <c r="AC154" s="44"/>
      <c r="AD154" s="44"/>
      <c r="AE154" s="44"/>
    </row>
    <row r="155" spans="1:177" ht="15.75" customHeight="1" x14ac:dyDescent="0.35">
      <c r="A155" s="47"/>
      <c r="B155" s="863" t="s">
        <v>96</v>
      </c>
      <c r="C155" s="813"/>
      <c r="D155" s="813"/>
      <c r="E155" s="813"/>
      <c r="F155" s="813"/>
      <c r="G155" s="813"/>
      <c r="H155" s="813"/>
      <c r="I155" s="813"/>
      <c r="J155" s="813"/>
      <c r="K155" s="813"/>
      <c r="L155" s="813"/>
    </row>
    <row r="156" spans="1:177" s="46" customFormat="1" ht="15" customHeight="1" thickBot="1" x14ac:dyDescent="0.4">
      <c r="A156" s="21"/>
      <c r="B156" s="43"/>
      <c r="C156" s="43"/>
      <c r="D156" s="43"/>
      <c r="E156" s="43"/>
      <c r="F156" s="43"/>
      <c r="G156" s="43"/>
      <c r="H156" s="43"/>
      <c r="I156" s="43"/>
      <c r="J156" s="43"/>
      <c r="K156" s="43"/>
      <c r="L156" s="43"/>
      <c r="M156" s="43"/>
      <c r="N156" s="44"/>
      <c r="O156" s="44"/>
      <c r="P156" s="44"/>
      <c r="Q156" s="44"/>
      <c r="R156" s="44"/>
      <c r="S156" s="44"/>
      <c r="T156" s="44"/>
      <c r="U156" s="44"/>
      <c r="V156" s="44"/>
      <c r="W156" s="44"/>
      <c r="X156" s="44"/>
      <c r="Y156" s="44"/>
      <c r="Z156" s="44"/>
      <c r="AA156" s="44"/>
      <c r="AB156" s="44"/>
      <c r="AC156" s="44"/>
      <c r="AD156" s="44"/>
      <c r="AE156" s="44"/>
    </row>
    <row r="157" spans="1:177" ht="70" customHeight="1" thickBot="1" x14ac:dyDescent="0.5">
      <c r="A157" s="47"/>
      <c r="B157" s="877" t="s">
        <v>1185</v>
      </c>
      <c r="C157" s="880"/>
      <c r="D157" s="880"/>
      <c r="E157" s="880"/>
      <c r="F157" s="880"/>
      <c r="G157" s="880"/>
      <c r="H157" s="880"/>
      <c r="I157" s="880"/>
      <c r="J157" s="880"/>
      <c r="K157" s="880"/>
      <c r="L157" s="881"/>
      <c r="N157" s="370"/>
    </row>
    <row r="158" spans="1:177" s="46" customFormat="1" ht="15" customHeight="1" x14ac:dyDescent="0.35">
      <c r="A158" s="21"/>
      <c r="B158" s="43"/>
      <c r="C158" s="43"/>
      <c r="D158" s="43"/>
      <c r="E158" s="43"/>
      <c r="F158" s="43"/>
      <c r="G158" s="43"/>
      <c r="H158" s="43"/>
      <c r="I158" s="43"/>
      <c r="J158" s="43"/>
      <c r="K158" s="43"/>
      <c r="L158" s="43"/>
      <c r="M158" s="43"/>
      <c r="N158" s="44"/>
      <c r="O158" s="44"/>
      <c r="P158" s="44"/>
      <c r="Q158" s="44"/>
      <c r="R158" s="44"/>
      <c r="S158" s="44"/>
      <c r="T158" s="44"/>
      <c r="U158" s="44"/>
      <c r="V158" s="44"/>
      <c r="W158" s="44"/>
      <c r="X158" s="44"/>
      <c r="Y158" s="44"/>
      <c r="Z158" s="44"/>
      <c r="AA158" s="44"/>
      <c r="AB158" s="44"/>
      <c r="AC158" s="44"/>
      <c r="AD158" s="44"/>
      <c r="AE158" s="44"/>
    </row>
    <row r="159" spans="1:177" s="65" customFormat="1" ht="15" customHeight="1" x14ac:dyDescent="0.35">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row>
    <row r="160" spans="1:177" ht="15.75" customHeight="1" x14ac:dyDescent="0.35">
      <c r="A160" s="47"/>
      <c r="B160" s="826" t="s">
        <v>97</v>
      </c>
      <c r="C160" s="826"/>
      <c r="D160" s="826"/>
      <c r="E160" s="826"/>
      <c r="F160" s="826"/>
      <c r="G160" s="826"/>
      <c r="H160" s="826"/>
      <c r="I160" s="826"/>
      <c r="J160" s="826"/>
      <c r="K160" s="826"/>
      <c r="L160" s="826"/>
    </row>
    <row r="161" spans="1:31" s="46" customFormat="1" ht="15" customHeight="1" thickBot="1" x14ac:dyDescent="0.4">
      <c r="A161" s="21"/>
      <c r="B161" s="43"/>
      <c r="C161" s="43"/>
      <c r="D161" s="43"/>
      <c r="E161" s="43"/>
      <c r="F161" s="43"/>
      <c r="G161" s="43"/>
      <c r="H161" s="43"/>
      <c r="I161" s="43"/>
      <c r="J161" s="43"/>
      <c r="K161" s="43"/>
      <c r="L161" s="43"/>
      <c r="M161" s="43"/>
      <c r="N161" s="44"/>
      <c r="O161" s="44"/>
      <c r="P161" s="44"/>
      <c r="Q161" s="44"/>
      <c r="R161" s="44"/>
      <c r="S161" s="44"/>
      <c r="T161" s="44"/>
      <c r="U161" s="44"/>
      <c r="V161" s="44"/>
      <c r="W161" s="44"/>
      <c r="X161" s="44"/>
      <c r="Y161" s="44"/>
      <c r="Z161" s="44"/>
      <c r="AA161" s="44"/>
      <c r="AB161" s="44"/>
      <c r="AC161" s="44"/>
      <c r="AD161" s="44"/>
      <c r="AE161" s="44"/>
    </row>
    <row r="162" spans="1:31" ht="15.75" customHeight="1" x14ac:dyDescent="0.35">
      <c r="A162" s="47"/>
      <c r="B162" s="981" t="s">
        <v>1184</v>
      </c>
      <c r="C162" s="855"/>
      <c r="D162" s="855"/>
      <c r="E162" s="855"/>
      <c r="F162" s="855"/>
      <c r="G162" s="855"/>
      <c r="H162" s="855"/>
      <c r="I162" s="855"/>
      <c r="J162" s="855"/>
      <c r="K162" s="855"/>
      <c r="L162" s="856"/>
    </row>
    <row r="163" spans="1:31" ht="15.75" customHeight="1" x14ac:dyDescent="0.35">
      <c r="A163" s="47"/>
      <c r="B163" s="857"/>
      <c r="C163" s="858"/>
      <c r="D163" s="858"/>
      <c r="E163" s="858"/>
      <c r="F163" s="858"/>
      <c r="G163" s="858"/>
      <c r="H163" s="858"/>
      <c r="I163" s="858"/>
      <c r="J163" s="858"/>
      <c r="K163" s="858"/>
      <c r="L163" s="859"/>
    </row>
    <row r="164" spans="1:31" ht="15.75" customHeight="1" x14ac:dyDescent="0.35">
      <c r="A164" s="47"/>
      <c r="B164" s="857"/>
      <c r="C164" s="858"/>
      <c r="D164" s="858"/>
      <c r="E164" s="858"/>
      <c r="F164" s="858"/>
      <c r="G164" s="858"/>
      <c r="H164" s="858"/>
      <c r="I164" s="858"/>
      <c r="J164" s="858"/>
      <c r="K164" s="858"/>
      <c r="L164" s="859"/>
    </row>
    <row r="165" spans="1:31" ht="15.75" customHeight="1" x14ac:dyDescent="0.35">
      <c r="A165" s="47"/>
      <c r="B165" s="857"/>
      <c r="C165" s="858"/>
      <c r="D165" s="858"/>
      <c r="E165" s="858"/>
      <c r="F165" s="858"/>
      <c r="G165" s="858"/>
      <c r="H165" s="858"/>
      <c r="I165" s="858"/>
      <c r="J165" s="858"/>
      <c r="K165" s="858"/>
      <c r="L165" s="859"/>
    </row>
    <row r="166" spans="1:31" ht="15.75" customHeight="1" x14ac:dyDescent="0.35">
      <c r="A166" s="47"/>
      <c r="B166" s="857"/>
      <c r="C166" s="858"/>
      <c r="D166" s="858"/>
      <c r="E166" s="858"/>
      <c r="F166" s="858"/>
      <c r="G166" s="858"/>
      <c r="H166" s="858"/>
      <c r="I166" s="858"/>
      <c r="J166" s="858"/>
      <c r="K166" s="858"/>
      <c r="L166" s="859"/>
    </row>
    <row r="167" spans="1:31" ht="15.75" customHeight="1" thickBot="1" x14ac:dyDescent="0.4">
      <c r="A167" s="47"/>
      <c r="B167" s="860"/>
      <c r="C167" s="861"/>
      <c r="D167" s="861"/>
      <c r="E167" s="861"/>
      <c r="F167" s="861"/>
      <c r="G167" s="861"/>
      <c r="H167" s="861"/>
      <c r="I167" s="861"/>
      <c r="J167" s="861"/>
      <c r="K167" s="861"/>
      <c r="L167" s="862"/>
    </row>
    <row r="168" spans="1:31" s="46" customFormat="1" ht="15" customHeight="1" x14ac:dyDescent="0.35">
      <c r="A168" s="21"/>
      <c r="B168" s="371"/>
      <c r="C168" s="43"/>
      <c r="D168" s="43"/>
      <c r="E168" s="43"/>
      <c r="F168" s="43"/>
      <c r="G168" s="43"/>
      <c r="H168" s="43"/>
      <c r="I168" s="43"/>
      <c r="J168" s="43"/>
      <c r="K168" s="43"/>
      <c r="L168" s="43"/>
      <c r="M168" s="43"/>
      <c r="N168" s="44"/>
      <c r="O168" s="44"/>
      <c r="P168" s="44"/>
      <c r="Q168" s="44"/>
      <c r="R168" s="44"/>
      <c r="S168" s="44"/>
      <c r="T168" s="44"/>
      <c r="U168" s="44"/>
      <c r="V168" s="44"/>
      <c r="W168" s="44"/>
      <c r="X168" s="44"/>
      <c r="Y168" s="44"/>
      <c r="Z168" s="44"/>
      <c r="AA168" s="44"/>
      <c r="AB168" s="44"/>
      <c r="AC168" s="44"/>
      <c r="AD168" s="44"/>
      <c r="AE168" s="44"/>
    </row>
    <row r="169" spans="1:31" s="46" customFormat="1" ht="15" customHeight="1" x14ac:dyDescent="0.35">
      <c r="A169" s="21"/>
      <c r="B169" s="43"/>
      <c r="C169" s="43"/>
      <c r="D169" s="43"/>
      <c r="E169" s="43"/>
      <c r="F169" s="43"/>
      <c r="G169" s="43"/>
      <c r="H169" s="43"/>
      <c r="I169" s="43"/>
      <c r="J169" s="43"/>
      <c r="K169" s="43"/>
      <c r="L169" s="43"/>
      <c r="M169" s="43"/>
      <c r="N169" s="44"/>
      <c r="O169" s="44"/>
      <c r="P169" s="44"/>
      <c r="Q169" s="44"/>
      <c r="R169" s="44"/>
      <c r="S169" s="44"/>
      <c r="T169" s="44"/>
      <c r="U169" s="44"/>
      <c r="V169" s="44"/>
      <c r="W169" s="44"/>
      <c r="X169" s="44"/>
      <c r="Y169" s="44"/>
      <c r="Z169" s="44"/>
      <c r="AA169" s="44"/>
      <c r="AB169" s="44"/>
      <c r="AC169" s="44"/>
      <c r="AD169" s="44"/>
      <c r="AE169" s="44"/>
    </row>
    <row r="170" spans="1:31" ht="16.5" customHeight="1" x14ac:dyDescent="0.35">
      <c r="A170" s="47"/>
      <c r="B170" s="826" t="s">
        <v>98</v>
      </c>
      <c r="C170" s="826"/>
      <c r="D170" s="826"/>
      <c r="E170" s="826"/>
      <c r="F170" s="826"/>
      <c r="G170" s="826"/>
      <c r="H170" s="826"/>
      <c r="I170" s="826"/>
      <c r="J170" s="826"/>
      <c r="K170" s="826"/>
      <c r="L170" s="826"/>
    </row>
    <row r="171" spans="1:31" s="46" customFormat="1" ht="15" customHeight="1" thickBot="1" x14ac:dyDescent="0.4">
      <c r="A171" s="21"/>
      <c r="B171" s="43"/>
      <c r="C171" s="43"/>
      <c r="D171" s="43"/>
      <c r="E171" s="43"/>
      <c r="F171" s="43"/>
      <c r="G171" s="43"/>
      <c r="H171" s="43"/>
      <c r="I171" s="43"/>
      <c r="J171" s="43"/>
      <c r="K171" s="43"/>
      <c r="L171" s="43"/>
      <c r="M171" s="43"/>
      <c r="N171" s="44"/>
      <c r="O171" s="44"/>
      <c r="P171" s="44"/>
      <c r="Q171" s="44"/>
      <c r="R171" s="44"/>
      <c r="S171" s="44"/>
      <c r="T171" s="44"/>
      <c r="U171" s="44"/>
      <c r="V171" s="44"/>
      <c r="W171" s="44"/>
      <c r="X171" s="44"/>
      <c r="Y171" s="44"/>
      <c r="Z171" s="44"/>
      <c r="AA171" s="44"/>
      <c r="AB171" s="44"/>
      <c r="AC171" s="44"/>
      <c r="AD171" s="44"/>
      <c r="AE171" s="44"/>
    </row>
    <row r="172" spans="1:31" ht="15.75" customHeight="1" x14ac:dyDescent="0.35">
      <c r="A172" s="47"/>
      <c r="B172" s="981" t="s">
        <v>1197</v>
      </c>
      <c r="C172" s="982"/>
      <c r="D172" s="982"/>
      <c r="E172" s="982"/>
      <c r="F172" s="982"/>
      <c r="G172" s="982"/>
      <c r="H172" s="982"/>
      <c r="I172" s="982"/>
      <c r="J172" s="982"/>
      <c r="K172" s="982"/>
      <c r="L172" s="983"/>
    </row>
    <row r="173" spans="1:31" ht="15.75" customHeight="1" x14ac:dyDescent="0.35">
      <c r="A173" s="47"/>
      <c r="B173" s="984"/>
      <c r="C173" s="858"/>
      <c r="D173" s="858"/>
      <c r="E173" s="858"/>
      <c r="F173" s="858"/>
      <c r="G173" s="858"/>
      <c r="H173" s="858"/>
      <c r="I173" s="858"/>
      <c r="J173" s="858"/>
      <c r="K173" s="858"/>
      <c r="L173" s="985"/>
    </row>
    <row r="174" spans="1:31" ht="15.75" customHeight="1" x14ac:dyDescent="0.35">
      <c r="A174" s="47"/>
      <c r="B174" s="984"/>
      <c r="C174" s="858"/>
      <c r="D174" s="858"/>
      <c r="E174" s="858"/>
      <c r="F174" s="858"/>
      <c r="G174" s="858"/>
      <c r="H174" s="858"/>
      <c r="I174" s="858"/>
      <c r="J174" s="858"/>
      <c r="K174" s="858"/>
      <c r="L174" s="985"/>
    </row>
    <row r="175" spans="1:31" ht="15.75" customHeight="1" x14ac:dyDescent="0.35">
      <c r="A175" s="47"/>
      <c r="B175" s="984"/>
      <c r="C175" s="858"/>
      <c r="D175" s="858"/>
      <c r="E175" s="858"/>
      <c r="F175" s="858"/>
      <c r="G175" s="858"/>
      <c r="H175" s="858"/>
      <c r="I175" s="858"/>
      <c r="J175" s="858"/>
      <c r="K175" s="858"/>
      <c r="L175" s="985"/>
    </row>
    <row r="176" spans="1:31" ht="15.75" customHeight="1" x14ac:dyDescent="0.35">
      <c r="A176" s="47"/>
      <c r="B176" s="984"/>
      <c r="C176" s="858"/>
      <c r="D176" s="858"/>
      <c r="E176" s="858"/>
      <c r="F176" s="858"/>
      <c r="G176" s="858"/>
      <c r="H176" s="858"/>
      <c r="I176" s="858"/>
      <c r="J176" s="858"/>
      <c r="K176" s="858"/>
      <c r="L176" s="985"/>
    </row>
    <row r="177" spans="1:31" ht="15.75" customHeight="1" thickBot="1" x14ac:dyDescent="0.4">
      <c r="A177" s="47"/>
      <c r="B177" s="986"/>
      <c r="C177" s="987"/>
      <c r="D177" s="987"/>
      <c r="E177" s="987"/>
      <c r="F177" s="987"/>
      <c r="G177" s="987"/>
      <c r="H177" s="987"/>
      <c r="I177" s="987"/>
      <c r="J177" s="987"/>
      <c r="K177" s="987"/>
      <c r="L177" s="988"/>
    </row>
    <row r="178" spans="1:31" s="46" customFormat="1" ht="15" customHeight="1" x14ac:dyDescent="0.35">
      <c r="A178" s="21"/>
      <c r="B178" s="43"/>
      <c r="C178" s="43"/>
      <c r="D178" s="43"/>
      <c r="E178" s="43"/>
      <c r="F178" s="43"/>
      <c r="G178" s="43"/>
      <c r="H178" s="43"/>
      <c r="I178" s="43"/>
      <c r="J178" s="43"/>
      <c r="K178" s="43"/>
      <c r="L178" s="43"/>
      <c r="M178" s="43"/>
      <c r="N178" s="44"/>
      <c r="O178" s="44"/>
      <c r="P178" s="44"/>
      <c r="Q178" s="44"/>
      <c r="R178" s="44"/>
      <c r="S178" s="44"/>
      <c r="T178" s="44"/>
      <c r="U178" s="44"/>
      <c r="V178" s="44"/>
      <c r="W178" s="44"/>
      <c r="X178" s="44"/>
      <c r="Y178" s="44"/>
      <c r="Z178" s="44"/>
      <c r="AA178" s="44"/>
      <c r="AB178" s="44"/>
      <c r="AC178" s="44"/>
      <c r="AD178" s="44"/>
      <c r="AE178" s="44"/>
    </row>
    <row r="179" spans="1:31" s="46" customFormat="1" ht="15" customHeight="1" x14ac:dyDescent="0.35">
      <c r="A179" s="21"/>
      <c r="B179" s="43"/>
      <c r="C179" s="43"/>
      <c r="D179" s="43"/>
      <c r="E179" s="43"/>
      <c r="F179" s="43"/>
      <c r="G179" s="43"/>
      <c r="H179" s="43"/>
      <c r="I179" s="43"/>
      <c r="J179" s="43"/>
      <c r="K179" s="43"/>
      <c r="L179" s="43"/>
      <c r="M179" s="43"/>
      <c r="N179" s="44"/>
      <c r="O179" s="44"/>
      <c r="P179" s="44"/>
      <c r="Q179" s="44"/>
      <c r="R179" s="44"/>
      <c r="S179" s="44"/>
      <c r="T179" s="44"/>
      <c r="U179" s="44"/>
      <c r="V179" s="44"/>
      <c r="W179" s="44"/>
      <c r="X179" s="44"/>
      <c r="Y179" s="44"/>
      <c r="Z179" s="44"/>
      <c r="AA179" s="44"/>
      <c r="AB179" s="44"/>
      <c r="AC179" s="44"/>
      <c r="AD179" s="44"/>
      <c r="AE179" s="44"/>
    </row>
    <row r="180" spans="1:31" ht="15.75" customHeight="1" x14ac:dyDescent="0.35">
      <c r="A180" s="47"/>
      <c r="B180" s="826" t="s">
        <v>99</v>
      </c>
      <c r="C180" s="826"/>
      <c r="D180" s="826"/>
      <c r="E180" s="826"/>
      <c r="F180" s="826"/>
      <c r="G180" s="826"/>
      <c r="H180" s="826"/>
      <c r="I180" s="826"/>
      <c r="J180" s="826"/>
      <c r="K180" s="826"/>
      <c r="L180" s="826"/>
    </row>
    <row r="181" spans="1:31" s="46" customFormat="1" ht="15" customHeight="1" thickBot="1" x14ac:dyDescent="0.4">
      <c r="A181" s="21"/>
      <c r="B181" s="43"/>
      <c r="C181" s="43"/>
      <c r="D181" s="43"/>
      <c r="E181" s="43"/>
      <c r="F181" s="43"/>
      <c r="G181" s="43"/>
      <c r="H181" s="43"/>
      <c r="I181" s="43"/>
      <c r="J181" s="43"/>
      <c r="K181" s="43"/>
      <c r="L181" s="43"/>
      <c r="M181" s="43"/>
      <c r="N181" s="44"/>
      <c r="O181" s="44"/>
      <c r="P181" s="44"/>
      <c r="Q181" s="44"/>
      <c r="R181" s="44"/>
      <c r="S181" s="44"/>
      <c r="T181" s="44"/>
      <c r="U181" s="44"/>
      <c r="V181" s="44"/>
      <c r="W181" s="44"/>
      <c r="X181" s="44"/>
      <c r="Y181" s="44"/>
      <c r="Z181" s="44"/>
      <c r="AA181" s="44"/>
      <c r="AB181" s="44"/>
      <c r="AC181" s="44"/>
      <c r="AD181" s="44"/>
      <c r="AE181" s="44"/>
    </row>
    <row r="182" spans="1:31" ht="29.25" customHeight="1" x14ac:dyDescent="0.35">
      <c r="A182" s="47"/>
      <c r="B182" s="882" t="s">
        <v>100</v>
      </c>
      <c r="C182" s="989"/>
      <c r="D182" s="990" t="s">
        <v>101</v>
      </c>
      <c r="E182" s="990"/>
      <c r="F182" s="990"/>
      <c r="G182" s="990"/>
      <c r="H182" s="67" t="s">
        <v>102</v>
      </c>
      <c r="I182" s="990" t="s">
        <v>1023</v>
      </c>
      <c r="J182" s="990"/>
      <c r="K182" s="990" t="s">
        <v>103</v>
      </c>
      <c r="L182" s="991"/>
    </row>
    <row r="183" spans="1:31" ht="94.5" customHeight="1" x14ac:dyDescent="0.35">
      <c r="A183" s="47"/>
      <c r="B183" s="977" t="s">
        <v>501</v>
      </c>
      <c r="C183" s="978"/>
      <c r="D183" s="965" t="s">
        <v>502</v>
      </c>
      <c r="E183" s="965"/>
      <c r="F183" s="965"/>
      <c r="G183" s="965"/>
      <c r="H183" s="374" t="s">
        <v>503</v>
      </c>
      <c r="I183" s="979">
        <v>1860000</v>
      </c>
      <c r="J183" s="979"/>
      <c r="K183" s="965" t="s">
        <v>504</v>
      </c>
      <c r="L183" s="966"/>
    </row>
    <row r="184" spans="1:31" ht="94.5" customHeight="1" x14ac:dyDescent="0.35">
      <c r="A184" s="47"/>
      <c r="B184" s="977" t="s">
        <v>505</v>
      </c>
      <c r="C184" s="978"/>
      <c r="D184" s="965" t="s">
        <v>506</v>
      </c>
      <c r="E184" s="965"/>
      <c r="F184" s="965"/>
      <c r="G184" s="965"/>
      <c r="H184" s="374" t="s">
        <v>507</v>
      </c>
      <c r="I184" s="980">
        <v>1100000</v>
      </c>
      <c r="J184" s="980"/>
      <c r="K184" s="965" t="s">
        <v>508</v>
      </c>
      <c r="L184" s="966"/>
    </row>
    <row r="185" spans="1:31" ht="94.5" customHeight="1" x14ac:dyDescent="0.35">
      <c r="A185" s="47"/>
      <c r="B185" s="867" t="s">
        <v>509</v>
      </c>
      <c r="C185" s="975"/>
      <c r="D185" s="965" t="s">
        <v>510</v>
      </c>
      <c r="E185" s="965"/>
      <c r="F185" s="965"/>
      <c r="G185" s="965"/>
      <c r="H185" s="374" t="s">
        <v>513</v>
      </c>
      <c r="I185" s="976">
        <v>592000</v>
      </c>
      <c r="J185" s="976"/>
      <c r="K185" s="965" t="s">
        <v>1026</v>
      </c>
      <c r="L185" s="966"/>
    </row>
    <row r="186" spans="1:31" ht="94.5" customHeight="1" x14ac:dyDescent="0.35">
      <c r="A186" s="47"/>
      <c r="B186" s="867" t="s">
        <v>511</v>
      </c>
      <c r="C186" s="975"/>
      <c r="D186" s="965" t="s">
        <v>514</v>
      </c>
      <c r="E186" s="965"/>
      <c r="F186" s="965"/>
      <c r="G186" s="965"/>
      <c r="H186" s="374" t="s">
        <v>512</v>
      </c>
      <c r="I186" s="976">
        <v>1000000</v>
      </c>
      <c r="J186" s="976"/>
      <c r="K186" s="965" t="s">
        <v>504</v>
      </c>
      <c r="L186" s="966"/>
    </row>
    <row r="187" spans="1:31" ht="94.5" customHeight="1" thickBot="1" x14ac:dyDescent="0.4">
      <c r="A187" s="47"/>
      <c r="B187" s="961" t="s">
        <v>515</v>
      </c>
      <c r="C187" s="962"/>
      <c r="D187" s="963" t="s">
        <v>516</v>
      </c>
      <c r="E187" s="963"/>
      <c r="F187" s="963"/>
      <c r="G187" s="963"/>
      <c r="H187" s="375" t="s">
        <v>517</v>
      </c>
      <c r="I187" s="964">
        <v>2000000</v>
      </c>
      <c r="J187" s="964"/>
      <c r="K187" s="965" t="s">
        <v>504</v>
      </c>
      <c r="L187" s="966"/>
    </row>
    <row r="188" spans="1:31" s="46" customFormat="1" ht="15" customHeight="1" x14ac:dyDescent="0.35">
      <c r="A188" s="21"/>
      <c r="B188" s="43"/>
      <c r="C188" s="43"/>
      <c r="D188" s="43"/>
      <c r="E188" s="43"/>
      <c r="F188" s="43"/>
      <c r="G188" s="43"/>
      <c r="H188" s="43"/>
      <c r="I188" s="43"/>
      <c r="J188" s="43"/>
      <c r="K188" s="43"/>
      <c r="L188" s="43"/>
      <c r="M188" s="43"/>
      <c r="N188" s="44"/>
      <c r="O188" s="44"/>
      <c r="P188" s="44"/>
      <c r="Q188" s="44"/>
      <c r="R188" s="44"/>
      <c r="S188" s="44"/>
      <c r="T188" s="44"/>
      <c r="U188" s="44"/>
      <c r="V188" s="44"/>
      <c r="W188" s="44"/>
      <c r="X188" s="44"/>
      <c r="Y188" s="44"/>
      <c r="Z188" s="44"/>
      <c r="AA188" s="44"/>
      <c r="AB188" s="44"/>
      <c r="AC188" s="44"/>
      <c r="AD188" s="44"/>
      <c r="AE188" s="44"/>
    </row>
    <row r="189" spans="1:31" s="46" customFormat="1" ht="15" customHeight="1" x14ac:dyDescent="0.35">
      <c r="A189" s="21"/>
      <c r="B189" s="43"/>
      <c r="C189" s="43"/>
      <c r="D189" s="43"/>
      <c r="E189" s="43"/>
      <c r="F189" s="43"/>
      <c r="G189" s="43"/>
      <c r="H189" s="43"/>
      <c r="I189" s="43"/>
      <c r="J189" s="43"/>
      <c r="K189" s="43"/>
      <c r="L189" s="43"/>
      <c r="M189" s="43"/>
      <c r="N189" s="44"/>
      <c r="O189" s="44"/>
      <c r="P189" s="44"/>
      <c r="Q189" s="44"/>
      <c r="R189" s="44"/>
      <c r="S189" s="44"/>
      <c r="T189" s="44"/>
      <c r="U189" s="44"/>
      <c r="V189" s="44"/>
      <c r="W189" s="44"/>
      <c r="X189" s="44"/>
      <c r="Y189" s="44"/>
      <c r="Z189" s="44"/>
      <c r="AA189" s="44"/>
      <c r="AB189" s="44"/>
      <c r="AC189" s="44"/>
      <c r="AD189" s="44"/>
      <c r="AE189" s="44"/>
    </row>
    <row r="190" spans="1:31" ht="3.75" customHeight="1" x14ac:dyDescent="0.35">
      <c r="A190" s="47"/>
      <c r="B190" s="61"/>
    </row>
    <row r="191" spans="1:31" ht="15.75" customHeight="1" x14ac:dyDescent="0.35">
      <c r="A191" s="47"/>
      <c r="B191" s="826" t="s">
        <v>104</v>
      </c>
      <c r="C191" s="826"/>
      <c r="D191" s="826"/>
      <c r="E191" s="826"/>
      <c r="F191" s="826"/>
      <c r="G191" s="826"/>
      <c r="H191" s="826"/>
      <c r="I191" s="826"/>
      <c r="J191" s="826"/>
      <c r="K191" s="826"/>
      <c r="L191" s="826"/>
    </row>
    <row r="192" spans="1:31" s="46" customFormat="1" ht="15" customHeight="1" thickBot="1" x14ac:dyDescent="0.4">
      <c r="A192" s="21"/>
      <c r="B192" s="43"/>
      <c r="C192" s="43"/>
      <c r="D192" s="43"/>
      <c r="E192" s="43"/>
      <c r="F192" s="43"/>
      <c r="G192" s="43"/>
      <c r="H192" s="43"/>
      <c r="I192" s="43"/>
      <c r="J192" s="43"/>
      <c r="K192" s="43"/>
      <c r="L192" s="43"/>
      <c r="M192" s="43"/>
      <c r="N192" s="44"/>
      <c r="O192" s="44"/>
      <c r="P192" s="44"/>
      <c r="Q192" s="44"/>
      <c r="R192" s="44"/>
      <c r="S192" s="44"/>
      <c r="T192" s="44"/>
      <c r="U192" s="44"/>
      <c r="V192" s="44"/>
      <c r="W192" s="44"/>
      <c r="X192" s="44"/>
      <c r="Y192" s="44"/>
      <c r="Z192" s="44"/>
      <c r="AA192" s="44"/>
      <c r="AB192" s="44"/>
      <c r="AC192" s="44"/>
      <c r="AD192" s="44"/>
      <c r="AE192" s="44"/>
    </row>
    <row r="193" spans="1:31" ht="23.5" customHeight="1" x14ac:dyDescent="0.35">
      <c r="A193" s="47"/>
      <c r="B193" s="854" t="s">
        <v>518</v>
      </c>
      <c r="C193" s="967"/>
      <c r="D193" s="967"/>
      <c r="E193" s="967"/>
      <c r="F193" s="967"/>
      <c r="G193" s="967"/>
      <c r="H193" s="967"/>
      <c r="I193" s="967"/>
      <c r="J193" s="967"/>
      <c r="K193" s="967"/>
      <c r="L193" s="968"/>
    </row>
    <row r="194" spans="1:31" ht="23.5" customHeight="1" x14ac:dyDescent="0.35">
      <c r="A194" s="47"/>
      <c r="B194" s="969"/>
      <c r="C194" s="970"/>
      <c r="D194" s="970"/>
      <c r="E194" s="970"/>
      <c r="F194" s="970"/>
      <c r="G194" s="970"/>
      <c r="H194" s="970"/>
      <c r="I194" s="970"/>
      <c r="J194" s="970"/>
      <c r="K194" s="970"/>
      <c r="L194" s="971"/>
    </row>
    <row r="195" spans="1:31" ht="23.5" customHeight="1" x14ac:dyDescent="0.35">
      <c r="A195" s="47"/>
      <c r="B195" s="969"/>
      <c r="C195" s="970"/>
      <c r="D195" s="970"/>
      <c r="E195" s="970"/>
      <c r="F195" s="970"/>
      <c r="G195" s="970"/>
      <c r="H195" s="970"/>
      <c r="I195" s="970"/>
      <c r="J195" s="970"/>
      <c r="K195" s="970"/>
      <c r="L195" s="971"/>
    </row>
    <row r="196" spans="1:31" ht="23.5" customHeight="1" x14ac:dyDescent="0.35">
      <c r="A196" s="47"/>
      <c r="B196" s="969"/>
      <c r="C196" s="970"/>
      <c r="D196" s="970"/>
      <c r="E196" s="970"/>
      <c r="F196" s="970"/>
      <c r="G196" s="970"/>
      <c r="H196" s="970"/>
      <c r="I196" s="970"/>
      <c r="J196" s="970"/>
      <c r="K196" s="970"/>
      <c r="L196" s="971"/>
    </row>
    <row r="197" spans="1:31" ht="23.5" customHeight="1" x14ac:dyDescent="0.35">
      <c r="A197" s="47"/>
      <c r="B197" s="969"/>
      <c r="C197" s="970"/>
      <c r="D197" s="970"/>
      <c r="E197" s="970"/>
      <c r="F197" s="970"/>
      <c r="G197" s="970"/>
      <c r="H197" s="970"/>
      <c r="I197" s="970"/>
      <c r="J197" s="970"/>
      <c r="K197" s="970"/>
      <c r="L197" s="971"/>
    </row>
    <row r="198" spans="1:31" ht="23.5" customHeight="1" x14ac:dyDescent="0.35">
      <c r="A198" s="47"/>
      <c r="B198" s="969"/>
      <c r="C198" s="970"/>
      <c r="D198" s="970"/>
      <c r="E198" s="970"/>
      <c r="F198" s="970"/>
      <c r="G198" s="970"/>
      <c r="H198" s="970"/>
      <c r="I198" s="970"/>
      <c r="J198" s="970"/>
      <c r="K198" s="970"/>
      <c r="L198" s="971"/>
    </row>
    <row r="199" spans="1:31" ht="23.5" customHeight="1" x14ac:dyDescent="0.35">
      <c r="A199" s="47"/>
      <c r="B199" s="969"/>
      <c r="C199" s="970"/>
      <c r="D199" s="970"/>
      <c r="E199" s="970"/>
      <c r="F199" s="970"/>
      <c r="G199" s="970"/>
      <c r="H199" s="970"/>
      <c r="I199" s="970"/>
      <c r="J199" s="970"/>
      <c r="K199" s="970"/>
      <c r="L199" s="971"/>
    </row>
    <row r="200" spans="1:31" ht="23.5" customHeight="1" x14ac:dyDescent="0.35">
      <c r="A200" s="47"/>
      <c r="B200" s="969"/>
      <c r="C200" s="970"/>
      <c r="D200" s="970"/>
      <c r="E200" s="970"/>
      <c r="F200" s="970"/>
      <c r="G200" s="970"/>
      <c r="H200" s="970"/>
      <c r="I200" s="970"/>
      <c r="J200" s="970"/>
      <c r="K200" s="970"/>
      <c r="L200" s="971"/>
    </row>
    <row r="201" spans="1:31" ht="23.5" customHeight="1" thickBot="1" x14ac:dyDescent="0.4">
      <c r="A201" s="47"/>
      <c r="B201" s="972"/>
      <c r="C201" s="973"/>
      <c r="D201" s="973"/>
      <c r="E201" s="973"/>
      <c r="F201" s="973"/>
      <c r="G201" s="973"/>
      <c r="H201" s="973"/>
      <c r="I201" s="973"/>
      <c r="J201" s="973"/>
      <c r="K201" s="973"/>
      <c r="L201" s="974"/>
    </row>
    <row r="202" spans="1:31" s="46" customFormat="1" ht="15" customHeight="1" x14ac:dyDescent="0.35">
      <c r="A202" s="21"/>
      <c r="B202" s="43"/>
      <c r="C202" s="43"/>
      <c r="D202" s="43"/>
      <c r="E202" s="43"/>
      <c r="F202" s="43"/>
      <c r="G202" s="43"/>
      <c r="H202" s="43"/>
      <c r="I202" s="43"/>
      <c r="J202" s="43"/>
      <c r="K202" s="43"/>
      <c r="L202" s="43"/>
      <c r="M202" s="43"/>
      <c r="N202" s="44"/>
      <c r="O202" s="44"/>
      <c r="P202" s="44"/>
      <c r="Q202" s="44"/>
      <c r="R202" s="44"/>
      <c r="S202" s="44"/>
      <c r="T202" s="44"/>
      <c r="U202" s="44"/>
      <c r="V202" s="44"/>
      <c r="W202" s="44"/>
      <c r="X202" s="44"/>
      <c r="Y202" s="44"/>
      <c r="Z202" s="44"/>
      <c r="AA202" s="44"/>
      <c r="AB202" s="44"/>
      <c r="AC202" s="44"/>
      <c r="AD202" s="44"/>
      <c r="AE202" s="44"/>
    </row>
    <row r="203" spans="1:31" s="46" customFormat="1" ht="15" customHeight="1" x14ac:dyDescent="0.35">
      <c r="A203" s="21"/>
      <c r="B203" s="43"/>
      <c r="C203" s="43"/>
      <c r="D203" s="43"/>
      <c r="E203" s="43"/>
      <c r="F203" s="43"/>
      <c r="G203" s="43"/>
      <c r="H203" s="43"/>
      <c r="I203" s="43"/>
      <c r="J203" s="43"/>
      <c r="K203" s="43"/>
      <c r="L203" s="43"/>
      <c r="M203" s="43"/>
      <c r="N203" s="44"/>
      <c r="O203" s="44"/>
      <c r="P203" s="44"/>
      <c r="Q203" s="44"/>
      <c r="R203" s="44"/>
      <c r="S203" s="44"/>
      <c r="T203" s="44"/>
      <c r="U203" s="44"/>
      <c r="V203" s="44"/>
      <c r="W203" s="44"/>
      <c r="X203" s="44"/>
      <c r="Y203" s="44"/>
      <c r="Z203" s="44"/>
      <c r="AA203" s="44"/>
      <c r="AB203" s="44"/>
      <c r="AC203" s="44"/>
      <c r="AD203" s="44"/>
      <c r="AE203" s="44"/>
    </row>
    <row r="204" spans="1:31" ht="15.75" customHeight="1" x14ac:dyDescent="0.35">
      <c r="A204" s="47"/>
      <c r="B204" s="826" t="s">
        <v>105</v>
      </c>
      <c r="C204" s="826"/>
      <c r="D204" s="826"/>
      <c r="E204" s="826"/>
      <c r="F204" s="826"/>
      <c r="G204" s="826"/>
      <c r="H204" s="826"/>
      <c r="I204" s="826"/>
      <c r="J204" s="826"/>
      <c r="K204" s="826"/>
      <c r="L204" s="826"/>
    </row>
    <row r="205" spans="1:31" ht="3.75" customHeight="1" x14ac:dyDescent="0.35">
      <c r="A205" s="47"/>
      <c r="B205" s="61"/>
    </row>
    <row r="206" spans="1:31" ht="3.75" customHeight="1" thickBot="1" x14ac:dyDescent="0.4">
      <c r="A206" s="47"/>
      <c r="B206" s="61"/>
    </row>
    <row r="207" spans="1:31" ht="22.5" customHeight="1" x14ac:dyDescent="0.35">
      <c r="A207" s="47"/>
      <c r="B207" s="946" t="s">
        <v>106</v>
      </c>
      <c r="C207" s="947"/>
      <c r="D207" s="950" t="s">
        <v>107</v>
      </c>
      <c r="E207" s="904"/>
      <c r="F207" s="902"/>
      <c r="G207" s="951" t="s">
        <v>108</v>
      </c>
      <c r="H207" s="952"/>
      <c r="I207" s="955" t="s">
        <v>109</v>
      </c>
      <c r="J207" s="947"/>
      <c r="K207" s="957" t="s">
        <v>110</v>
      </c>
      <c r="L207" s="959" t="s">
        <v>111</v>
      </c>
    </row>
    <row r="208" spans="1:31" ht="32.25" customHeight="1" x14ac:dyDescent="0.35">
      <c r="A208" s="47"/>
      <c r="B208" s="948"/>
      <c r="C208" s="949"/>
      <c r="D208" s="68" t="s">
        <v>112</v>
      </c>
      <c r="E208" s="68" t="s">
        <v>113</v>
      </c>
      <c r="F208" s="68" t="s">
        <v>114</v>
      </c>
      <c r="G208" s="953"/>
      <c r="H208" s="954"/>
      <c r="I208" s="956"/>
      <c r="J208" s="949"/>
      <c r="K208" s="958"/>
      <c r="L208" s="960"/>
    </row>
    <row r="209" spans="1:31" ht="69" customHeight="1" x14ac:dyDescent="0.35">
      <c r="A209" s="47"/>
      <c r="B209" s="835" t="s">
        <v>519</v>
      </c>
      <c r="C209" s="836"/>
      <c r="D209" s="376"/>
      <c r="E209" s="376" t="s">
        <v>178</v>
      </c>
      <c r="F209" s="377"/>
      <c r="G209" s="841" t="s">
        <v>531</v>
      </c>
      <c r="H209" s="944"/>
      <c r="I209" s="841" t="s">
        <v>526</v>
      </c>
      <c r="J209" s="839"/>
      <c r="K209" s="377" t="s">
        <v>163</v>
      </c>
      <c r="L209" s="378">
        <v>8000000</v>
      </c>
    </row>
    <row r="210" spans="1:31" ht="69" customHeight="1" x14ac:dyDescent="0.35">
      <c r="A210" s="47"/>
      <c r="B210" s="835" t="s">
        <v>520</v>
      </c>
      <c r="C210" s="943"/>
      <c r="D210" s="377"/>
      <c r="E210" s="376" t="s">
        <v>178</v>
      </c>
      <c r="F210" s="377"/>
      <c r="G210" s="841" t="s">
        <v>521</v>
      </c>
      <c r="H210" s="944"/>
      <c r="I210" s="841" t="s">
        <v>522</v>
      </c>
      <c r="J210" s="945"/>
      <c r="K210" s="377" t="s">
        <v>523</v>
      </c>
      <c r="L210" s="378">
        <v>6500000</v>
      </c>
    </row>
    <row r="211" spans="1:31" ht="69" customHeight="1" x14ac:dyDescent="0.35">
      <c r="A211" s="47"/>
      <c r="B211" s="835" t="s">
        <v>527</v>
      </c>
      <c r="C211" s="943"/>
      <c r="D211" s="376" t="s">
        <v>178</v>
      </c>
      <c r="E211" s="377"/>
      <c r="F211" s="376"/>
      <c r="G211" s="841" t="s">
        <v>524</v>
      </c>
      <c r="H211" s="944"/>
      <c r="I211" s="841" t="s">
        <v>525</v>
      </c>
      <c r="J211" s="945"/>
      <c r="K211" s="377" t="s">
        <v>169</v>
      </c>
      <c r="L211" s="378">
        <v>10000000</v>
      </c>
    </row>
    <row r="212" spans="1:31" ht="69" customHeight="1" x14ac:dyDescent="0.35">
      <c r="A212" s="47"/>
      <c r="B212" s="835" t="s">
        <v>530</v>
      </c>
      <c r="C212" s="943"/>
      <c r="D212" s="376"/>
      <c r="E212" s="377"/>
      <c r="F212" s="376" t="s">
        <v>178</v>
      </c>
      <c r="G212" s="841" t="s">
        <v>528</v>
      </c>
      <c r="H212" s="944"/>
      <c r="I212" s="841" t="s">
        <v>529</v>
      </c>
      <c r="J212" s="945"/>
      <c r="K212" s="377" t="s">
        <v>169</v>
      </c>
      <c r="L212" s="378">
        <v>6000000</v>
      </c>
    </row>
    <row r="213" spans="1:31" ht="69" customHeight="1" thickBot="1" x14ac:dyDescent="0.4">
      <c r="A213" s="47"/>
      <c r="B213" s="920" t="s">
        <v>532</v>
      </c>
      <c r="C213" s="921"/>
      <c r="D213" s="379"/>
      <c r="E213" s="379"/>
      <c r="F213" s="381" t="s">
        <v>178</v>
      </c>
      <c r="G213" s="844" t="s">
        <v>535</v>
      </c>
      <c r="H213" s="922"/>
      <c r="I213" s="844" t="s">
        <v>533</v>
      </c>
      <c r="J213" s="923"/>
      <c r="K213" s="379" t="s">
        <v>534</v>
      </c>
      <c r="L213" s="380">
        <v>5500000</v>
      </c>
    </row>
    <row r="214" spans="1:31" s="46" customFormat="1" ht="15" customHeight="1" x14ac:dyDescent="0.35">
      <c r="A214" s="21"/>
      <c r="B214" s="43"/>
      <c r="C214" s="43"/>
      <c r="D214" s="43"/>
      <c r="E214" s="43"/>
      <c r="F214" s="43"/>
      <c r="G214" s="43"/>
      <c r="H214" s="43"/>
      <c r="I214" s="43"/>
      <c r="J214" s="43"/>
      <c r="K214" s="43"/>
      <c r="L214" s="43"/>
      <c r="M214" s="43"/>
      <c r="N214" s="44"/>
      <c r="O214" s="44"/>
      <c r="P214" s="44"/>
      <c r="Q214" s="44"/>
      <c r="R214" s="44"/>
      <c r="S214" s="44"/>
      <c r="T214" s="44"/>
      <c r="U214" s="44"/>
      <c r="V214" s="44"/>
      <c r="W214" s="44"/>
      <c r="X214" s="44"/>
      <c r="Y214" s="44"/>
      <c r="Z214" s="44"/>
      <c r="AA214" s="44"/>
      <c r="AB214" s="44"/>
      <c r="AC214" s="44"/>
      <c r="AD214" s="44"/>
      <c r="AE214" s="44"/>
    </row>
    <row r="215" spans="1:31" s="46" customFormat="1" ht="15" customHeight="1" x14ac:dyDescent="0.35">
      <c r="A215" s="21"/>
      <c r="B215" s="43"/>
      <c r="C215" s="43"/>
      <c r="D215" s="43"/>
      <c r="E215" s="43"/>
      <c r="F215" s="43"/>
      <c r="G215" s="43"/>
      <c r="H215" s="43"/>
      <c r="I215" s="43"/>
      <c r="J215" s="43"/>
      <c r="K215" s="43"/>
      <c r="L215" s="43"/>
      <c r="M215" s="43"/>
      <c r="N215" s="44"/>
      <c r="O215" s="44"/>
      <c r="P215" s="44"/>
      <c r="Q215" s="44"/>
      <c r="R215" s="44"/>
      <c r="S215" s="44"/>
      <c r="T215" s="44"/>
      <c r="U215" s="44"/>
      <c r="V215" s="44"/>
      <c r="W215" s="44"/>
      <c r="X215" s="44"/>
      <c r="Y215" s="44"/>
      <c r="Z215" s="44"/>
      <c r="AA215" s="44"/>
      <c r="AB215" s="44"/>
      <c r="AC215" s="44"/>
      <c r="AD215" s="44"/>
      <c r="AE215" s="44"/>
    </row>
    <row r="216" spans="1:31" ht="15.75" customHeight="1" x14ac:dyDescent="0.35">
      <c r="A216" s="47"/>
      <c r="B216" s="826" t="s">
        <v>115</v>
      </c>
      <c r="C216" s="826"/>
      <c r="D216" s="826"/>
      <c r="E216" s="826"/>
      <c r="F216" s="826"/>
      <c r="G216" s="826"/>
      <c r="H216" s="826"/>
      <c r="I216" s="826"/>
      <c r="J216" s="826"/>
      <c r="K216" s="826"/>
      <c r="L216" s="826"/>
    </row>
    <row r="217" spans="1:31" s="46" customFormat="1" ht="15" customHeight="1" x14ac:dyDescent="0.35">
      <c r="A217" s="21"/>
      <c r="B217" s="43"/>
      <c r="C217" s="43"/>
      <c r="D217" s="43"/>
      <c r="E217" s="43"/>
      <c r="F217" s="43"/>
      <c r="G217" s="43"/>
      <c r="H217" s="43"/>
      <c r="I217" s="43"/>
      <c r="J217" s="43"/>
      <c r="K217" s="43"/>
      <c r="L217" s="43"/>
      <c r="M217" s="43"/>
      <c r="N217" s="44"/>
      <c r="O217" s="44"/>
      <c r="P217" s="44"/>
      <c r="Q217" s="44"/>
      <c r="R217" s="44"/>
      <c r="S217" s="44"/>
      <c r="T217" s="44"/>
      <c r="U217" s="44"/>
      <c r="V217" s="44"/>
      <c r="W217" s="44"/>
      <c r="X217" s="44"/>
      <c r="Y217" s="44"/>
      <c r="Z217" s="44"/>
      <c r="AA217" s="44"/>
      <c r="AB217" s="44"/>
      <c r="AC217" s="44"/>
      <c r="AD217" s="44"/>
      <c r="AE217" s="44"/>
    </row>
    <row r="218" spans="1:31" ht="15.75" customHeight="1" x14ac:dyDescent="0.35">
      <c r="A218" s="47"/>
      <c r="B218" s="863" t="s">
        <v>116</v>
      </c>
      <c r="C218" s="813"/>
      <c r="D218" s="813"/>
      <c r="E218" s="813"/>
      <c r="F218" s="813"/>
      <c r="G218" s="813"/>
      <c r="H218" s="813"/>
      <c r="I218" s="813"/>
      <c r="J218" s="813"/>
      <c r="K218" s="813"/>
      <c r="L218" s="813"/>
    </row>
    <row r="219" spans="1:31" s="46" customFormat="1" ht="15" customHeight="1" thickBot="1" x14ac:dyDescent="0.4">
      <c r="A219" s="21"/>
      <c r="B219" s="43"/>
      <c r="C219" s="43"/>
      <c r="D219" s="43"/>
      <c r="E219" s="43"/>
      <c r="F219" s="43"/>
      <c r="G219" s="43"/>
      <c r="H219" s="43"/>
      <c r="I219" s="43"/>
      <c r="J219" s="43"/>
      <c r="K219" s="43"/>
      <c r="L219" s="43"/>
      <c r="M219" s="43"/>
      <c r="N219" s="44"/>
      <c r="O219" s="44"/>
      <c r="P219" s="44"/>
      <c r="Q219" s="44"/>
      <c r="R219" s="44"/>
      <c r="S219" s="44"/>
      <c r="T219" s="44"/>
      <c r="U219" s="44"/>
      <c r="V219" s="44"/>
      <c r="W219" s="44"/>
      <c r="X219" s="44"/>
      <c r="Y219" s="44"/>
      <c r="Z219" s="44"/>
      <c r="AA219" s="44"/>
      <c r="AB219" s="44"/>
      <c r="AC219" s="44"/>
      <c r="AD219" s="44"/>
      <c r="AE219" s="44"/>
    </row>
    <row r="220" spans="1:31" ht="63.5" customHeight="1" x14ac:dyDescent="0.35">
      <c r="A220" s="47"/>
      <c r="B220" s="924" t="s">
        <v>537</v>
      </c>
      <c r="C220" s="925"/>
      <c r="D220" s="930" t="s">
        <v>117</v>
      </c>
      <c r="E220" s="931"/>
      <c r="F220" s="932" t="s">
        <v>536</v>
      </c>
      <c r="G220" s="933"/>
      <c r="H220" s="933"/>
      <c r="I220" s="933"/>
      <c r="J220" s="933"/>
      <c r="K220" s="933"/>
      <c r="L220" s="934"/>
    </row>
    <row r="221" spans="1:31" ht="70" customHeight="1" x14ac:dyDescent="0.35">
      <c r="A221" s="47"/>
      <c r="B221" s="926"/>
      <c r="C221" s="927"/>
      <c r="D221" s="912" t="s">
        <v>118</v>
      </c>
      <c r="E221" s="913"/>
      <c r="F221" s="851" t="s">
        <v>1198</v>
      </c>
      <c r="G221" s="935"/>
      <c r="H221" s="935"/>
      <c r="I221" s="935"/>
      <c r="J221" s="935"/>
      <c r="K221" s="935"/>
      <c r="L221" s="936"/>
    </row>
    <row r="222" spans="1:31" ht="63.5" customHeight="1" x14ac:dyDescent="0.35">
      <c r="A222" s="47"/>
      <c r="B222" s="926"/>
      <c r="C222" s="927"/>
      <c r="D222" s="912" t="s">
        <v>119</v>
      </c>
      <c r="E222" s="913"/>
      <c r="F222" s="851" t="s">
        <v>538</v>
      </c>
      <c r="G222" s="914"/>
      <c r="H222" s="914"/>
      <c r="I222" s="914"/>
      <c r="J222" s="914"/>
      <c r="K222" s="914"/>
      <c r="L222" s="915"/>
    </row>
    <row r="223" spans="1:31" ht="63.5" customHeight="1" x14ac:dyDescent="0.35">
      <c r="A223" s="47"/>
      <c r="B223" s="926"/>
      <c r="C223" s="927"/>
      <c r="D223" s="916" t="s">
        <v>120</v>
      </c>
      <c r="E223" s="917"/>
      <c r="F223" s="851" t="s">
        <v>539</v>
      </c>
      <c r="G223" s="941"/>
      <c r="H223" s="852" t="s">
        <v>542</v>
      </c>
      <c r="I223" s="852"/>
      <c r="J223" s="852"/>
      <c r="K223" s="852"/>
      <c r="L223" s="942"/>
    </row>
    <row r="224" spans="1:31" ht="72.5" customHeight="1" thickBot="1" x14ac:dyDescent="0.4">
      <c r="A224" s="47"/>
      <c r="B224" s="928"/>
      <c r="C224" s="929"/>
      <c r="D224" s="918"/>
      <c r="E224" s="919"/>
      <c r="F224" s="940" t="s">
        <v>540</v>
      </c>
      <c r="G224" s="938"/>
      <c r="H224" s="937" t="s">
        <v>541</v>
      </c>
      <c r="I224" s="938"/>
      <c r="J224" s="938"/>
      <c r="K224" s="938"/>
      <c r="L224" s="939"/>
    </row>
    <row r="225" spans="1:12" ht="3.75" customHeight="1" x14ac:dyDescent="0.35">
      <c r="A225" s="47"/>
      <c r="B225" s="61"/>
    </row>
    <row r="226" spans="1:12" ht="60" hidden="1" customHeight="1" x14ac:dyDescent="0.35">
      <c r="A226" s="47"/>
      <c r="B226" s="895" t="s">
        <v>123</v>
      </c>
      <c r="C226" s="896"/>
      <c r="D226" s="901" t="s">
        <v>117</v>
      </c>
      <c r="E226" s="902"/>
      <c r="F226" s="903"/>
      <c r="G226" s="904"/>
      <c r="H226" s="904"/>
      <c r="I226" s="904"/>
      <c r="J226" s="904"/>
      <c r="K226" s="904"/>
      <c r="L226" s="905"/>
    </row>
    <row r="227" spans="1:12" ht="60" hidden="1" customHeight="1" x14ac:dyDescent="0.35">
      <c r="A227" s="47"/>
      <c r="B227" s="897"/>
      <c r="C227" s="898"/>
      <c r="D227" s="885" t="s">
        <v>118</v>
      </c>
      <c r="E227" s="887"/>
      <c r="F227" s="906"/>
      <c r="G227" s="886"/>
      <c r="H227" s="886"/>
      <c r="I227" s="886"/>
      <c r="J227" s="886"/>
      <c r="K227" s="886"/>
      <c r="L227" s="888"/>
    </row>
    <row r="228" spans="1:12" ht="60" hidden="1" customHeight="1" x14ac:dyDescent="0.35">
      <c r="A228" s="47"/>
      <c r="B228" s="897"/>
      <c r="C228" s="898"/>
      <c r="D228" s="69" t="s">
        <v>119</v>
      </c>
      <c r="E228" s="69"/>
      <c r="F228" s="885"/>
      <c r="G228" s="886"/>
      <c r="H228" s="886"/>
      <c r="I228" s="886"/>
      <c r="J228" s="886"/>
      <c r="K228" s="886"/>
      <c r="L228" s="888"/>
    </row>
    <row r="229" spans="1:12" ht="60" hidden="1" customHeight="1" x14ac:dyDescent="0.35">
      <c r="A229" s="47"/>
      <c r="B229" s="897"/>
      <c r="C229" s="898"/>
      <c r="D229" s="908" t="s">
        <v>120</v>
      </c>
      <c r="E229" s="909"/>
      <c r="F229" s="885" t="s">
        <v>121</v>
      </c>
      <c r="G229" s="886"/>
      <c r="H229" s="887"/>
      <c r="I229" s="885"/>
      <c r="J229" s="886"/>
      <c r="K229" s="886"/>
      <c r="L229" s="888"/>
    </row>
    <row r="230" spans="1:12" ht="60" hidden="1" customHeight="1" thickBot="1" x14ac:dyDescent="0.4">
      <c r="A230" s="47"/>
      <c r="B230" s="899"/>
      <c r="C230" s="900"/>
      <c r="D230" s="910"/>
      <c r="E230" s="911"/>
      <c r="F230" s="889" t="s">
        <v>122</v>
      </c>
      <c r="G230" s="890"/>
      <c r="H230" s="891"/>
      <c r="I230" s="889"/>
      <c r="J230" s="892"/>
      <c r="K230" s="892"/>
      <c r="L230" s="893"/>
    </row>
    <row r="231" spans="1:12" ht="3.75" hidden="1" customHeight="1" thickBot="1" x14ac:dyDescent="0.4">
      <c r="A231" s="47"/>
      <c r="B231" s="61"/>
    </row>
    <row r="232" spans="1:12" ht="60" hidden="1" customHeight="1" x14ac:dyDescent="0.35">
      <c r="A232" s="47"/>
      <c r="B232" s="895" t="s">
        <v>124</v>
      </c>
      <c r="C232" s="896"/>
      <c r="D232" s="901" t="s">
        <v>117</v>
      </c>
      <c r="E232" s="902"/>
      <c r="F232" s="903"/>
      <c r="G232" s="904"/>
      <c r="H232" s="904"/>
      <c r="I232" s="904"/>
      <c r="J232" s="904"/>
      <c r="K232" s="904"/>
      <c r="L232" s="905"/>
    </row>
    <row r="233" spans="1:12" ht="60" hidden="1" customHeight="1" x14ac:dyDescent="0.35">
      <c r="A233" s="47"/>
      <c r="B233" s="897"/>
      <c r="C233" s="898"/>
      <c r="D233" s="885" t="s">
        <v>118</v>
      </c>
      <c r="E233" s="887"/>
      <c r="F233" s="906"/>
      <c r="G233" s="886"/>
      <c r="H233" s="886"/>
      <c r="I233" s="886"/>
      <c r="J233" s="886"/>
      <c r="K233" s="886"/>
      <c r="L233" s="888"/>
    </row>
    <row r="234" spans="1:12" ht="60" hidden="1" customHeight="1" x14ac:dyDescent="0.35">
      <c r="A234" s="47"/>
      <c r="B234" s="897"/>
      <c r="C234" s="898"/>
      <c r="D234" s="69" t="s">
        <v>119</v>
      </c>
      <c r="E234" s="69"/>
      <c r="F234" s="885"/>
      <c r="G234" s="886"/>
      <c r="H234" s="886"/>
      <c r="I234" s="886"/>
      <c r="J234" s="886"/>
      <c r="K234" s="886"/>
      <c r="L234" s="888"/>
    </row>
    <row r="235" spans="1:12" ht="60" hidden="1" customHeight="1" x14ac:dyDescent="0.35">
      <c r="A235" s="47"/>
      <c r="B235" s="897"/>
      <c r="C235" s="898"/>
      <c r="D235" s="908" t="s">
        <v>120</v>
      </c>
      <c r="E235" s="909"/>
      <c r="F235" s="885" t="s">
        <v>121</v>
      </c>
      <c r="G235" s="886"/>
      <c r="H235" s="887"/>
      <c r="I235" s="885"/>
      <c r="J235" s="886"/>
      <c r="K235" s="886"/>
      <c r="L235" s="888"/>
    </row>
    <row r="236" spans="1:12" ht="60" hidden="1" customHeight="1" thickBot="1" x14ac:dyDescent="0.4">
      <c r="A236" s="47"/>
      <c r="B236" s="899"/>
      <c r="C236" s="900"/>
      <c r="D236" s="910"/>
      <c r="E236" s="911"/>
      <c r="F236" s="889" t="s">
        <v>122</v>
      </c>
      <c r="G236" s="890"/>
      <c r="H236" s="891"/>
      <c r="I236" s="889"/>
      <c r="J236" s="892"/>
      <c r="K236" s="892"/>
      <c r="L236" s="893"/>
    </row>
    <row r="237" spans="1:12" ht="3.75" hidden="1" customHeight="1" thickBot="1" x14ac:dyDescent="0.4">
      <c r="A237" s="47"/>
      <c r="B237" s="61"/>
    </row>
    <row r="238" spans="1:12" ht="60" hidden="1" customHeight="1" x14ac:dyDescent="0.35">
      <c r="A238" s="47"/>
      <c r="B238" s="895" t="s">
        <v>125</v>
      </c>
      <c r="C238" s="896"/>
      <c r="D238" s="901" t="s">
        <v>117</v>
      </c>
      <c r="E238" s="902"/>
      <c r="F238" s="903"/>
      <c r="G238" s="904"/>
      <c r="H238" s="904"/>
      <c r="I238" s="904"/>
      <c r="J238" s="904"/>
      <c r="K238" s="904"/>
      <c r="L238" s="905"/>
    </row>
    <row r="239" spans="1:12" ht="60" hidden="1" customHeight="1" x14ac:dyDescent="0.35">
      <c r="A239" s="47"/>
      <c r="B239" s="897"/>
      <c r="C239" s="898"/>
      <c r="D239" s="885" t="s">
        <v>118</v>
      </c>
      <c r="E239" s="887"/>
      <c r="F239" s="906"/>
      <c r="G239" s="886"/>
      <c r="H239" s="886"/>
      <c r="I239" s="886"/>
      <c r="J239" s="886"/>
      <c r="K239" s="886"/>
      <c r="L239" s="888"/>
    </row>
    <row r="240" spans="1:12" ht="60" hidden="1" customHeight="1" x14ac:dyDescent="0.35">
      <c r="A240" s="47"/>
      <c r="B240" s="897"/>
      <c r="C240" s="898"/>
      <c r="D240" s="906" t="s">
        <v>119</v>
      </c>
      <c r="E240" s="907"/>
      <c r="F240" s="885"/>
      <c r="G240" s="886"/>
      <c r="H240" s="886"/>
      <c r="I240" s="886"/>
      <c r="J240" s="886"/>
      <c r="K240" s="886"/>
      <c r="L240" s="888"/>
    </row>
    <row r="241" spans="1:31" ht="60" hidden="1" customHeight="1" x14ac:dyDescent="0.35">
      <c r="A241" s="47"/>
      <c r="B241" s="897"/>
      <c r="C241" s="898"/>
      <c r="D241" s="908" t="s">
        <v>120</v>
      </c>
      <c r="E241" s="909"/>
      <c r="F241" s="885" t="s">
        <v>121</v>
      </c>
      <c r="G241" s="886"/>
      <c r="H241" s="887"/>
      <c r="I241" s="885"/>
      <c r="J241" s="886"/>
      <c r="K241" s="886"/>
      <c r="L241" s="888"/>
    </row>
    <row r="242" spans="1:31" ht="60" hidden="1" customHeight="1" thickBot="1" x14ac:dyDescent="0.4">
      <c r="A242" s="47"/>
      <c r="B242" s="899"/>
      <c r="C242" s="900"/>
      <c r="D242" s="910"/>
      <c r="E242" s="911"/>
      <c r="F242" s="889" t="s">
        <v>122</v>
      </c>
      <c r="G242" s="890"/>
      <c r="H242" s="891"/>
      <c r="I242" s="889"/>
      <c r="J242" s="892"/>
      <c r="K242" s="892"/>
      <c r="L242" s="893"/>
    </row>
    <row r="243" spans="1:31" s="46" customFormat="1" ht="15" customHeight="1" x14ac:dyDescent="0.35">
      <c r="A243" s="21"/>
      <c r="B243" s="43"/>
      <c r="C243" s="43"/>
      <c r="D243" s="43"/>
      <c r="E243" s="43"/>
      <c r="F243" s="43"/>
      <c r="G243" s="43"/>
      <c r="H243" s="43"/>
      <c r="I243" s="43"/>
      <c r="J243" s="43"/>
      <c r="K243" s="43"/>
      <c r="L243" s="43"/>
      <c r="M243" s="43"/>
      <c r="N243" s="44"/>
      <c r="O243" s="44"/>
      <c r="P243" s="44"/>
      <c r="Q243" s="44"/>
      <c r="R243" s="44"/>
      <c r="S243" s="44"/>
      <c r="T243" s="44"/>
      <c r="U243" s="44"/>
      <c r="V243" s="44"/>
      <c r="W243" s="44"/>
      <c r="X243" s="44"/>
      <c r="Y243" s="44"/>
      <c r="Z243" s="44"/>
      <c r="AA243" s="44"/>
      <c r="AB243" s="44"/>
      <c r="AC243" s="44"/>
      <c r="AD243" s="44"/>
      <c r="AE243" s="44"/>
    </row>
    <row r="244" spans="1:31" s="612" customFormat="1" ht="15" customHeight="1" x14ac:dyDescent="0.35">
      <c r="A244" s="21"/>
      <c r="B244" s="43"/>
      <c r="C244" s="43"/>
      <c r="D244" s="43"/>
      <c r="E244" s="43"/>
      <c r="F244" s="43"/>
      <c r="G244" s="43"/>
      <c r="H244" s="43"/>
      <c r="I244" s="43"/>
      <c r="J244" s="43"/>
      <c r="K244" s="43"/>
      <c r="L244" s="43"/>
      <c r="M244" s="43"/>
      <c r="N244" s="613"/>
      <c r="O244" s="613"/>
      <c r="P244" s="613"/>
      <c r="Q244" s="613"/>
      <c r="R244" s="613"/>
      <c r="S244" s="613"/>
      <c r="T244" s="613"/>
      <c r="U244" s="613"/>
      <c r="V244" s="613"/>
      <c r="W244" s="613"/>
      <c r="X244" s="613"/>
      <c r="Y244" s="613"/>
      <c r="Z244" s="613"/>
      <c r="AA244" s="613"/>
      <c r="AB244" s="613"/>
      <c r="AC244" s="613"/>
      <c r="AD244" s="613"/>
      <c r="AE244" s="613"/>
    </row>
    <row r="245" spans="1:31" ht="15.75" customHeight="1" x14ac:dyDescent="0.45">
      <c r="A245" s="47"/>
      <c r="B245" s="863" t="s">
        <v>126</v>
      </c>
      <c r="C245" s="894"/>
      <c r="D245" s="894"/>
      <c r="E245" s="894"/>
      <c r="F245" s="894"/>
      <c r="G245" s="894"/>
      <c r="H245" s="894"/>
      <c r="I245" s="894"/>
      <c r="J245" s="894"/>
      <c r="K245" s="894"/>
      <c r="L245" s="894"/>
    </row>
    <row r="246" spans="1:31" s="46" customFormat="1" ht="15" customHeight="1" x14ac:dyDescent="0.35">
      <c r="A246" s="21"/>
      <c r="B246" s="43"/>
      <c r="C246" s="43"/>
      <c r="D246" s="43"/>
      <c r="E246" s="43"/>
      <c r="F246" s="43"/>
      <c r="G246" s="43"/>
      <c r="H246" s="43"/>
      <c r="I246" s="43"/>
      <c r="J246" s="43"/>
      <c r="K246" s="43"/>
      <c r="L246" s="43"/>
      <c r="M246" s="43"/>
      <c r="N246" s="44"/>
      <c r="O246" s="44"/>
      <c r="P246" s="44"/>
      <c r="Q246" s="44"/>
      <c r="R246" s="44"/>
      <c r="S246" s="44"/>
      <c r="T246" s="44"/>
      <c r="U246" s="44"/>
      <c r="V246" s="44"/>
      <c r="W246" s="44"/>
      <c r="X246" s="44"/>
      <c r="Y246" s="44"/>
      <c r="Z246" s="44"/>
      <c r="AA246" s="44"/>
      <c r="AB246" s="44"/>
      <c r="AC246" s="44"/>
      <c r="AD246" s="44"/>
      <c r="AE246" s="44"/>
    </row>
    <row r="247" spans="1:31" ht="15.75" customHeight="1" x14ac:dyDescent="0.35">
      <c r="A247" s="47"/>
      <c r="B247" s="846" t="s">
        <v>127</v>
      </c>
      <c r="C247" s="813"/>
      <c r="D247" s="813"/>
      <c r="E247" s="813"/>
      <c r="F247" s="813"/>
      <c r="G247" s="813"/>
      <c r="H247" s="813"/>
      <c r="I247" s="813"/>
      <c r="J247" s="813"/>
      <c r="K247" s="813"/>
      <c r="L247" s="813"/>
    </row>
    <row r="248" spans="1:31" ht="4.5" customHeight="1" thickBot="1" x14ac:dyDescent="0.4">
      <c r="A248" s="47"/>
      <c r="B248" s="70"/>
    </row>
    <row r="249" spans="1:31" ht="15.75" customHeight="1" thickBot="1" x14ac:dyDescent="0.4">
      <c r="A249" s="47"/>
      <c r="B249" s="874">
        <v>3901017</v>
      </c>
      <c r="C249" s="875"/>
      <c r="D249" s="875"/>
      <c r="E249" s="875"/>
      <c r="F249" s="875"/>
      <c r="G249" s="875"/>
      <c r="H249" s="875"/>
      <c r="I249" s="875"/>
      <c r="J249" s="875"/>
      <c r="K249" s="875"/>
      <c r="L249" s="876"/>
      <c r="P249" s="713"/>
    </row>
    <row r="250" spans="1:31" s="46" customFormat="1" ht="15" customHeight="1" x14ac:dyDescent="0.35">
      <c r="A250" s="21"/>
      <c r="B250" s="43"/>
      <c r="C250" s="43"/>
      <c r="D250" s="43"/>
      <c r="E250" s="43"/>
      <c r="F250" s="43"/>
      <c r="G250" s="43"/>
      <c r="H250" s="43"/>
      <c r="I250" s="43"/>
      <c r="J250" s="43"/>
      <c r="K250" s="43"/>
      <c r="L250" s="43"/>
      <c r="M250" s="43"/>
      <c r="N250" s="44"/>
      <c r="O250" s="44"/>
      <c r="P250" s="715"/>
      <c r="Q250" s="44"/>
      <c r="R250" s="44"/>
      <c r="S250" s="44"/>
      <c r="T250" s="44"/>
      <c r="U250" s="44"/>
      <c r="V250" s="44"/>
      <c r="W250" s="44"/>
      <c r="X250" s="44"/>
      <c r="Y250" s="44"/>
      <c r="Z250" s="44"/>
      <c r="AA250" s="44"/>
      <c r="AB250" s="44"/>
      <c r="AC250" s="44"/>
      <c r="AD250" s="44"/>
      <c r="AE250" s="44"/>
    </row>
    <row r="251" spans="1:31" ht="15.75" customHeight="1" x14ac:dyDescent="0.35">
      <c r="A251" s="47"/>
      <c r="B251" s="846" t="s">
        <v>128</v>
      </c>
      <c r="C251" s="813"/>
      <c r="D251" s="813"/>
      <c r="E251" s="813"/>
      <c r="F251" s="813"/>
      <c r="G251" s="813"/>
      <c r="H251" s="813"/>
      <c r="I251" s="813"/>
      <c r="J251" s="813"/>
      <c r="K251" s="813"/>
      <c r="L251" s="813"/>
      <c r="P251" s="382"/>
    </row>
    <row r="252" spans="1:31" ht="5.25" customHeight="1" thickBot="1" x14ac:dyDescent="0.4">
      <c r="A252" s="47"/>
      <c r="B252" s="70"/>
    </row>
    <row r="253" spans="1:31" ht="134.5" customHeight="1" thickBot="1" x14ac:dyDescent="0.4">
      <c r="A253" s="47"/>
      <c r="B253" s="877" t="s">
        <v>1199</v>
      </c>
      <c r="C253" s="878"/>
      <c r="D253" s="878"/>
      <c r="E253" s="878"/>
      <c r="F253" s="878"/>
      <c r="G253" s="878"/>
      <c r="H253" s="878"/>
      <c r="I253" s="878"/>
      <c r="J253" s="878"/>
      <c r="K253" s="878"/>
      <c r="L253" s="879"/>
      <c r="P253" s="382"/>
      <c r="Q253" s="382"/>
    </row>
    <row r="254" spans="1:31" s="46" customFormat="1" ht="15" customHeight="1" x14ac:dyDescent="0.35">
      <c r="A254" s="21"/>
      <c r="B254" s="372"/>
      <c r="C254" s="43"/>
      <c r="D254" s="43"/>
      <c r="E254" s="43"/>
      <c r="F254" s="43"/>
      <c r="G254" s="43"/>
      <c r="H254" s="43"/>
      <c r="I254" s="43"/>
      <c r="J254" s="43"/>
      <c r="K254" s="43"/>
      <c r="L254" s="43"/>
      <c r="M254" s="43"/>
      <c r="N254" s="44"/>
      <c r="O254" s="44"/>
      <c r="P254" s="44"/>
      <c r="Q254" s="44"/>
      <c r="R254" s="44"/>
      <c r="S254" s="44"/>
      <c r="T254" s="44"/>
      <c r="U254" s="44"/>
      <c r="V254" s="44"/>
      <c r="W254" s="44"/>
      <c r="X254" s="44"/>
      <c r="Y254" s="44"/>
      <c r="Z254" s="44"/>
      <c r="AA254" s="44"/>
      <c r="AB254" s="44"/>
      <c r="AC254" s="44"/>
      <c r="AD254" s="44"/>
      <c r="AE254" s="44"/>
    </row>
    <row r="255" spans="1:31" ht="15.75" customHeight="1" thickBot="1" x14ac:dyDescent="0.4">
      <c r="A255" s="47"/>
      <c r="B255" s="846" t="s">
        <v>129</v>
      </c>
      <c r="C255" s="813"/>
      <c r="D255" s="813"/>
      <c r="E255" s="813"/>
      <c r="F255" s="813"/>
      <c r="G255" s="813"/>
      <c r="H255" s="813"/>
      <c r="I255" s="813"/>
      <c r="J255" s="813"/>
      <c r="K255" s="813"/>
      <c r="L255" s="813"/>
      <c r="P255" s="382"/>
    </row>
    <row r="256" spans="1:31" ht="102.5" customHeight="1" thickBot="1" x14ac:dyDescent="0.4">
      <c r="A256" s="47"/>
      <c r="B256" s="877" t="s">
        <v>1189</v>
      </c>
      <c r="C256" s="880"/>
      <c r="D256" s="880"/>
      <c r="E256" s="880"/>
      <c r="F256" s="880"/>
      <c r="G256" s="880"/>
      <c r="H256" s="880"/>
      <c r="I256" s="880"/>
      <c r="J256" s="880"/>
      <c r="K256" s="880"/>
      <c r="L256" s="881"/>
      <c r="O256" s="367"/>
      <c r="P256" s="713"/>
      <c r="Q256" s="367"/>
      <c r="R256" s="713"/>
    </row>
    <row r="257" spans="1:31" ht="3" customHeight="1" thickBot="1" x14ac:dyDescent="0.4">
      <c r="A257" s="47"/>
      <c r="B257" s="48"/>
      <c r="C257" s="48"/>
      <c r="D257" s="48"/>
      <c r="E257" s="48"/>
      <c r="F257" s="48"/>
      <c r="G257" s="48"/>
      <c r="H257" s="48"/>
      <c r="I257" s="48"/>
      <c r="J257" s="48"/>
      <c r="K257" s="48"/>
      <c r="L257" s="48"/>
    </row>
    <row r="258" spans="1:31" ht="15.75" customHeight="1" x14ac:dyDescent="0.35">
      <c r="A258" s="47"/>
      <c r="B258" s="882" t="s">
        <v>130</v>
      </c>
      <c r="C258" s="883"/>
      <c r="D258" s="884" t="s">
        <v>131</v>
      </c>
      <c r="E258" s="883"/>
      <c r="F258" s="883"/>
      <c r="G258" s="883"/>
      <c r="H258" s="883"/>
      <c r="I258" s="883"/>
      <c r="J258" s="883"/>
      <c r="K258" s="883"/>
      <c r="L258" s="71" t="s">
        <v>132</v>
      </c>
    </row>
    <row r="259" spans="1:31" ht="67" customHeight="1" x14ac:dyDescent="0.35">
      <c r="A259" s="47"/>
      <c r="B259" s="867" t="s">
        <v>543</v>
      </c>
      <c r="C259" s="868"/>
      <c r="D259" s="869" t="s">
        <v>1187</v>
      </c>
      <c r="E259" s="870"/>
      <c r="F259" s="870"/>
      <c r="G259" s="870"/>
      <c r="H259" s="870"/>
      <c r="I259" s="870"/>
      <c r="J259" s="870"/>
      <c r="K259" s="870"/>
      <c r="L259" s="383">
        <f>18*3901017*0.15</f>
        <v>10532745.9</v>
      </c>
      <c r="P259" s="382"/>
    </row>
    <row r="260" spans="1:31" ht="67" customHeight="1" x14ac:dyDescent="0.35">
      <c r="A260" s="47"/>
      <c r="B260" s="867" t="s">
        <v>544</v>
      </c>
      <c r="C260" s="868"/>
      <c r="D260" s="869" t="s">
        <v>1188</v>
      </c>
      <c r="E260" s="870"/>
      <c r="F260" s="870"/>
      <c r="G260" s="870"/>
      <c r="H260" s="870"/>
      <c r="I260" s="870"/>
      <c r="J260" s="870"/>
      <c r="K260" s="870"/>
      <c r="L260" s="383">
        <f>(3901017*0.1)*18</f>
        <v>7021830.6000000006</v>
      </c>
    </row>
    <row r="261" spans="1:31" ht="67" customHeight="1" x14ac:dyDescent="0.35">
      <c r="A261" s="47"/>
      <c r="B261" s="871" t="s">
        <v>545</v>
      </c>
      <c r="C261" s="872"/>
      <c r="D261" s="873"/>
      <c r="E261" s="872"/>
      <c r="F261" s="872"/>
      <c r="G261" s="872"/>
      <c r="H261" s="872"/>
      <c r="I261" s="872"/>
      <c r="J261" s="872"/>
      <c r="K261" s="872"/>
      <c r="L261" s="383">
        <v>0</v>
      </c>
    </row>
    <row r="262" spans="1:31" ht="67" customHeight="1" thickBot="1" x14ac:dyDescent="0.4">
      <c r="A262" s="47"/>
      <c r="B262" s="864" t="s">
        <v>545</v>
      </c>
      <c r="C262" s="865"/>
      <c r="D262" s="866"/>
      <c r="E262" s="865"/>
      <c r="F262" s="865"/>
      <c r="G262" s="865"/>
      <c r="H262" s="865"/>
      <c r="I262" s="865"/>
      <c r="J262" s="865"/>
      <c r="K262" s="865"/>
      <c r="L262" s="384">
        <v>0</v>
      </c>
    </row>
    <row r="263" spans="1:31" s="46" customFormat="1" ht="15" customHeight="1" x14ac:dyDescent="0.35">
      <c r="A263" s="21"/>
      <c r="B263" s="43"/>
      <c r="C263" s="43"/>
      <c r="D263" s="43"/>
      <c r="E263" s="43"/>
      <c r="F263" s="43"/>
      <c r="G263" s="43"/>
      <c r="H263" s="43"/>
      <c r="I263" s="43"/>
      <c r="J263" s="43"/>
      <c r="K263" s="43"/>
      <c r="L263" s="43"/>
      <c r="M263" s="43"/>
      <c r="N263" s="44"/>
      <c r="O263" s="44"/>
      <c r="P263" s="44"/>
      <c r="Q263" s="44"/>
      <c r="R263" s="44"/>
      <c r="S263" s="44"/>
      <c r="T263" s="44"/>
      <c r="U263" s="44"/>
      <c r="V263" s="44"/>
      <c r="W263" s="44"/>
      <c r="X263" s="44"/>
      <c r="Y263" s="44"/>
      <c r="Z263" s="44"/>
      <c r="AA263" s="44"/>
      <c r="AB263" s="44"/>
      <c r="AC263" s="44"/>
      <c r="AD263" s="44"/>
      <c r="AE263" s="44"/>
    </row>
    <row r="264" spans="1:31" ht="15.75" customHeight="1" x14ac:dyDescent="0.35">
      <c r="A264" s="47"/>
      <c r="B264" s="863" t="s">
        <v>133</v>
      </c>
      <c r="C264" s="813"/>
      <c r="D264" s="813"/>
      <c r="E264" s="813"/>
      <c r="F264" s="813"/>
      <c r="G264" s="813"/>
      <c r="H264" s="813"/>
      <c r="I264" s="813"/>
      <c r="J264" s="813"/>
      <c r="K264" s="813"/>
      <c r="L264" s="813"/>
    </row>
    <row r="265" spans="1:31" s="46" customFormat="1" ht="15" customHeight="1" x14ac:dyDescent="0.35">
      <c r="A265" s="21"/>
      <c r="B265" s="43"/>
      <c r="C265" s="43"/>
      <c r="D265" s="43"/>
      <c r="E265" s="43"/>
      <c r="F265" s="43"/>
      <c r="G265" s="43"/>
      <c r="H265" s="43"/>
      <c r="I265" s="43"/>
      <c r="J265" s="43"/>
      <c r="K265" s="43"/>
      <c r="L265" s="43"/>
      <c r="M265" s="43"/>
      <c r="N265" s="44"/>
      <c r="O265" s="44"/>
      <c r="P265" s="44"/>
      <c r="Q265" s="44"/>
      <c r="R265" s="44"/>
      <c r="S265" s="44"/>
      <c r="T265" s="44"/>
      <c r="U265" s="44"/>
      <c r="V265" s="44"/>
      <c r="W265" s="44"/>
      <c r="X265" s="44"/>
      <c r="Y265" s="44"/>
      <c r="Z265" s="44"/>
      <c r="AA265" s="44"/>
      <c r="AB265" s="44"/>
      <c r="AC265" s="44"/>
      <c r="AD265" s="44"/>
      <c r="AE265" s="44"/>
    </row>
    <row r="266" spans="1:31" ht="15.75" customHeight="1" x14ac:dyDescent="0.35">
      <c r="A266" s="47"/>
      <c r="B266" s="846" t="s">
        <v>134</v>
      </c>
      <c r="C266" s="813"/>
      <c r="D266" s="813"/>
      <c r="E266" s="813"/>
      <c r="F266" s="813"/>
      <c r="G266" s="813"/>
      <c r="H266" s="813"/>
      <c r="I266" s="813"/>
      <c r="J266" s="813"/>
      <c r="K266" s="813"/>
      <c r="L266" s="813"/>
    </row>
    <row r="267" spans="1:31" ht="5.25" customHeight="1" thickBot="1" x14ac:dyDescent="0.4">
      <c r="A267" s="47"/>
      <c r="B267" s="70"/>
    </row>
    <row r="268" spans="1:31" ht="10" customHeight="1" x14ac:dyDescent="0.35">
      <c r="A268" s="47"/>
      <c r="B268" s="854" t="s">
        <v>546</v>
      </c>
      <c r="C268" s="855"/>
      <c r="D268" s="855"/>
      <c r="E268" s="855"/>
      <c r="F268" s="855"/>
      <c r="G268" s="855"/>
      <c r="H268" s="855"/>
      <c r="I268" s="855"/>
      <c r="J268" s="855"/>
      <c r="K268" s="855"/>
      <c r="L268" s="856"/>
    </row>
    <row r="269" spans="1:31" ht="10" customHeight="1" x14ac:dyDescent="0.35">
      <c r="A269" s="47"/>
      <c r="B269" s="857"/>
      <c r="C269" s="858"/>
      <c r="D269" s="858"/>
      <c r="E269" s="858"/>
      <c r="F269" s="858"/>
      <c r="G269" s="858"/>
      <c r="H269" s="858"/>
      <c r="I269" s="858"/>
      <c r="J269" s="858"/>
      <c r="K269" s="858"/>
      <c r="L269" s="859"/>
    </row>
    <row r="270" spans="1:31" ht="10" customHeight="1" x14ac:dyDescent="0.35">
      <c r="A270" s="47"/>
      <c r="B270" s="857"/>
      <c r="C270" s="858"/>
      <c r="D270" s="858"/>
      <c r="E270" s="858"/>
      <c r="F270" s="858"/>
      <c r="G270" s="858"/>
      <c r="H270" s="858"/>
      <c r="I270" s="858"/>
      <c r="J270" s="858"/>
      <c r="K270" s="858"/>
      <c r="L270" s="859"/>
    </row>
    <row r="271" spans="1:31" ht="10" customHeight="1" x14ac:dyDescent="0.35">
      <c r="A271" s="47"/>
      <c r="B271" s="857"/>
      <c r="C271" s="858"/>
      <c r="D271" s="858"/>
      <c r="E271" s="858"/>
      <c r="F271" s="858"/>
      <c r="G271" s="858"/>
      <c r="H271" s="858"/>
      <c r="I271" s="858"/>
      <c r="J271" s="858"/>
      <c r="K271" s="858"/>
      <c r="L271" s="859"/>
    </row>
    <row r="272" spans="1:31" ht="10" customHeight="1" x14ac:dyDescent="0.35">
      <c r="A272" s="47"/>
      <c r="B272" s="857"/>
      <c r="C272" s="858"/>
      <c r="D272" s="858"/>
      <c r="E272" s="858"/>
      <c r="F272" s="858"/>
      <c r="G272" s="858"/>
      <c r="H272" s="858"/>
      <c r="I272" s="858"/>
      <c r="J272" s="858"/>
      <c r="K272" s="858"/>
      <c r="L272" s="859"/>
    </row>
    <row r="273" spans="1:31" ht="10" customHeight="1" x14ac:dyDescent="0.35">
      <c r="A273" s="47"/>
      <c r="B273" s="857"/>
      <c r="C273" s="858"/>
      <c r="D273" s="858"/>
      <c r="E273" s="858"/>
      <c r="F273" s="858"/>
      <c r="G273" s="858"/>
      <c r="H273" s="858"/>
      <c r="I273" s="858"/>
      <c r="J273" s="858"/>
      <c r="K273" s="858"/>
      <c r="L273" s="859"/>
    </row>
    <row r="274" spans="1:31" ht="10" customHeight="1" thickBot="1" x14ac:dyDescent="0.4">
      <c r="A274" s="47"/>
      <c r="B274" s="860"/>
      <c r="C274" s="861"/>
      <c r="D274" s="861"/>
      <c r="E274" s="861"/>
      <c r="F274" s="861"/>
      <c r="G274" s="861"/>
      <c r="H274" s="861"/>
      <c r="I274" s="861"/>
      <c r="J274" s="861"/>
      <c r="K274" s="861"/>
      <c r="L274" s="862"/>
    </row>
    <row r="275" spans="1:31" s="46" customFormat="1" ht="15" customHeight="1" x14ac:dyDescent="0.35">
      <c r="A275" s="21"/>
      <c r="B275" s="43"/>
      <c r="C275" s="43"/>
      <c r="D275" s="43"/>
      <c r="E275" s="43"/>
      <c r="F275" s="43"/>
      <c r="G275" s="43"/>
      <c r="H275" s="43"/>
      <c r="I275" s="43"/>
      <c r="J275" s="43"/>
      <c r="K275" s="43"/>
      <c r="L275" s="43"/>
      <c r="M275" s="43"/>
      <c r="N275" s="44"/>
      <c r="O275" s="44"/>
      <c r="P275" s="44"/>
      <c r="Q275" s="44"/>
      <c r="R275" s="44"/>
      <c r="S275" s="44"/>
      <c r="T275" s="44"/>
      <c r="U275" s="44"/>
      <c r="V275" s="44"/>
      <c r="W275" s="44"/>
      <c r="X275" s="44"/>
      <c r="Y275" s="44"/>
      <c r="Z275" s="44"/>
      <c r="AA275" s="44"/>
      <c r="AB275" s="44"/>
      <c r="AC275" s="44"/>
      <c r="AD275" s="44"/>
      <c r="AE275" s="44"/>
    </row>
    <row r="276" spans="1:31" ht="15.75" customHeight="1" x14ac:dyDescent="0.35">
      <c r="A276" s="47"/>
      <c r="B276" s="846" t="s">
        <v>135</v>
      </c>
      <c r="C276" s="813"/>
      <c r="D276" s="813"/>
      <c r="E276" s="813"/>
      <c r="F276" s="813"/>
      <c r="G276" s="813"/>
      <c r="H276" s="813"/>
      <c r="I276" s="813"/>
      <c r="J276" s="813"/>
      <c r="K276" s="813"/>
      <c r="L276" s="813"/>
    </row>
    <row r="277" spans="1:31" ht="7.5" customHeight="1" thickBot="1" x14ac:dyDescent="0.4">
      <c r="A277" s="47"/>
      <c r="B277" s="70"/>
    </row>
    <row r="278" spans="1:31" ht="9.5" customHeight="1" x14ac:dyDescent="0.35">
      <c r="A278" s="47"/>
      <c r="B278" s="854" t="s">
        <v>547</v>
      </c>
      <c r="C278" s="855"/>
      <c r="D278" s="855"/>
      <c r="E278" s="855"/>
      <c r="F278" s="855"/>
      <c r="G278" s="855"/>
      <c r="H278" s="855"/>
      <c r="I278" s="855"/>
      <c r="J278" s="855"/>
      <c r="K278" s="855"/>
      <c r="L278" s="856"/>
    </row>
    <row r="279" spans="1:31" ht="9.5" customHeight="1" x14ac:dyDescent="0.35">
      <c r="A279" s="47"/>
      <c r="B279" s="857"/>
      <c r="C279" s="858"/>
      <c r="D279" s="858"/>
      <c r="E279" s="858"/>
      <c r="F279" s="858"/>
      <c r="G279" s="858"/>
      <c r="H279" s="858"/>
      <c r="I279" s="858"/>
      <c r="J279" s="858"/>
      <c r="K279" s="858"/>
      <c r="L279" s="859"/>
    </row>
    <row r="280" spans="1:31" ht="9.5" customHeight="1" x14ac:dyDescent="0.35">
      <c r="A280" s="47"/>
      <c r="B280" s="857"/>
      <c r="C280" s="858"/>
      <c r="D280" s="858"/>
      <c r="E280" s="858"/>
      <c r="F280" s="858"/>
      <c r="G280" s="858"/>
      <c r="H280" s="858"/>
      <c r="I280" s="858"/>
      <c r="J280" s="858"/>
      <c r="K280" s="858"/>
      <c r="L280" s="859"/>
    </row>
    <row r="281" spans="1:31" ht="9.5" customHeight="1" x14ac:dyDescent="0.35">
      <c r="A281" s="47"/>
      <c r="B281" s="857"/>
      <c r="C281" s="858"/>
      <c r="D281" s="858"/>
      <c r="E281" s="858"/>
      <c r="F281" s="858"/>
      <c r="G281" s="858"/>
      <c r="H281" s="858"/>
      <c r="I281" s="858"/>
      <c r="J281" s="858"/>
      <c r="K281" s="858"/>
      <c r="L281" s="859"/>
    </row>
    <row r="282" spans="1:31" ht="9.5" customHeight="1" x14ac:dyDescent="0.35">
      <c r="A282" s="47"/>
      <c r="B282" s="857"/>
      <c r="C282" s="858"/>
      <c r="D282" s="858"/>
      <c r="E282" s="858"/>
      <c r="F282" s="858"/>
      <c r="G282" s="858"/>
      <c r="H282" s="858"/>
      <c r="I282" s="858"/>
      <c r="J282" s="858"/>
      <c r="K282" s="858"/>
      <c r="L282" s="859"/>
    </row>
    <row r="283" spans="1:31" ht="9.5" customHeight="1" x14ac:dyDescent="0.35">
      <c r="A283" s="47"/>
      <c r="B283" s="857"/>
      <c r="C283" s="858"/>
      <c r="D283" s="858"/>
      <c r="E283" s="858"/>
      <c r="F283" s="858"/>
      <c r="G283" s="858"/>
      <c r="H283" s="858"/>
      <c r="I283" s="858"/>
      <c r="J283" s="858"/>
      <c r="K283" s="858"/>
      <c r="L283" s="859"/>
    </row>
    <row r="284" spans="1:31" ht="9.5" customHeight="1" thickBot="1" x14ac:dyDescent="0.4">
      <c r="A284" s="47"/>
      <c r="B284" s="860"/>
      <c r="C284" s="861"/>
      <c r="D284" s="861"/>
      <c r="E284" s="861"/>
      <c r="F284" s="861"/>
      <c r="G284" s="861"/>
      <c r="H284" s="861"/>
      <c r="I284" s="861"/>
      <c r="J284" s="861"/>
      <c r="K284" s="861"/>
      <c r="L284" s="862"/>
    </row>
    <row r="285" spans="1:31" s="46" customFormat="1" ht="15" customHeight="1" x14ac:dyDescent="0.35">
      <c r="A285" s="21"/>
      <c r="B285" s="43"/>
      <c r="C285" s="43"/>
      <c r="D285" s="43"/>
      <c r="E285" s="43"/>
      <c r="F285" s="43"/>
      <c r="G285" s="43"/>
      <c r="H285" s="43"/>
      <c r="I285" s="43"/>
      <c r="J285" s="43"/>
      <c r="K285" s="43"/>
      <c r="L285" s="43"/>
      <c r="M285" s="43"/>
      <c r="N285" s="44"/>
      <c r="O285" s="44"/>
      <c r="P285" s="44"/>
      <c r="Q285" s="44"/>
      <c r="R285" s="44"/>
      <c r="S285" s="44"/>
      <c r="T285" s="44"/>
      <c r="U285" s="44"/>
      <c r="V285" s="44"/>
      <c r="W285" s="44"/>
      <c r="X285" s="44"/>
      <c r="Y285" s="44"/>
      <c r="Z285" s="44"/>
      <c r="AA285" s="44"/>
      <c r="AB285" s="44"/>
      <c r="AC285" s="44"/>
      <c r="AD285" s="44"/>
      <c r="AE285" s="44"/>
    </row>
    <row r="286" spans="1:31" ht="15.75" customHeight="1" x14ac:dyDescent="0.35">
      <c r="A286" s="47"/>
      <c r="B286" s="863" t="s">
        <v>136</v>
      </c>
      <c r="C286" s="813"/>
      <c r="D286" s="813"/>
      <c r="E286" s="813"/>
      <c r="F286" s="813"/>
      <c r="G286" s="813"/>
      <c r="H286" s="813"/>
      <c r="I286" s="813"/>
      <c r="J286" s="813"/>
      <c r="K286" s="813"/>
      <c r="L286" s="813"/>
    </row>
    <row r="287" spans="1:31" s="46" customFormat="1" ht="15" customHeight="1" x14ac:dyDescent="0.35">
      <c r="A287" s="21"/>
      <c r="B287" s="43"/>
      <c r="C287" s="43"/>
      <c r="D287" s="43"/>
      <c r="E287" s="43"/>
      <c r="F287" s="43"/>
      <c r="G287" s="43"/>
      <c r="H287" s="43"/>
      <c r="I287" s="43"/>
      <c r="J287" s="43"/>
      <c r="K287" s="43"/>
      <c r="L287" s="43"/>
      <c r="M287" s="43"/>
      <c r="N287" s="44"/>
      <c r="O287" s="44"/>
      <c r="P287" s="44"/>
      <c r="Q287" s="44"/>
      <c r="R287" s="44"/>
      <c r="S287" s="44"/>
      <c r="T287" s="44"/>
      <c r="U287" s="44"/>
      <c r="V287" s="44"/>
      <c r="W287" s="44"/>
      <c r="X287" s="44"/>
      <c r="Y287" s="44"/>
      <c r="Z287" s="44"/>
      <c r="AA287" s="44"/>
      <c r="AB287" s="44"/>
      <c r="AC287" s="44"/>
      <c r="AD287" s="44"/>
      <c r="AE287" s="44"/>
    </row>
    <row r="288" spans="1:31" ht="15.75" customHeight="1" x14ac:dyDescent="0.35">
      <c r="A288" s="47"/>
      <c r="B288" s="846" t="s">
        <v>137</v>
      </c>
      <c r="C288" s="813"/>
      <c r="D288" s="813"/>
      <c r="E288" s="813"/>
      <c r="F288" s="813"/>
      <c r="G288" s="813"/>
      <c r="H288" s="813"/>
      <c r="I288" s="813"/>
      <c r="J288" s="813"/>
      <c r="K288" s="813"/>
      <c r="L288" s="813"/>
    </row>
    <row r="289" spans="1:31" ht="7.5" customHeight="1" thickBot="1" x14ac:dyDescent="0.4">
      <c r="A289" s="47"/>
      <c r="B289" s="70"/>
    </row>
    <row r="290" spans="1:31" ht="15.75" customHeight="1" x14ac:dyDescent="0.35">
      <c r="A290" s="47"/>
      <c r="B290" s="847" t="s">
        <v>130</v>
      </c>
      <c r="C290" s="848"/>
      <c r="D290" s="849" t="s">
        <v>131</v>
      </c>
      <c r="E290" s="850"/>
      <c r="F290" s="850"/>
      <c r="G290" s="850"/>
      <c r="H290" s="850"/>
      <c r="I290" s="850"/>
      <c r="J290" s="850"/>
      <c r="K290" s="848"/>
      <c r="L290" s="72" t="s">
        <v>132</v>
      </c>
    </row>
    <row r="291" spans="1:31" ht="63.5" customHeight="1" x14ac:dyDescent="0.35">
      <c r="A291" s="47"/>
      <c r="B291" s="835" t="s">
        <v>548</v>
      </c>
      <c r="C291" s="836"/>
      <c r="D291" s="851" t="s">
        <v>553</v>
      </c>
      <c r="E291" s="852"/>
      <c r="F291" s="852"/>
      <c r="G291" s="852"/>
      <c r="H291" s="852"/>
      <c r="I291" s="852"/>
      <c r="J291" s="852"/>
      <c r="K291" s="853"/>
      <c r="L291" s="386">
        <f>300*600*3</f>
        <v>540000</v>
      </c>
    </row>
    <row r="292" spans="1:31" ht="63.5" customHeight="1" x14ac:dyDescent="0.35">
      <c r="A292" s="47"/>
      <c r="B292" s="835" t="s">
        <v>550</v>
      </c>
      <c r="C292" s="836"/>
      <c r="D292" s="851" t="s">
        <v>552</v>
      </c>
      <c r="E292" s="852"/>
      <c r="F292" s="852"/>
      <c r="G292" s="852"/>
      <c r="H292" s="852"/>
      <c r="I292" s="852"/>
      <c r="J292" s="852"/>
      <c r="K292" s="853"/>
      <c r="L292" s="386">
        <f>4500*332.67*3</f>
        <v>4491045</v>
      </c>
    </row>
    <row r="293" spans="1:31" ht="63.5" customHeight="1" x14ac:dyDescent="0.35">
      <c r="A293" s="47"/>
      <c r="B293" s="835" t="s">
        <v>551</v>
      </c>
      <c r="C293" s="836"/>
      <c r="D293" s="851" t="s">
        <v>554</v>
      </c>
      <c r="E293" s="852"/>
      <c r="F293" s="852"/>
      <c r="G293" s="852"/>
      <c r="H293" s="852"/>
      <c r="I293" s="852"/>
      <c r="J293" s="852"/>
      <c r="K293" s="853"/>
      <c r="L293" s="386">
        <f>179100*2*5</f>
        <v>1791000</v>
      </c>
    </row>
    <row r="294" spans="1:31" ht="63.5" customHeight="1" thickBot="1" x14ac:dyDescent="0.4">
      <c r="A294" s="47"/>
      <c r="B294" s="842" t="s">
        <v>545</v>
      </c>
      <c r="C294" s="843"/>
      <c r="D294" s="844"/>
      <c r="E294" s="845"/>
      <c r="F294" s="845"/>
      <c r="G294" s="845"/>
      <c r="H294" s="845"/>
      <c r="I294" s="845"/>
      <c r="J294" s="845"/>
      <c r="K294" s="843"/>
      <c r="L294" s="387">
        <v>0</v>
      </c>
    </row>
    <row r="295" spans="1:31" s="46" customFormat="1" ht="15" customHeight="1" x14ac:dyDescent="0.35">
      <c r="A295" s="21"/>
      <c r="B295" s="43"/>
      <c r="C295" s="43"/>
      <c r="D295" s="43"/>
      <c r="E295" s="43"/>
      <c r="F295" s="43"/>
      <c r="G295" s="43"/>
      <c r="H295" s="43"/>
      <c r="I295" s="43"/>
      <c r="J295" s="43"/>
      <c r="K295" s="43"/>
      <c r="L295" s="43"/>
      <c r="M295" s="43"/>
      <c r="N295" s="44"/>
      <c r="O295" s="44"/>
      <c r="P295" s="44"/>
      <c r="Q295" s="44"/>
      <c r="R295" s="44"/>
      <c r="S295" s="44"/>
      <c r="T295" s="44"/>
      <c r="U295" s="44"/>
      <c r="V295" s="44"/>
      <c r="W295" s="44"/>
      <c r="X295" s="44"/>
      <c r="Y295" s="44"/>
      <c r="Z295" s="44"/>
      <c r="AA295" s="44"/>
      <c r="AB295" s="44"/>
      <c r="AC295" s="44"/>
      <c r="AD295" s="44"/>
      <c r="AE295" s="44"/>
    </row>
    <row r="296" spans="1:31" ht="15.75" customHeight="1" x14ac:dyDescent="0.35">
      <c r="A296" s="47"/>
      <c r="B296" s="846" t="s">
        <v>138</v>
      </c>
      <c r="C296" s="813"/>
      <c r="D296" s="813"/>
      <c r="E296" s="813"/>
      <c r="F296" s="813"/>
      <c r="G296" s="813"/>
      <c r="H296" s="813"/>
      <c r="I296" s="813"/>
      <c r="J296" s="813"/>
      <c r="K296" s="813"/>
      <c r="L296" s="813"/>
    </row>
    <row r="297" spans="1:31" ht="6" customHeight="1" thickBot="1" x14ac:dyDescent="0.4">
      <c r="A297" s="47"/>
      <c r="B297" s="70"/>
    </row>
    <row r="298" spans="1:31" ht="15.75" customHeight="1" x14ac:dyDescent="0.35">
      <c r="A298" s="47"/>
      <c r="B298" s="847" t="s">
        <v>130</v>
      </c>
      <c r="C298" s="848"/>
      <c r="D298" s="849" t="s">
        <v>131</v>
      </c>
      <c r="E298" s="850"/>
      <c r="F298" s="850"/>
      <c r="G298" s="850"/>
      <c r="H298" s="850"/>
      <c r="I298" s="850"/>
      <c r="J298" s="850"/>
      <c r="K298" s="848"/>
      <c r="L298" s="72" t="s">
        <v>132</v>
      </c>
    </row>
    <row r="299" spans="1:31" ht="60.5" customHeight="1" x14ac:dyDescent="0.35">
      <c r="A299" s="47"/>
      <c r="B299" s="835" t="s">
        <v>558</v>
      </c>
      <c r="C299" s="836"/>
      <c r="D299" s="851" t="s">
        <v>559</v>
      </c>
      <c r="E299" s="852"/>
      <c r="F299" s="852"/>
      <c r="G299" s="852"/>
      <c r="H299" s="852"/>
      <c r="I299" s="852"/>
      <c r="J299" s="852"/>
      <c r="K299" s="853"/>
      <c r="L299" s="386">
        <f>8000*150</f>
        <v>1200000</v>
      </c>
    </row>
    <row r="300" spans="1:31" ht="69.5" customHeight="1" x14ac:dyDescent="0.35">
      <c r="A300" s="47"/>
      <c r="B300" s="835" t="s">
        <v>562</v>
      </c>
      <c r="C300" s="836"/>
      <c r="D300" s="851" t="s">
        <v>1186</v>
      </c>
      <c r="E300" s="852"/>
      <c r="F300" s="852"/>
      <c r="G300" s="852"/>
      <c r="H300" s="852"/>
      <c r="I300" s="852"/>
      <c r="J300" s="852"/>
      <c r="K300" s="853"/>
      <c r="L300" s="386">
        <f>(2300*600)+(180000*12)</f>
        <v>3540000</v>
      </c>
    </row>
    <row r="301" spans="1:31" ht="60.5" customHeight="1" x14ac:dyDescent="0.35">
      <c r="A301" s="47"/>
      <c r="B301" s="840" t="s">
        <v>545</v>
      </c>
      <c r="C301" s="839"/>
      <c r="D301" s="841"/>
      <c r="E301" s="838"/>
      <c r="F301" s="838"/>
      <c r="G301" s="838"/>
      <c r="H301" s="838"/>
      <c r="I301" s="838"/>
      <c r="J301" s="838"/>
      <c r="K301" s="839"/>
      <c r="L301" s="386">
        <v>0</v>
      </c>
    </row>
    <row r="302" spans="1:31" ht="60.5" customHeight="1" thickBot="1" x14ac:dyDescent="0.4">
      <c r="A302" s="47"/>
      <c r="B302" s="842" t="s">
        <v>545</v>
      </c>
      <c r="C302" s="843"/>
      <c r="D302" s="844"/>
      <c r="E302" s="845"/>
      <c r="F302" s="845"/>
      <c r="G302" s="845"/>
      <c r="H302" s="845"/>
      <c r="I302" s="845"/>
      <c r="J302" s="845"/>
      <c r="K302" s="843"/>
      <c r="L302" s="387">
        <v>0</v>
      </c>
    </row>
    <row r="303" spans="1:31" s="46" customFormat="1" ht="15" customHeight="1" x14ac:dyDescent="0.35">
      <c r="A303" s="21"/>
      <c r="B303" s="43"/>
      <c r="C303" s="43"/>
      <c r="D303" s="43"/>
      <c r="E303" s="43"/>
      <c r="F303" s="43"/>
      <c r="G303" s="43"/>
      <c r="H303" s="43"/>
      <c r="I303" s="43"/>
      <c r="J303" s="43"/>
      <c r="K303" s="43"/>
      <c r="L303" s="43"/>
      <c r="M303" s="43"/>
      <c r="N303" s="44"/>
      <c r="O303" s="44"/>
      <c r="P303" s="44"/>
      <c r="Q303" s="44"/>
      <c r="R303" s="44"/>
      <c r="S303" s="44"/>
      <c r="T303" s="44"/>
      <c r="U303" s="44"/>
      <c r="V303" s="44"/>
      <c r="W303" s="44"/>
      <c r="X303" s="44"/>
      <c r="Y303" s="44"/>
      <c r="Z303" s="44"/>
      <c r="AA303" s="44"/>
      <c r="AB303" s="44"/>
      <c r="AC303" s="44"/>
      <c r="AD303" s="44"/>
      <c r="AE303" s="44"/>
    </row>
    <row r="304" spans="1:31" ht="15.75" customHeight="1" x14ac:dyDescent="0.35">
      <c r="A304" s="47"/>
      <c r="B304" s="846" t="s">
        <v>139</v>
      </c>
      <c r="C304" s="813"/>
      <c r="D304" s="813"/>
      <c r="E304" s="813"/>
      <c r="F304" s="813"/>
      <c r="G304" s="813"/>
      <c r="H304" s="813"/>
      <c r="I304" s="813"/>
      <c r="J304" s="813"/>
      <c r="K304" s="813"/>
      <c r="L304" s="813"/>
    </row>
    <row r="305" spans="1:31" ht="6" customHeight="1" thickBot="1" x14ac:dyDescent="0.4">
      <c r="A305" s="47"/>
      <c r="B305" s="70"/>
    </row>
    <row r="306" spans="1:31" ht="15.75" customHeight="1" x14ac:dyDescent="0.35">
      <c r="A306" s="47"/>
      <c r="B306" s="847" t="s">
        <v>130</v>
      </c>
      <c r="C306" s="848"/>
      <c r="D306" s="849" t="s">
        <v>131</v>
      </c>
      <c r="E306" s="850"/>
      <c r="F306" s="850"/>
      <c r="G306" s="850"/>
      <c r="H306" s="850"/>
      <c r="I306" s="850"/>
      <c r="J306" s="850"/>
      <c r="K306" s="848"/>
      <c r="L306" s="72" t="s">
        <v>132</v>
      </c>
    </row>
    <row r="307" spans="1:31" ht="50" customHeight="1" x14ac:dyDescent="0.35">
      <c r="A307" s="47"/>
      <c r="B307" s="835" t="s">
        <v>556</v>
      </c>
      <c r="C307" s="836"/>
      <c r="D307" s="851" t="s">
        <v>557</v>
      </c>
      <c r="E307" s="852"/>
      <c r="F307" s="852"/>
      <c r="G307" s="852"/>
      <c r="H307" s="852"/>
      <c r="I307" s="852"/>
      <c r="J307" s="852"/>
      <c r="K307" s="853"/>
      <c r="L307" s="386">
        <f>(43333*2*6*12)+(72000*12)</f>
        <v>7103952</v>
      </c>
    </row>
    <row r="308" spans="1:31" ht="50" customHeight="1" x14ac:dyDescent="0.35">
      <c r="A308" s="47"/>
      <c r="B308" s="840" t="s">
        <v>545</v>
      </c>
      <c r="C308" s="839"/>
      <c r="D308" s="841"/>
      <c r="E308" s="838"/>
      <c r="F308" s="838"/>
      <c r="G308" s="838"/>
      <c r="H308" s="838"/>
      <c r="I308" s="838"/>
      <c r="J308" s="838"/>
      <c r="K308" s="839"/>
      <c r="L308" s="386">
        <v>0</v>
      </c>
    </row>
    <row r="309" spans="1:31" ht="50" customHeight="1" x14ac:dyDescent="0.35">
      <c r="A309" s="47"/>
      <c r="B309" s="840" t="s">
        <v>545</v>
      </c>
      <c r="C309" s="839"/>
      <c r="D309" s="841"/>
      <c r="E309" s="838"/>
      <c r="F309" s="838"/>
      <c r="G309" s="838"/>
      <c r="H309" s="838"/>
      <c r="I309" s="838"/>
      <c r="J309" s="838"/>
      <c r="K309" s="839"/>
      <c r="L309" s="386">
        <v>0</v>
      </c>
    </row>
    <row r="310" spans="1:31" ht="50" customHeight="1" thickBot="1" x14ac:dyDescent="0.4">
      <c r="A310" s="47"/>
      <c r="B310" s="842" t="s">
        <v>545</v>
      </c>
      <c r="C310" s="843"/>
      <c r="D310" s="844"/>
      <c r="E310" s="845"/>
      <c r="F310" s="845"/>
      <c r="G310" s="845"/>
      <c r="H310" s="845"/>
      <c r="I310" s="845"/>
      <c r="J310" s="845"/>
      <c r="K310" s="843"/>
      <c r="L310" s="387">
        <v>0</v>
      </c>
    </row>
    <row r="311" spans="1:31" s="46" customFormat="1" ht="15" customHeight="1" x14ac:dyDescent="0.35">
      <c r="A311" s="21"/>
      <c r="B311" s="43"/>
      <c r="C311" s="43"/>
      <c r="D311" s="43"/>
      <c r="E311" s="43"/>
      <c r="F311" s="43"/>
      <c r="G311" s="43"/>
      <c r="H311" s="43"/>
      <c r="I311" s="43"/>
      <c r="J311" s="43"/>
      <c r="K311" s="43"/>
      <c r="L311" s="43"/>
      <c r="M311" s="43"/>
      <c r="N311" s="44"/>
      <c r="O311" s="44"/>
      <c r="P311" s="44"/>
      <c r="Q311" s="44"/>
      <c r="R311" s="44"/>
      <c r="S311" s="44"/>
      <c r="T311" s="44"/>
      <c r="U311" s="44"/>
      <c r="V311" s="44"/>
      <c r="W311" s="44"/>
      <c r="X311" s="44"/>
      <c r="Y311" s="44"/>
      <c r="Z311" s="44"/>
      <c r="AA311" s="44"/>
      <c r="AB311" s="44"/>
      <c r="AC311" s="44"/>
      <c r="AD311" s="44"/>
      <c r="AE311" s="44"/>
    </row>
    <row r="312" spans="1:31" ht="15.75" customHeight="1" x14ac:dyDescent="0.35">
      <c r="A312" s="47"/>
      <c r="B312" s="846" t="s">
        <v>140</v>
      </c>
      <c r="C312" s="813"/>
      <c r="D312" s="813"/>
      <c r="E312" s="813"/>
      <c r="F312" s="813"/>
      <c r="G312" s="813"/>
      <c r="H312" s="813"/>
      <c r="I312" s="813"/>
      <c r="J312" s="813"/>
      <c r="K312" s="813"/>
      <c r="L312" s="813"/>
    </row>
    <row r="313" spans="1:31" ht="6" customHeight="1" thickBot="1" x14ac:dyDescent="0.4">
      <c r="A313" s="47"/>
      <c r="B313" s="70"/>
    </row>
    <row r="314" spans="1:31" ht="15.75" customHeight="1" x14ac:dyDescent="0.35">
      <c r="A314" s="47"/>
      <c r="B314" s="847" t="s">
        <v>130</v>
      </c>
      <c r="C314" s="848"/>
      <c r="D314" s="849" t="s">
        <v>131</v>
      </c>
      <c r="E314" s="850"/>
      <c r="F314" s="850"/>
      <c r="G314" s="850"/>
      <c r="H314" s="850"/>
      <c r="I314" s="850"/>
      <c r="J314" s="850"/>
      <c r="K314" s="848"/>
      <c r="L314" s="72" t="s">
        <v>132</v>
      </c>
    </row>
    <row r="315" spans="1:31" ht="45" customHeight="1" x14ac:dyDescent="0.35">
      <c r="A315" s="47"/>
      <c r="B315" s="835" t="s">
        <v>549</v>
      </c>
      <c r="C315" s="836"/>
      <c r="D315" s="837" t="s">
        <v>555</v>
      </c>
      <c r="E315" s="838"/>
      <c r="F315" s="838"/>
      <c r="G315" s="838"/>
      <c r="H315" s="838"/>
      <c r="I315" s="838"/>
      <c r="J315" s="838"/>
      <c r="K315" s="839"/>
      <c r="L315" s="386">
        <f>300*1000*2</f>
        <v>600000</v>
      </c>
    </row>
    <row r="316" spans="1:31" ht="45" customHeight="1" x14ac:dyDescent="0.35">
      <c r="A316" s="47"/>
      <c r="B316" s="835" t="s">
        <v>560</v>
      </c>
      <c r="C316" s="836"/>
      <c r="D316" s="837" t="s">
        <v>561</v>
      </c>
      <c r="E316" s="838"/>
      <c r="F316" s="838"/>
      <c r="G316" s="838"/>
      <c r="H316" s="838"/>
      <c r="I316" s="838"/>
      <c r="J316" s="838"/>
      <c r="K316" s="839"/>
      <c r="L316" s="386">
        <f>174500*5</f>
        <v>872500</v>
      </c>
    </row>
    <row r="317" spans="1:31" ht="45" customHeight="1" x14ac:dyDescent="0.35">
      <c r="A317" s="47"/>
      <c r="B317" s="840" t="s">
        <v>545</v>
      </c>
      <c r="C317" s="839"/>
      <c r="D317" s="841"/>
      <c r="E317" s="838"/>
      <c r="F317" s="838"/>
      <c r="G317" s="838"/>
      <c r="H317" s="838"/>
      <c r="I317" s="838"/>
      <c r="J317" s="838"/>
      <c r="K317" s="839"/>
      <c r="L317" s="386">
        <v>0</v>
      </c>
    </row>
    <row r="318" spans="1:31" ht="45" customHeight="1" thickBot="1" x14ac:dyDescent="0.4">
      <c r="A318" s="47"/>
      <c r="B318" s="842" t="s">
        <v>545</v>
      </c>
      <c r="C318" s="843"/>
      <c r="D318" s="844"/>
      <c r="E318" s="845"/>
      <c r="F318" s="845"/>
      <c r="G318" s="845"/>
      <c r="H318" s="845"/>
      <c r="I318" s="845"/>
      <c r="J318" s="845"/>
      <c r="K318" s="843"/>
      <c r="L318" s="387">
        <v>0</v>
      </c>
    </row>
    <row r="319" spans="1:31" s="46" customFormat="1" ht="15" customHeight="1" x14ac:dyDescent="0.35">
      <c r="A319" s="21"/>
      <c r="B319" s="43"/>
      <c r="C319" s="43"/>
      <c r="D319" s="43"/>
      <c r="E319" s="43"/>
      <c r="F319" s="43"/>
      <c r="G319" s="43"/>
      <c r="H319" s="43"/>
      <c r="I319" s="43"/>
      <c r="J319" s="43"/>
      <c r="K319" s="43"/>
      <c r="L319" s="43"/>
      <c r="M319" s="43"/>
      <c r="N319" s="44"/>
      <c r="O319" s="44"/>
      <c r="P319" s="44"/>
      <c r="Q319" s="44"/>
      <c r="R319" s="44"/>
      <c r="S319" s="44"/>
      <c r="T319" s="44"/>
      <c r="U319" s="44"/>
      <c r="V319" s="44"/>
      <c r="W319" s="44"/>
      <c r="X319" s="44"/>
      <c r="Y319" s="44"/>
      <c r="Z319" s="44"/>
      <c r="AA319" s="44"/>
      <c r="AB319" s="44"/>
      <c r="AC319" s="44"/>
      <c r="AD319" s="44"/>
      <c r="AE319" s="44"/>
    </row>
    <row r="320" spans="1:31" s="46" customFormat="1" ht="15" customHeight="1" x14ac:dyDescent="0.35">
      <c r="A320" s="21"/>
      <c r="B320" s="43"/>
      <c r="C320" s="43"/>
      <c r="D320" s="43"/>
      <c r="E320" s="43"/>
      <c r="F320" s="43"/>
      <c r="G320" s="43"/>
      <c r="H320" s="43"/>
      <c r="I320" s="43"/>
      <c r="J320" s="43"/>
      <c r="K320" s="43"/>
      <c r="L320" s="43"/>
      <c r="M320" s="43"/>
      <c r="N320" s="44"/>
      <c r="O320" s="44"/>
      <c r="P320" s="44"/>
      <c r="Q320" s="44"/>
      <c r="R320" s="44"/>
      <c r="S320" s="44"/>
      <c r="T320" s="44"/>
      <c r="U320" s="44"/>
      <c r="V320" s="44"/>
      <c r="W320" s="44"/>
      <c r="X320" s="44"/>
      <c r="Y320" s="44"/>
      <c r="Z320" s="44"/>
      <c r="AA320" s="44"/>
      <c r="AB320" s="44"/>
      <c r="AC320" s="44"/>
      <c r="AD320" s="44"/>
      <c r="AE320" s="44"/>
    </row>
    <row r="321" spans="1:31" ht="16.5" customHeight="1" x14ac:dyDescent="0.35">
      <c r="A321" s="47"/>
      <c r="B321" s="826" t="s">
        <v>141</v>
      </c>
      <c r="C321" s="826"/>
      <c r="D321" s="826"/>
      <c r="E321" s="826"/>
      <c r="F321" s="826"/>
      <c r="G321" s="826"/>
      <c r="H321" s="826"/>
      <c r="I321" s="826"/>
      <c r="J321" s="826"/>
      <c r="K321" s="826"/>
      <c r="L321" s="826"/>
    </row>
    <row r="322" spans="1:31" ht="16.5" customHeight="1" thickBot="1" x14ac:dyDescent="0.4">
      <c r="B322" s="73"/>
      <c r="C322" s="73"/>
      <c r="D322" s="73"/>
      <c r="E322" s="73"/>
      <c r="F322" s="73"/>
      <c r="G322" s="73"/>
      <c r="H322" s="73"/>
      <c r="I322" s="73"/>
      <c r="J322" s="73"/>
      <c r="K322" s="73"/>
      <c r="L322" s="73"/>
      <c r="M322" s="73"/>
    </row>
    <row r="323" spans="1:31" ht="16.5" customHeight="1" x14ac:dyDescent="0.35">
      <c r="B323" s="73"/>
      <c r="C323" s="73"/>
      <c r="D323" s="73"/>
      <c r="E323" s="73"/>
      <c r="F323" s="73"/>
      <c r="G323" s="73"/>
      <c r="H323" s="827" t="s">
        <v>142</v>
      </c>
      <c r="I323" s="49">
        <v>2025</v>
      </c>
      <c r="J323" s="49">
        <f>+I323+1</f>
        <v>2026</v>
      </c>
      <c r="K323" s="49">
        <f>+J323+1</f>
        <v>2027</v>
      </c>
      <c r="L323" s="50">
        <f>+K323+1</f>
        <v>2028</v>
      </c>
    </row>
    <row r="324" spans="1:31" s="46" customFormat="1" ht="15" customHeight="1" thickBot="1" x14ac:dyDescent="0.4">
      <c r="A324" s="21"/>
      <c r="B324" s="43"/>
      <c r="C324" s="43"/>
      <c r="D324" s="43"/>
      <c r="E324" s="43"/>
      <c r="F324" s="43"/>
      <c r="G324" s="43"/>
      <c r="H324" s="828"/>
      <c r="I324" s="92">
        <f>+C51</f>
        <v>4.7699999999999999E-2</v>
      </c>
      <c r="J324" s="92">
        <f>+D51</f>
        <v>3.6999999999999998E-2</v>
      </c>
      <c r="K324" s="92">
        <f>+E51</f>
        <v>3.1E-2</v>
      </c>
      <c r="L324" s="92">
        <f>+F51</f>
        <v>3.49E-2</v>
      </c>
      <c r="M324" s="43"/>
      <c r="N324" s="44"/>
      <c r="O324" s="44"/>
      <c r="P324" s="44"/>
      <c r="Q324" s="44"/>
      <c r="R324" s="44"/>
      <c r="S324" s="44"/>
      <c r="T324" s="44"/>
      <c r="U324" s="44"/>
      <c r="V324" s="44"/>
      <c r="W324" s="44"/>
      <c r="X324" s="44"/>
      <c r="Y324" s="44"/>
      <c r="Z324" s="44"/>
      <c r="AA324" s="44"/>
      <c r="AB324" s="44"/>
      <c r="AC324" s="44"/>
      <c r="AD324" s="44"/>
      <c r="AE324" s="44"/>
    </row>
    <row r="325" spans="1:31" s="46" customFormat="1" ht="15" customHeight="1" thickBot="1" x14ac:dyDescent="0.4">
      <c r="A325" s="21"/>
      <c r="B325" s="43"/>
      <c r="C325" s="43"/>
      <c r="D325" s="43"/>
      <c r="E325" s="43"/>
      <c r="F325" s="43"/>
      <c r="G325" s="43"/>
      <c r="H325" s="43"/>
      <c r="I325" s="43"/>
      <c r="J325" s="43"/>
      <c r="K325" s="43"/>
      <c r="L325" s="43"/>
      <c r="M325" s="43"/>
      <c r="N325" s="44"/>
      <c r="O325" s="44"/>
      <c r="P325" s="44"/>
      <c r="Q325" s="44"/>
      <c r="R325" s="44"/>
      <c r="S325" s="44"/>
      <c r="T325" s="44"/>
      <c r="U325" s="44"/>
      <c r="V325" s="44"/>
      <c r="W325" s="44"/>
      <c r="X325" s="44"/>
      <c r="Y325" s="44"/>
      <c r="Z325" s="44"/>
      <c r="AA325" s="44"/>
      <c r="AB325" s="44"/>
      <c r="AC325" s="44"/>
      <c r="AD325" s="44"/>
      <c r="AE325" s="44"/>
    </row>
    <row r="326" spans="1:31" ht="15.75" customHeight="1" thickBot="1" x14ac:dyDescent="0.4">
      <c r="A326" s="47"/>
      <c r="B326" s="61"/>
      <c r="H326" s="829" t="s">
        <v>143</v>
      </c>
      <c r="I326" s="830"/>
      <c r="J326" s="830"/>
      <c r="K326" s="830"/>
      <c r="L326" s="831"/>
    </row>
    <row r="327" spans="1:31" ht="15.75" customHeight="1" x14ac:dyDescent="0.35">
      <c r="A327" s="47"/>
      <c r="B327" s="832" t="s">
        <v>144</v>
      </c>
      <c r="C327" s="833"/>
      <c r="D327" s="833"/>
      <c r="E327" s="833"/>
      <c r="F327" s="833"/>
      <c r="G327" s="834"/>
      <c r="H327" s="74" t="s">
        <v>145</v>
      </c>
      <c r="I327" s="74" t="s">
        <v>146</v>
      </c>
      <c r="J327" s="74" t="s">
        <v>147</v>
      </c>
      <c r="K327" s="74" t="s">
        <v>148</v>
      </c>
      <c r="L327" s="72" t="s">
        <v>149</v>
      </c>
    </row>
    <row r="328" spans="1:31" ht="15.75" customHeight="1" x14ac:dyDescent="0.35">
      <c r="A328" s="47"/>
      <c r="B328" s="823" t="s">
        <v>150</v>
      </c>
      <c r="C328" s="824"/>
      <c r="D328" s="824"/>
      <c r="E328" s="824"/>
      <c r="F328" s="824"/>
      <c r="G328" s="824"/>
      <c r="H328" s="824"/>
      <c r="I328" s="824"/>
      <c r="J328" s="824"/>
      <c r="K328" s="824"/>
      <c r="L328" s="825"/>
    </row>
    <row r="329" spans="1:31" ht="15.75" customHeight="1" x14ac:dyDescent="0.35">
      <c r="A329" s="47"/>
      <c r="B329" s="801" t="str">
        <f>B259</f>
        <v>Descuentos por contratación inicial</v>
      </c>
      <c r="C329" s="802"/>
      <c r="D329" s="802"/>
      <c r="E329" s="802"/>
      <c r="F329" s="802"/>
      <c r="G329" s="803"/>
      <c r="H329" s="75">
        <f>+L259</f>
        <v>10532745.9</v>
      </c>
      <c r="I329" s="76">
        <f>+H329*($I$324)+H329</f>
        <v>11035157.87943</v>
      </c>
      <c r="J329" s="76">
        <f>+I329*($J$324)+I329</f>
        <v>11443458.72096891</v>
      </c>
      <c r="K329" s="76">
        <f>+J329*($K$324)+J329</f>
        <v>11798205.941318946</v>
      </c>
      <c r="L329" s="77">
        <f>+K329*($L$324)+K329</f>
        <v>12209963.328670977</v>
      </c>
    </row>
    <row r="330" spans="1:31" ht="15.75" customHeight="1" x14ac:dyDescent="0.35">
      <c r="A330" s="47"/>
      <c r="B330" s="801" t="str">
        <f>B260</f>
        <v>Descuento por referidos</v>
      </c>
      <c r="C330" s="802"/>
      <c r="D330" s="802"/>
      <c r="E330" s="802"/>
      <c r="F330" s="802"/>
      <c r="G330" s="803"/>
      <c r="H330" s="75">
        <f>+L260</f>
        <v>7021830.6000000006</v>
      </c>
      <c r="I330" s="76">
        <f>+H330*($I$324)+H330</f>
        <v>7356771.9196200008</v>
      </c>
      <c r="J330" s="76">
        <f>+I330*($J$324)+I330</f>
        <v>7628972.4806459406</v>
      </c>
      <c r="K330" s="76">
        <f>+J330*($K$324)+J330</f>
        <v>7865470.6275459649</v>
      </c>
      <c r="L330" s="77">
        <f>+K330*($L$324)+K330</f>
        <v>8139975.552447319</v>
      </c>
    </row>
    <row r="331" spans="1:31" ht="15.75" customHeight="1" x14ac:dyDescent="0.35">
      <c r="A331" s="47"/>
      <c r="B331" s="801" t="str">
        <f>B261</f>
        <v>N/A</v>
      </c>
      <c r="C331" s="802"/>
      <c r="D331" s="802"/>
      <c r="E331" s="802"/>
      <c r="F331" s="802"/>
      <c r="G331" s="803"/>
      <c r="H331" s="75">
        <f>+L261</f>
        <v>0</v>
      </c>
      <c r="I331" s="76">
        <f>+H331*($I$324)+H331</f>
        <v>0</v>
      </c>
      <c r="J331" s="76">
        <f>+I331*($J$324)+I331</f>
        <v>0</v>
      </c>
      <c r="K331" s="76">
        <f>+J331*($K$324)+J331</f>
        <v>0</v>
      </c>
      <c r="L331" s="77">
        <f>+K331*($L$324)+K331</f>
        <v>0</v>
      </c>
    </row>
    <row r="332" spans="1:31" ht="15.75" customHeight="1" x14ac:dyDescent="0.35">
      <c r="A332" s="47"/>
      <c r="B332" s="801" t="str">
        <f>B262</f>
        <v>N/A</v>
      </c>
      <c r="C332" s="802"/>
      <c r="D332" s="802"/>
      <c r="E332" s="802"/>
      <c r="F332" s="802"/>
      <c r="G332" s="803"/>
      <c r="H332" s="75">
        <f>+L262</f>
        <v>0</v>
      </c>
      <c r="I332" s="76">
        <f>+H332*($I$324)+H332</f>
        <v>0</v>
      </c>
      <c r="J332" s="76">
        <f>+I332*($J$324)+I332</f>
        <v>0</v>
      </c>
      <c r="K332" s="76">
        <f>+J332*($K$324)+J332</f>
        <v>0</v>
      </c>
      <c r="L332" s="77">
        <f>+K332*($L$324)+K332</f>
        <v>0</v>
      </c>
    </row>
    <row r="333" spans="1:31" ht="15.75" customHeight="1" x14ac:dyDescent="0.35">
      <c r="A333" s="47"/>
      <c r="B333" s="820" t="s">
        <v>151</v>
      </c>
      <c r="C333" s="821"/>
      <c r="D333" s="821"/>
      <c r="E333" s="821"/>
      <c r="F333" s="821"/>
      <c r="G333" s="822"/>
      <c r="H333" s="78">
        <f>SUM(H329:H332)</f>
        <v>17554576.5</v>
      </c>
      <c r="I333" s="78">
        <f>SUM(I329:I332)</f>
        <v>18391929.79905</v>
      </c>
      <c r="J333" s="78">
        <f>SUM(J329:J332)</f>
        <v>19072431.201614849</v>
      </c>
      <c r="K333" s="78">
        <f>SUM(K329:K332)</f>
        <v>19663676.568864912</v>
      </c>
      <c r="L333" s="79">
        <f>SUM(L329:L332)</f>
        <v>20349938.881118298</v>
      </c>
    </row>
    <row r="334" spans="1:31" ht="15.75" customHeight="1" x14ac:dyDescent="0.35">
      <c r="A334" s="47"/>
      <c r="B334" s="823" t="s">
        <v>152</v>
      </c>
      <c r="C334" s="824"/>
      <c r="D334" s="824"/>
      <c r="E334" s="824"/>
      <c r="F334" s="824"/>
      <c r="G334" s="824"/>
      <c r="H334" s="824"/>
      <c r="I334" s="824"/>
      <c r="J334" s="824"/>
      <c r="K334" s="824"/>
      <c r="L334" s="825"/>
    </row>
    <row r="335" spans="1:31" ht="15.75" customHeight="1" x14ac:dyDescent="0.35">
      <c r="A335" s="47"/>
      <c r="B335" s="817" t="s">
        <v>545</v>
      </c>
      <c r="C335" s="818"/>
      <c r="D335" s="818"/>
      <c r="E335" s="818"/>
      <c r="F335" s="818"/>
      <c r="G335" s="819"/>
      <c r="H335" s="80">
        <v>0</v>
      </c>
      <c r="I335" s="76">
        <f>+H335*($I$324)+H335</f>
        <v>0</v>
      </c>
      <c r="J335" s="76">
        <f>+I335*($J$324)+I335</f>
        <v>0</v>
      </c>
      <c r="K335" s="76">
        <f>+J335*($K$324)+J335</f>
        <v>0</v>
      </c>
      <c r="L335" s="77">
        <f>+K335*($L$324)+K335</f>
        <v>0</v>
      </c>
    </row>
    <row r="336" spans="1:31" ht="15.75" customHeight="1" x14ac:dyDescent="0.35">
      <c r="A336" s="47"/>
      <c r="B336" s="817" t="s">
        <v>545</v>
      </c>
      <c r="C336" s="818"/>
      <c r="D336" s="818"/>
      <c r="E336" s="818"/>
      <c r="F336" s="818"/>
      <c r="G336" s="819"/>
      <c r="H336" s="80">
        <v>0</v>
      </c>
      <c r="I336" s="76">
        <f>+H336*($I$324)+H336</f>
        <v>0</v>
      </c>
      <c r="J336" s="76">
        <f>+I336*($J$324)+I336</f>
        <v>0</v>
      </c>
      <c r="K336" s="76">
        <f>+J336*($K$324)+J336</f>
        <v>0</v>
      </c>
      <c r="L336" s="77">
        <f>+K336*($L$324)+K336</f>
        <v>0</v>
      </c>
    </row>
    <row r="337" spans="1:12" ht="15.75" customHeight="1" x14ac:dyDescent="0.35">
      <c r="A337" s="47"/>
      <c r="B337" s="817" t="s">
        <v>545</v>
      </c>
      <c r="C337" s="818"/>
      <c r="D337" s="818"/>
      <c r="E337" s="818"/>
      <c r="F337" s="818"/>
      <c r="G337" s="819"/>
      <c r="H337" s="80">
        <v>0</v>
      </c>
      <c r="I337" s="76">
        <f>+H337*($I$324)+H337</f>
        <v>0</v>
      </c>
      <c r="J337" s="76">
        <f>+I337*($J$324)+I337</f>
        <v>0</v>
      </c>
      <c r="K337" s="76">
        <f>+J337*($K$324)+J337</f>
        <v>0</v>
      </c>
      <c r="L337" s="77">
        <f>+K337*($L$324)+K337</f>
        <v>0</v>
      </c>
    </row>
    <row r="338" spans="1:12" ht="15.75" customHeight="1" x14ac:dyDescent="0.35">
      <c r="A338" s="47"/>
      <c r="B338" s="817" t="s">
        <v>545</v>
      </c>
      <c r="C338" s="818"/>
      <c r="D338" s="818"/>
      <c r="E338" s="818"/>
      <c r="F338" s="818"/>
      <c r="G338" s="819"/>
      <c r="H338" s="80">
        <v>0</v>
      </c>
      <c r="I338" s="76">
        <f>+H338*($I$324)+H338</f>
        <v>0</v>
      </c>
      <c r="J338" s="76">
        <f>+I338*($J$324)+I338</f>
        <v>0</v>
      </c>
      <c r="K338" s="76">
        <f>+J338*($K$324)+J338</f>
        <v>0</v>
      </c>
      <c r="L338" s="77">
        <f>+K338*($L$324)+K338</f>
        <v>0</v>
      </c>
    </row>
    <row r="339" spans="1:12" ht="15.75" customHeight="1" x14ac:dyDescent="0.35">
      <c r="A339" s="47"/>
      <c r="B339" s="820" t="s">
        <v>151</v>
      </c>
      <c r="C339" s="821"/>
      <c r="D339" s="821"/>
      <c r="E339" s="821"/>
      <c r="F339" s="821"/>
      <c r="G339" s="822"/>
      <c r="H339" s="78">
        <f>SUM(H335:H338)</f>
        <v>0</v>
      </c>
      <c r="I339" s="78">
        <f>SUM(I335:I338)</f>
        <v>0</v>
      </c>
      <c r="J339" s="78">
        <f>SUM(J335:J338)</f>
        <v>0</v>
      </c>
      <c r="K339" s="78">
        <f>SUM(K335:K338)</f>
        <v>0</v>
      </c>
      <c r="L339" s="79">
        <f>SUM(L335:L338)</f>
        <v>0</v>
      </c>
    </row>
    <row r="340" spans="1:12" ht="15.75" customHeight="1" x14ac:dyDescent="0.35">
      <c r="A340" s="47"/>
      <c r="B340" s="823" t="s">
        <v>153</v>
      </c>
      <c r="C340" s="824"/>
      <c r="D340" s="824"/>
      <c r="E340" s="824"/>
      <c r="F340" s="824"/>
      <c r="G340" s="824"/>
      <c r="H340" s="824"/>
      <c r="I340" s="824"/>
      <c r="J340" s="824"/>
      <c r="K340" s="824"/>
      <c r="L340" s="825"/>
    </row>
    <row r="341" spans="1:12" ht="15.75" customHeight="1" x14ac:dyDescent="0.35">
      <c r="A341" s="47"/>
      <c r="B341" s="817" t="s">
        <v>545</v>
      </c>
      <c r="C341" s="818"/>
      <c r="D341" s="818"/>
      <c r="E341" s="818"/>
      <c r="F341" s="818"/>
      <c r="G341" s="819"/>
      <c r="H341" s="80">
        <v>0</v>
      </c>
      <c r="I341" s="76">
        <f>+H341*($I$324)+H341</f>
        <v>0</v>
      </c>
      <c r="J341" s="76">
        <f>+I341*($J$324)+I341</f>
        <v>0</v>
      </c>
      <c r="K341" s="76">
        <f>+J341*($K$324)+J341</f>
        <v>0</v>
      </c>
      <c r="L341" s="77">
        <f>+K341*($L$324)+K341</f>
        <v>0</v>
      </c>
    </row>
    <row r="342" spans="1:12" ht="15.75" customHeight="1" x14ac:dyDescent="0.35">
      <c r="A342" s="47"/>
      <c r="B342" s="817" t="s">
        <v>545</v>
      </c>
      <c r="C342" s="818"/>
      <c r="D342" s="818"/>
      <c r="E342" s="818"/>
      <c r="F342" s="818">
        <v>2</v>
      </c>
      <c r="G342" s="819"/>
      <c r="H342" s="80">
        <v>0</v>
      </c>
      <c r="I342" s="76">
        <f>+H342*($I$324)+H342</f>
        <v>0</v>
      </c>
      <c r="J342" s="76">
        <f>+I342*($J$324)+I342</f>
        <v>0</v>
      </c>
      <c r="K342" s="76">
        <f>+J342*($K$324)+J342</f>
        <v>0</v>
      </c>
      <c r="L342" s="77">
        <f>+K342*($L$324)+K342</f>
        <v>0</v>
      </c>
    </row>
    <row r="343" spans="1:12" ht="15.75" customHeight="1" x14ac:dyDescent="0.35">
      <c r="A343" s="47"/>
      <c r="B343" s="817" t="s">
        <v>545</v>
      </c>
      <c r="C343" s="818"/>
      <c r="D343" s="818"/>
      <c r="E343" s="818"/>
      <c r="F343" s="818">
        <v>3</v>
      </c>
      <c r="G343" s="819"/>
      <c r="H343" s="80">
        <v>0</v>
      </c>
      <c r="I343" s="76">
        <f>+H343*($I$324)+H343</f>
        <v>0</v>
      </c>
      <c r="J343" s="76">
        <f>+I343*($J$324)+I343</f>
        <v>0</v>
      </c>
      <c r="K343" s="76">
        <f>+J343*($K$324)+J343</f>
        <v>0</v>
      </c>
      <c r="L343" s="77">
        <f>+K343*($L$324)+K343</f>
        <v>0</v>
      </c>
    </row>
    <row r="344" spans="1:12" ht="15.75" customHeight="1" x14ac:dyDescent="0.35">
      <c r="A344" s="47"/>
      <c r="B344" s="817" t="s">
        <v>545</v>
      </c>
      <c r="C344" s="818"/>
      <c r="D344" s="818"/>
      <c r="E344" s="818"/>
      <c r="F344" s="818">
        <v>4</v>
      </c>
      <c r="G344" s="819"/>
      <c r="H344" s="80">
        <v>0</v>
      </c>
      <c r="I344" s="76">
        <f>+H344*($I$324)+H344</f>
        <v>0</v>
      </c>
      <c r="J344" s="76">
        <f>+I344*($J$324)+I344</f>
        <v>0</v>
      </c>
      <c r="K344" s="76">
        <f>+J344*($K$324)+J344</f>
        <v>0</v>
      </c>
      <c r="L344" s="77">
        <f>+K344*($L$324)+K344</f>
        <v>0</v>
      </c>
    </row>
    <row r="345" spans="1:12" ht="15.75" customHeight="1" x14ac:dyDescent="0.35">
      <c r="A345" s="47"/>
      <c r="B345" s="820" t="s">
        <v>151</v>
      </c>
      <c r="C345" s="821"/>
      <c r="D345" s="821"/>
      <c r="E345" s="821"/>
      <c r="F345" s="821"/>
      <c r="G345" s="822"/>
      <c r="H345" s="78">
        <f>SUM(H341:H344)</f>
        <v>0</v>
      </c>
      <c r="I345" s="78">
        <f>SUM(I341:I344)</f>
        <v>0</v>
      </c>
      <c r="J345" s="78">
        <f>SUM(J341:J344)</f>
        <v>0</v>
      </c>
      <c r="K345" s="78">
        <f>SUM(K341:K344)</f>
        <v>0</v>
      </c>
      <c r="L345" s="79">
        <f>SUM(L341:L344)</f>
        <v>0</v>
      </c>
    </row>
    <row r="346" spans="1:12" ht="15.75" customHeight="1" x14ac:dyDescent="0.35">
      <c r="A346" s="47"/>
      <c r="B346" s="823" t="s">
        <v>154</v>
      </c>
      <c r="C346" s="824"/>
      <c r="D346" s="824"/>
      <c r="E346" s="824"/>
      <c r="F346" s="824"/>
      <c r="G346" s="824"/>
      <c r="H346" s="824"/>
      <c r="I346" s="824"/>
      <c r="J346" s="824"/>
      <c r="K346" s="824"/>
      <c r="L346" s="825"/>
    </row>
    <row r="347" spans="1:12" ht="15.75" customHeight="1" x14ac:dyDescent="0.35">
      <c r="A347" s="47"/>
      <c r="B347" s="814" t="s">
        <v>155</v>
      </c>
      <c r="C347" s="815"/>
      <c r="D347" s="815"/>
      <c r="E347" s="815"/>
      <c r="F347" s="815"/>
      <c r="G347" s="815"/>
      <c r="H347" s="815"/>
      <c r="I347" s="815"/>
      <c r="J347" s="815"/>
      <c r="K347" s="815"/>
      <c r="L347" s="816"/>
    </row>
    <row r="348" spans="1:12" ht="15.75" customHeight="1" x14ac:dyDescent="0.35">
      <c r="A348" s="47"/>
      <c r="B348" s="801" t="str">
        <f>B291</f>
        <v>Folletos Publicitarios</v>
      </c>
      <c r="C348" s="802"/>
      <c r="D348" s="802"/>
      <c r="E348" s="802"/>
      <c r="F348" s="802"/>
      <c r="G348" s="803"/>
      <c r="H348" s="75">
        <f>+L291</f>
        <v>540000</v>
      </c>
      <c r="I348" s="76">
        <f>+H348*($I$324)+H348</f>
        <v>565758</v>
      </c>
      <c r="J348" s="76">
        <f>+I348*($J$324)+I348</f>
        <v>586691.04599999997</v>
      </c>
      <c r="K348" s="76">
        <f>+J348*($K$324)+J348</f>
        <v>604878.46842599998</v>
      </c>
      <c r="L348" s="77">
        <f>+K348*($L$324)+K348</f>
        <v>625988.72697406739</v>
      </c>
    </row>
    <row r="349" spans="1:12" ht="15.75" customHeight="1" x14ac:dyDescent="0.35">
      <c r="A349" s="47"/>
      <c r="B349" s="801" t="str">
        <f>B292</f>
        <v>Campaña en Radio</v>
      </c>
      <c r="C349" s="802"/>
      <c r="D349" s="802"/>
      <c r="E349" s="802"/>
      <c r="F349" s="802">
        <f>L292</f>
        <v>4491045</v>
      </c>
      <c r="G349" s="803"/>
      <c r="H349" s="75">
        <f>+L292</f>
        <v>4491045</v>
      </c>
      <c r="I349" s="76">
        <f>+H349*($I$324)+H349</f>
        <v>4705267.8465</v>
      </c>
      <c r="J349" s="76">
        <f>+I349*($J$324)+I349</f>
        <v>4879362.7568204999</v>
      </c>
      <c r="K349" s="76">
        <f>+J349*($K$324)+J349</f>
        <v>5030623.002281935</v>
      </c>
      <c r="L349" s="77">
        <f>+K349*($L$324)+K349</f>
        <v>5206191.7450615745</v>
      </c>
    </row>
    <row r="350" spans="1:12" ht="15.75" customHeight="1" x14ac:dyDescent="0.35">
      <c r="A350" s="47"/>
      <c r="B350" s="801" t="str">
        <f>B293</f>
        <v>Campaña en Redes Sociales</v>
      </c>
      <c r="C350" s="802"/>
      <c r="D350" s="802"/>
      <c r="E350" s="802"/>
      <c r="F350" s="802">
        <f>L293</f>
        <v>1791000</v>
      </c>
      <c r="G350" s="803"/>
      <c r="H350" s="75">
        <f>+L293</f>
        <v>1791000</v>
      </c>
      <c r="I350" s="76">
        <f>+H350*($I$324)+H350</f>
        <v>1876430.7</v>
      </c>
      <c r="J350" s="76">
        <f>+I350*($J$324)+I350</f>
        <v>1945858.6358999999</v>
      </c>
      <c r="K350" s="76">
        <f>+J350*($K$324)+J350</f>
        <v>2006180.2536128999</v>
      </c>
      <c r="L350" s="77">
        <f>+K350*($L$324)+K350</f>
        <v>2076195.9444639902</v>
      </c>
    </row>
    <row r="351" spans="1:12" ht="15.75" customHeight="1" x14ac:dyDescent="0.35">
      <c r="A351" s="47"/>
      <c r="B351" s="801" t="str">
        <f>B294</f>
        <v>N/A</v>
      </c>
      <c r="C351" s="802"/>
      <c r="D351" s="802"/>
      <c r="E351" s="802"/>
      <c r="F351" s="802">
        <f>L294</f>
        <v>0</v>
      </c>
      <c r="G351" s="803"/>
      <c r="H351" s="75">
        <f>+L294</f>
        <v>0</v>
      </c>
      <c r="I351" s="76">
        <f>+H351*($I$324)+H351</f>
        <v>0</v>
      </c>
      <c r="J351" s="76">
        <f>+I351*($J$324)+I351</f>
        <v>0</v>
      </c>
      <c r="K351" s="76">
        <f>+J351*($K$324)+J351</f>
        <v>0</v>
      </c>
      <c r="L351" s="77">
        <f>+K351*($L$324)+K351</f>
        <v>0</v>
      </c>
    </row>
    <row r="352" spans="1:12" ht="15.75" customHeight="1" x14ac:dyDescent="0.35">
      <c r="A352" s="47"/>
      <c r="B352" s="814" t="s">
        <v>156</v>
      </c>
      <c r="C352" s="815"/>
      <c r="D352" s="815"/>
      <c r="E352" s="815"/>
      <c r="F352" s="815"/>
      <c r="G352" s="815"/>
      <c r="H352" s="815"/>
      <c r="I352" s="815"/>
      <c r="J352" s="815"/>
      <c r="K352" s="815"/>
      <c r="L352" s="816"/>
    </row>
    <row r="353" spans="1:12" ht="15.75" customHeight="1" x14ac:dyDescent="0.35">
      <c r="A353" s="47"/>
      <c r="B353" s="801" t="str">
        <f>B299</f>
        <v>Participación en ferias empresariales</v>
      </c>
      <c r="C353" s="802"/>
      <c r="D353" s="802"/>
      <c r="E353" s="802"/>
      <c r="F353" s="802"/>
      <c r="G353" s="803"/>
      <c r="H353" s="75">
        <f>+L299</f>
        <v>1200000</v>
      </c>
      <c r="I353" s="76">
        <f>+H353*($I$324)+H353</f>
        <v>1257240</v>
      </c>
      <c r="J353" s="76">
        <f>+I353*($J$324)+I353</f>
        <v>1303757.8799999999</v>
      </c>
      <c r="K353" s="76">
        <f>+J353*($K$324)+J353</f>
        <v>1344174.3742799999</v>
      </c>
      <c r="L353" s="77">
        <f>+K353*($L$324)+K353</f>
        <v>1391086.0599423719</v>
      </c>
    </row>
    <row r="354" spans="1:12" ht="15.75" customHeight="1" x14ac:dyDescent="0.35">
      <c r="A354" s="47"/>
      <c r="B354" s="801" t="str">
        <f>B300</f>
        <v>Visita Comercial</v>
      </c>
      <c r="C354" s="802"/>
      <c r="D354" s="802"/>
      <c r="E354" s="802"/>
      <c r="F354" s="802">
        <f>L300</f>
        <v>3540000</v>
      </c>
      <c r="G354" s="803"/>
      <c r="H354" s="75">
        <f>+L300</f>
        <v>3540000</v>
      </c>
      <c r="I354" s="76">
        <f>+H354*($I$324)+H354</f>
        <v>3708858</v>
      </c>
      <c r="J354" s="76">
        <f>+I354*($J$324)+I354</f>
        <v>3846085.7459999998</v>
      </c>
      <c r="K354" s="76">
        <f>+J354*($K$324)+J354</f>
        <v>3965314.4041259997</v>
      </c>
      <c r="L354" s="77">
        <f>+K354*($L$324)+K354</f>
        <v>4103703.8768299972</v>
      </c>
    </row>
    <row r="355" spans="1:12" ht="15.75" customHeight="1" x14ac:dyDescent="0.35">
      <c r="A355" s="47"/>
      <c r="B355" s="801" t="str">
        <f>B301</f>
        <v>N/A</v>
      </c>
      <c r="C355" s="802"/>
      <c r="D355" s="802"/>
      <c r="E355" s="802"/>
      <c r="F355" s="802">
        <f>L301</f>
        <v>0</v>
      </c>
      <c r="G355" s="803"/>
      <c r="H355" s="75">
        <f>+L301</f>
        <v>0</v>
      </c>
      <c r="I355" s="76">
        <f>+H355*($I$324)+H355</f>
        <v>0</v>
      </c>
      <c r="J355" s="76">
        <f>+I355*($J$324)+I355</f>
        <v>0</v>
      </c>
      <c r="K355" s="76">
        <f>+J355*($K$324)+J355</f>
        <v>0</v>
      </c>
      <c r="L355" s="77">
        <f>+K355*($L$324)+K355</f>
        <v>0</v>
      </c>
    </row>
    <row r="356" spans="1:12" ht="15.75" customHeight="1" x14ac:dyDescent="0.35">
      <c r="A356" s="47"/>
      <c r="B356" s="801" t="str">
        <f>B302</f>
        <v>N/A</v>
      </c>
      <c r="C356" s="802"/>
      <c r="D356" s="802"/>
      <c r="E356" s="802"/>
      <c r="F356" s="802">
        <f>L302</f>
        <v>0</v>
      </c>
      <c r="G356" s="803"/>
      <c r="H356" s="75">
        <f>+L302</f>
        <v>0</v>
      </c>
      <c r="I356" s="76">
        <f>+H356*($I$324)+H356</f>
        <v>0</v>
      </c>
      <c r="J356" s="76">
        <f>+I356*($J$324)+I356</f>
        <v>0</v>
      </c>
      <c r="K356" s="76">
        <f>+J356*($K$324)+J356</f>
        <v>0</v>
      </c>
      <c r="L356" s="77">
        <f>+K356*($L$324)+K356</f>
        <v>0</v>
      </c>
    </row>
    <row r="357" spans="1:12" ht="15.75" customHeight="1" x14ac:dyDescent="0.35">
      <c r="A357" s="47"/>
      <c r="B357" s="814" t="s">
        <v>157</v>
      </c>
      <c r="C357" s="815"/>
      <c r="D357" s="815"/>
      <c r="E357" s="815"/>
      <c r="F357" s="815"/>
      <c r="G357" s="815"/>
      <c r="H357" s="815"/>
      <c r="I357" s="815"/>
      <c r="J357" s="815"/>
      <c r="K357" s="815"/>
      <c r="L357" s="816"/>
    </row>
    <row r="358" spans="1:12" ht="15.75" customHeight="1" x14ac:dyDescent="0.35">
      <c r="A358" s="47"/>
      <c r="B358" s="801" t="str">
        <f>B307</f>
        <v>Servicio de promotores de venta en campo</v>
      </c>
      <c r="C358" s="802"/>
      <c r="D358" s="802"/>
      <c r="E358" s="802"/>
      <c r="F358" s="802"/>
      <c r="G358" s="803"/>
      <c r="H358" s="75">
        <f>+L307</f>
        <v>7103952</v>
      </c>
      <c r="I358" s="76">
        <f>+H358*($I$324)+H358</f>
        <v>7442810.5104</v>
      </c>
      <c r="J358" s="76">
        <f>+I358*($J$324)+I358</f>
        <v>7718194.4992848001</v>
      </c>
      <c r="K358" s="76">
        <f>+J358*($K$324)+J358</f>
        <v>7957458.5287626293</v>
      </c>
      <c r="L358" s="77">
        <f>+K358*($L$324)+K358</f>
        <v>8235173.8314164449</v>
      </c>
    </row>
    <row r="359" spans="1:12" ht="15.75" customHeight="1" x14ac:dyDescent="0.35">
      <c r="A359" s="47"/>
      <c r="B359" s="801" t="str">
        <f>B308</f>
        <v>N/A</v>
      </c>
      <c r="C359" s="802"/>
      <c r="D359" s="802"/>
      <c r="E359" s="802"/>
      <c r="F359" s="802">
        <f>L308</f>
        <v>0</v>
      </c>
      <c r="G359" s="803"/>
      <c r="H359" s="75">
        <f>+L308</f>
        <v>0</v>
      </c>
      <c r="I359" s="76">
        <f>+H359*($I$324)+H359</f>
        <v>0</v>
      </c>
      <c r="J359" s="76">
        <f>+I359*($J$324)+I359</f>
        <v>0</v>
      </c>
      <c r="K359" s="76">
        <f>+J359*($K$324)+J359</f>
        <v>0</v>
      </c>
      <c r="L359" s="77">
        <f>+K359*($L$324)+K359</f>
        <v>0</v>
      </c>
    </row>
    <row r="360" spans="1:12" ht="15.75" customHeight="1" x14ac:dyDescent="0.35">
      <c r="A360" s="47"/>
      <c r="B360" s="801" t="str">
        <f>B309</f>
        <v>N/A</v>
      </c>
      <c r="C360" s="802"/>
      <c r="D360" s="802"/>
      <c r="E360" s="802"/>
      <c r="F360" s="802">
        <f>L309</f>
        <v>0</v>
      </c>
      <c r="G360" s="803"/>
      <c r="H360" s="75">
        <f>+L309</f>
        <v>0</v>
      </c>
      <c r="I360" s="76">
        <f>+H360*($I$324)+H360</f>
        <v>0</v>
      </c>
      <c r="J360" s="76">
        <f>+I360*($J$324)+I360</f>
        <v>0</v>
      </c>
      <c r="K360" s="76">
        <f>+J360*($K$324)+J360</f>
        <v>0</v>
      </c>
      <c r="L360" s="77">
        <f>+K360*($L$324)+K360</f>
        <v>0</v>
      </c>
    </row>
    <row r="361" spans="1:12" ht="15.75" customHeight="1" x14ac:dyDescent="0.35">
      <c r="A361" s="47"/>
      <c r="B361" s="801" t="str">
        <f>B310</f>
        <v>N/A</v>
      </c>
      <c r="C361" s="802"/>
      <c r="D361" s="802"/>
      <c r="E361" s="802"/>
      <c r="F361" s="802">
        <f>L310</f>
        <v>0</v>
      </c>
      <c r="G361" s="803"/>
      <c r="H361" s="75">
        <f>+L310</f>
        <v>0</v>
      </c>
      <c r="I361" s="76">
        <f>+H361*($I$324)+H361</f>
        <v>0</v>
      </c>
      <c r="J361" s="76">
        <f>+I361*($J$324)+I361</f>
        <v>0</v>
      </c>
      <c r="K361" s="76">
        <f>+J361*($K$324)+J361</f>
        <v>0</v>
      </c>
      <c r="L361" s="77">
        <f>+K361*($L$324)+K361</f>
        <v>0</v>
      </c>
    </row>
    <row r="362" spans="1:12" ht="15.75" customHeight="1" x14ac:dyDescent="0.35">
      <c r="A362" s="47"/>
      <c r="B362" s="814" t="s">
        <v>158</v>
      </c>
      <c r="C362" s="815"/>
      <c r="D362" s="815"/>
      <c r="E362" s="815"/>
      <c r="F362" s="815"/>
      <c r="G362" s="815"/>
      <c r="H362" s="815"/>
      <c r="I362" s="815"/>
      <c r="J362" s="815"/>
      <c r="K362" s="815"/>
      <c r="L362" s="816"/>
    </row>
    <row r="363" spans="1:12" ht="15.75" customHeight="1" x14ac:dyDescent="0.35">
      <c r="A363" s="47"/>
      <c r="B363" s="801" t="str">
        <f>B315</f>
        <v>Tarjetas Profesionales</v>
      </c>
      <c r="C363" s="802"/>
      <c r="D363" s="802"/>
      <c r="E363" s="802"/>
      <c r="F363" s="802"/>
      <c r="G363" s="803"/>
      <c r="H363" s="75">
        <f>+L315</f>
        <v>600000</v>
      </c>
      <c r="I363" s="76">
        <f>+H363*($I$324)+H363</f>
        <v>628620</v>
      </c>
      <c r="J363" s="76">
        <f>+I363*($J$324)+I363</f>
        <v>651878.93999999994</v>
      </c>
      <c r="K363" s="76">
        <f>+J363*($K$324)+J363</f>
        <v>672087.18713999994</v>
      </c>
      <c r="L363" s="77">
        <f>+K363*($L$324)+K363</f>
        <v>695543.02997118596</v>
      </c>
    </row>
    <row r="364" spans="1:12" ht="15.75" customHeight="1" x14ac:dyDescent="0.35">
      <c r="A364" s="47"/>
      <c r="B364" s="801" t="str">
        <f>B316</f>
        <v>Pendones para publicidad en sitio</v>
      </c>
      <c r="C364" s="802"/>
      <c r="D364" s="802"/>
      <c r="E364" s="802"/>
      <c r="F364" s="802">
        <f>L316</f>
        <v>872500</v>
      </c>
      <c r="G364" s="803"/>
      <c r="H364" s="75">
        <f>+L316</f>
        <v>872500</v>
      </c>
      <c r="I364" s="76">
        <f>+H364*($I$324)+H364</f>
        <v>914118.25</v>
      </c>
      <c r="J364" s="76">
        <f>+I364*($J$324)+I364</f>
        <v>947940.62525000004</v>
      </c>
      <c r="K364" s="76">
        <f>+J364*($K$324)+J364</f>
        <v>977326.78463275009</v>
      </c>
      <c r="L364" s="77">
        <f>+K364*($L$324)+K364</f>
        <v>1011435.489416433</v>
      </c>
    </row>
    <row r="365" spans="1:12" ht="15.75" customHeight="1" x14ac:dyDescent="0.35">
      <c r="A365" s="47"/>
      <c r="B365" s="801" t="str">
        <f>B317</f>
        <v>N/A</v>
      </c>
      <c r="C365" s="802"/>
      <c r="D365" s="802"/>
      <c r="E365" s="802"/>
      <c r="F365" s="802">
        <f>L317</f>
        <v>0</v>
      </c>
      <c r="G365" s="803"/>
      <c r="H365" s="75">
        <f>+L317</f>
        <v>0</v>
      </c>
      <c r="I365" s="76">
        <f>+H365*($I$324)+H365</f>
        <v>0</v>
      </c>
      <c r="J365" s="76">
        <f>+I365*($J$324)+I365</f>
        <v>0</v>
      </c>
      <c r="K365" s="76">
        <f>+J365*($K$324)+J365</f>
        <v>0</v>
      </c>
      <c r="L365" s="77">
        <f>+K365*($L$324)+K365</f>
        <v>0</v>
      </c>
    </row>
    <row r="366" spans="1:12" ht="15.75" customHeight="1" x14ac:dyDescent="0.35">
      <c r="A366" s="47"/>
      <c r="B366" s="801" t="str">
        <f>B318</f>
        <v>N/A</v>
      </c>
      <c r="C366" s="802"/>
      <c r="D366" s="802"/>
      <c r="E366" s="802"/>
      <c r="F366" s="802">
        <f>L318</f>
        <v>0</v>
      </c>
      <c r="G366" s="803"/>
      <c r="H366" s="75">
        <f>+L318</f>
        <v>0</v>
      </c>
      <c r="I366" s="76">
        <f>+H366*($I$324)+H366</f>
        <v>0</v>
      </c>
      <c r="J366" s="76">
        <f>+I366*($J$324)+I366</f>
        <v>0</v>
      </c>
      <c r="K366" s="76">
        <f>+J366*($K$324)+J366</f>
        <v>0</v>
      </c>
      <c r="L366" s="77">
        <f>+K366*($L$324)+K366</f>
        <v>0</v>
      </c>
    </row>
    <row r="367" spans="1:12" ht="15.75" customHeight="1" thickBot="1" x14ac:dyDescent="0.4">
      <c r="A367" s="47"/>
      <c r="B367" s="804" t="s">
        <v>151</v>
      </c>
      <c r="C367" s="805"/>
      <c r="D367" s="805"/>
      <c r="E367" s="805"/>
      <c r="F367" s="805"/>
      <c r="G367" s="806"/>
      <c r="H367" s="81">
        <f>SUM(H347:H366)</f>
        <v>20138497</v>
      </c>
      <c r="I367" s="81">
        <f>SUM(I347:I366)</f>
        <v>21099103.306900002</v>
      </c>
      <c r="J367" s="81">
        <f>SUM(J347:J366)</f>
        <v>21879770.129255302</v>
      </c>
      <c r="K367" s="81">
        <f>SUM(K347:K366)</f>
        <v>22558043.003262211</v>
      </c>
      <c r="L367" s="82">
        <f>SUM(L347:L366)</f>
        <v>23345318.704076063</v>
      </c>
    </row>
    <row r="368" spans="1:12" ht="15.75" customHeight="1" thickTop="1" thickBot="1" x14ac:dyDescent="0.4">
      <c r="A368" s="47"/>
      <c r="B368" s="807" t="s">
        <v>159</v>
      </c>
      <c r="C368" s="808"/>
      <c r="D368" s="808"/>
      <c r="E368" s="808"/>
      <c r="F368" s="808"/>
      <c r="G368" s="809"/>
      <c r="H368" s="83">
        <f>H367+H345+H339+H333</f>
        <v>37693073.5</v>
      </c>
      <c r="I368" s="83">
        <f>I367+I345+I339+I333</f>
        <v>39491033.105949998</v>
      </c>
      <c r="J368" s="83">
        <f>J367+J345+J339+J333</f>
        <v>40952201.330870152</v>
      </c>
      <c r="K368" s="83">
        <f>K367+K345+K339+K333</f>
        <v>42221719.572127119</v>
      </c>
      <c r="L368" s="84">
        <f>L367+L345+L339+L333</f>
        <v>43695257.585194364</v>
      </c>
    </row>
    <row r="369" spans="1:31" s="46" customFormat="1" ht="15" customHeight="1" x14ac:dyDescent="0.35">
      <c r="A369" s="21"/>
      <c r="B369" s="43"/>
      <c r="C369" s="43"/>
      <c r="D369" s="43"/>
      <c r="E369" s="43"/>
      <c r="F369" s="43"/>
      <c r="G369" s="43"/>
      <c r="H369" s="43"/>
      <c r="I369" s="43"/>
      <c r="J369" s="43"/>
      <c r="K369" s="43"/>
      <c r="L369" s="43"/>
      <c r="M369" s="43"/>
      <c r="N369" s="44"/>
      <c r="O369" s="44"/>
      <c r="P369" s="44"/>
      <c r="Q369" s="44"/>
      <c r="R369" s="44"/>
      <c r="S369" s="44"/>
      <c r="T369" s="44"/>
      <c r="U369" s="44"/>
      <c r="V369" s="44"/>
      <c r="W369" s="44"/>
      <c r="X369" s="44"/>
      <c r="Y369" s="44"/>
      <c r="Z369" s="44"/>
      <c r="AA369" s="44"/>
      <c r="AB369" s="44"/>
      <c r="AC369" s="44"/>
      <c r="AD369" s="44"/>
      <c r="AE369" s="44"/>
    </row>
    <row r="370" spans="1:31" ht="15.75" customHeight="1" x14ac:dyDescent="0.35">
      <c r="B370" s="810"/>
      <c r="C370" s="811"/>
      <c r="D370" s="811"/>
      <c r="E370" s="811"/>
    </row>
    <row r="371" spans="1:31" s="44" customFormat="1" ht="15.75" customHeight="1" x14ac:dyDescent="0.35">
      <c r="B371" s="812"/>
      <c r="C371" s="813"/>
      <c r="D371" s="813"/>
      <c r="E371" s="813"/>
    </row>
    <row r="372" spans="1:31" s="44" customFormat="1" ht="15.75" customHeight="1" x14ac:dyDescent="0.35"/>
    <row r="373" spans="1:31" s="44" customFormat="1" ht="15.75" customHeight="1" x14ac:dyDescent="0.35"/>
    <row r="374" spans="1:31" s="44" customFormat="1" ht="15.75" customHeight="1" x14ac:dyDescent="0.35"/>
    <row r="375" spans="1:31" s="44" customFormat="1" ht="15.75" customHeight="1" x14ac:dyDescent="0.35"/>
    <row r="376" spans="1:31" s="44" customFormat="1" ht="15.75" customHeight="1" x14ac:dyDescent="0.35"/>
    <row r="377" spans="1:31" s="44" customFormat="1" ht="15.75" customHeight="1" x14ac:dyDescent="0.35"/>
    <row r="378" spans="1:31" s="44" customFormat="1" ht="15.75" customHeight="1" x14ac:dyDescent="0.35"/>
    <row r="379" spans="1:31" s="44" customFormat="1" ht="15.75" customHeight="1" x14ac:dyDescent="0.35"/>
    <row r="380" spans="1:31" s="44" customFormat="1" ht="15.75" customHeight="1" x14ac:dyDescent="0.35"/>
    <row r="381" spans="1:31" s="44" customFormat="1" ht="15.75" customHeight="1" x14ac:dyDescent="0.35"/>
    <row r="382" spans="1:31" s="44" customFormat="1" ht="15.75" customHeight="1" x14ac:dyDescent="0.35"/>
    <row r="383" spans="1:31" s="44" customFormat="1" ht="15.75" customHeight="1" x14ac:dyDescent="0.35"/>
    <row r="384" spans="1:31" s="44" customFormat="1" ht="15.75" customHeight="1" x14ac:dyDescent="0.35"/>
    <row r="385" s="44" customFormat="1" ht="15.75" customHeight="1" x14ac:dyDescent="0.35"/>
    <row r="386" s="44" customFormat="1" ht="15.75" customHeight="1" x14ac:dyDescent="0.35"/>
    <row r="387" s="44" customFormat="1" ht="15.75" customHeight="1" x14ac:dyDescent="0.35"/>
    <row r="388" s="44" customFormat="1" ht="15.75" customHeight="1" x14ac:dyDescent="0.35"/>
    <row r="389" s="44" customFormat="1" ht="15.75" customHeight="1" x14ac:dyDescent="0.35"/>
    <row r="390" s="44" customFormat="1" ht="15.75" customHeight="1" x14ac:dyDescent="0.35"/>
    <row r="391" s="44" customFormat="1" ht="15.75" customHeight="1" x14ac:dyDescent="0.35"/>
    <row r="392" s="44" customFormat="1" ht="15.75" customHeight="1" x14ac:dyDescent="0.35"/>
    <row r="393" s="44" customFormat="1" ht="15.75" customHeight="1" x14ac:dyDescent="0.35"/>
    <row r="394" s="44" customFormat="1" ht="15.75" customHeight="1" x14ac:dyDescent="0.35"/>
    <row r="395" s="44" customFormat="1" ht="15.75" customHeight="1" x14ac:dyDescent="0.35"/>
    <row r="396" s="44" customFormat="1" ht="15.75" customHeight="1" x14ac:dyDescent="0.35"/>
    <row r="397" s="44" customFormat="1" ht="15.75" customHeight="1" x14ac:dyDescent="0.35"/>
    <row r="398" s="44" customFormat="1" ht="15.75" customHeight="1" x14ac:dyDescent="0.35"/>
    <row r="399" s="44" customFormat="1" ht="15.75" customHeight="1" x14ac:dyDescent="0.35"/>
    <row r="400" s="44" customFormat="1" ht="15.75" customHeight="1" x14ac:dyDescent="0.35"/>
    <row r="401" s="44" customFormat="1" ht="15.75" customHeight="1" x14ac:dyDescent="0.35"/>
    <row r="402" s="44" customFormat="1" ht="15.75" customHeight="1" x14ac:dyDescent="0.35"/>
    <row r="403" s="44" customFormat="1" ht="15.75" customHeight="1" x14ac:dyDescent="0.35"/>
    <row r="404" s="44" customFormat="1" ht="15.75" customHeight="1" x14ac:dyDescent="0.35"/>
    <row r="405" s="44" customFormat="1" ht="15.75" customHeight="1" x14ac:dyDescent="0.35"/>
    <row r="406" s="44" customFormat="1" ht="15.75" customHeight="1" x14ac:dyDescent="0.35"/>
    <row r="407" s="44" customFormat="1" ht="15.75" customHeight="1" x14ac:dyDescent="0.35"/>
    <row r="408" s="44" customFormat="1" ht="15.75" customHeight="1" x14ac:dyDescent="0.35"/>
    <row r="409" s="44" customFormat="1" ht="15.75" customHeight="1" x14ac:dyDescent="0.35"/>
    <row r="410" s="44" customFormat="1" ht="15.75" customHeight="1" x14ac:dyDescent="0.35"/>
    <row r="411" s="44" customFormat="1" ht="15.75" customHeight="1" x14ac:dyDescent="0.35"/>
    <row r="412" s="44" customFormat="1" ht="15.75" customHeight="1" x14ac:dyDescent="0.35"/>
    <row r="413" s="44" customFormat="1" ht="15.75" customHeight="1" x14ac:dyDescent="0.35"/>
    <row r="414" s="44" customFormat="1" ht="15.75" customHeight="1" x14ac:dyDescent="0.35"/>
    <row r="415" s="44" customFormat="1" ht="15.75" customHeight="1" x14ac:dyDescent="0.35"/>
    <row r="416" s="44" customFormat="1" ht="15.75" customHeight="1" x14ac:dyDescent="0.35"/>
    <row r="417" s="44" customFormat="1" ht="15.75" customHeight="1" x14ac:dyDescent="0.35"/>
    <row r="418" s="44" customFormat="1" ht="15.75" customHeight="1" x14ac:dyDescent="0.35"/>
    <row r="419" s="44" customFormat="1" ht="15.75" customHeight="1" x14ac:dyDescent="0.35"/>
    <row r="420" s="44" customFormat="1" ht="15.75" customHeight="1" x14ac:dyDescent="0.35"/>
    <row r="421" s="44" customFormat="1" ht="15.75" customHeight="1" x14ac:dyDescent="0.35"/>
    <row r="422" s="44" customFormat="1" ht="15.75" customHeight="1" x14ac:dyDescent="0.35"/>
    <row r="423" s="44" customFormat="1" ht="15.75" customHeight="1" x14ac:dyDescent="0.35"/>
    <row r="424" s="44" customFormat="1" ht="15.75" customHeight="1" x14ac:dyDescent="0.35"/>
    <row r="425" s="44" customFormat="1" ht="15.75" customHeight="1" x14ac:dyDescent="0.35"/>
    <row r="426" s="44" customFormat="1" ht="15.75" customHeight="1" x14ac:dyDescent="0.35"/>
    <row r="427" s="44" customFormat="1" ht="15.75" customHeight="1" x14ac:dyDescent="0.35"/>
    <row r="428" s="44" customFormat="1" ht="15.75" customHeight="1" x14ac:dyDescent="0.35"/>
    <row r="429" s="44" customFormat="1" ht="15.75" customHeight="1" x14ac:dyDescent="0.35"/>
    <row r="430" s="44" customFormat="1" ht="15.75" customHeight="1" x14ac:dyDescent="0.35"/>
    <row r="431" s="44" customFormat="1" ht="15.75" customHeight="1" x14ac:dyDescent="0.35"/>
    <row r="432" s="44" customFormat="1" ht="15.75" customHeight="1" x14ac:dyDescent="0.35"/>
    <row r="433" s="44" customFormat="1" ht="15.75" customHeight="1" x14ac:dyDescent="0.35"/>
    <row r="434" s="44" customFormat="1" ht="15.75" customHeight="1" x14ac:dyDescent="0.35"/>
    <row r="435" s="44" customFormat="1" ht="15.75" customHeight="1" x14ac:dyDescent="0.35"/>
    <row r="436" s="44" customFormat="1" ht="15.75" customHeight="1" x14ac:dyDescent="0.35"/>
    <row r="437" s="44" customFormat="1" ht="15.75" customHeight="1" x14ac:dyDescent="0.35"/>
    <row r="438" s="44" customFormat="1" ht="15.75" customHeight="1" x14ac:dyDescent="0.35"/>
    <row r="439" s="44" customFormat="1" ht="15.75" customHeight="1" x14ac:dyDescent="0.35"/>
    <row r="440" s="44" customFormat="1" ht="15.75" customHeight="1" x14ac:dyDescent="0.35"/>
    <row r="441" s="44" customFormat="1" ht="15.75" customHeight="1" x14ac:dyDescent="0.35"/>
    <row r="442" s="44" customFormat="1" ht="15.75" customHeight="1" x14ac:dyDescent="0.35"/>
    <row r="443" s="44" customFormat="1" ht="15.75" customHeight="1" x14ac:dyDescent="0.35"/>
    <row r="444" s="44" customFormat="1" ht="15.75" customHeight="1" x14ac:dyDescent="0.35"/>
    <row r="445" s="44" customFormat="1" ht="15.75" customHeight="1" x14ac:dyDescent="0.35"/>
    <row r="446" s="44" customFormat="1" ht="15.75" customHeight="1" x14ac:dyDescent="0.35"/>
    <row r="447" s="44" customFormat="1" ht="15.75" customHeight="1" x14ac:dyDescent="0.35"/>
    <row r="448" s="44" customFormat="1" ht="15.75" customHeight="1" x14ac:dyDescent="0.35"/>
    <row r="449" s="44" customFormat="1" ht="15.75" customHeight="1" x14ac:dyDescent="0.35"/>
    <row r="450" s="44" customFormat="1" ht="15.75" customHeight="1" x14ac:dyDescent="0.35"/>
    <row r="451" s="44" customFormat="1" ht="15.75" customHeight="1" x14ac:dyDescent="0.35"/>
    <row r="452" s="44" customFormat="1" ht="15.75" customHeight="1" x14ac:dyDescent="0.35"/>
    <row r="453" s="44" customFormat="1" ht="15.75" customHeight="1" x14ac:dyDescent="0.35"/>
    <row r="454" s="44" customFormat="1" ht="15.75" customHeight="1" x14ac:dyDescent="0.35"/>
    <row r="455" s="44" customFormat="1" ht="15.75" customHeight="1" x14ac:dyDescent="0.35"/>
    <row r="456" s="44" customFormat="1" ht="15.75" customHeight="1" x14ac:dyDescent="0.35"/>
    <row r="457" s="44" customFormat="1" ht="15.75" customHeight="1" x14ac:dyDescent="0.35"/>
    <row r="458" s="44" customFormat="1" ht="15.75" customHeight="1" x14ac:dyDescent="0.35"/>
    <row r="459" s="44" customFormat="1" ht="15.75" customHeight="1" x14ac:dyDescent="0.35"/>
    <row r="460" s="44" customFormat="1" ht="15.75" customHeight="1" x14ac:dyDescent="0.35"/>
    <row r="461" s="44" customFormat="1" ht="15.75" customHeight="1" x14ac:dyDescent="0.35"/>
    <row r="462" s="44" customFormat="1" ht="15.75" customHeight="1" x14ac:dyDescent="0.35"/>
    <row r="463" s="44" customFormat="1" ht="15.75" customHeight="1" x14ac:dyDescent="0.35"/>
    <row r="464" s="44" customFormat="1" ht="15.75" customHeight="1" x14ac:dyDescent="0.35"/>
    <row r="465" s="44" customFormat="1" ht="15.75" customHeight="1" x14ac:dyDescent="0.35"/>
    <row r="466" s="44" customFormat="1" ht="15.75" customHeight="1" x14ac:dyDescent="0.35"/>
    <row r="467" s="44" customFormat="1" ht="15.75" customHeight="1" x14ac:dyDescent="0.35"/>
    <row r="468" s="44" customFormat="1" ht="15.75" customHeight="1" x14ac:dyDescent="0.35"/>
    <row r="469" s="44" customFormat="1" ht="15.75" customHeight="1" x14ac:dyDescent="0.35"/>
    <row r="470" s="44" customFormat="1" ht="15.75" customHeight="1" x14ac:dyDescent="0.35"/>
    <row r="471" s="44" customFormat="1" ht="15.75" customHeight="1" x14ac:dyDescent="0.35"/>
    <row r="472" s="44" customFormat="1" ht="15.75" customHeight="1" x14ac:dyDescent="0.35"/>
    <row r="473" s="44" customFormat="1" ht="15.75" customHeight="1" x14ac:dyDescent="0.35"/>
    <row r="474" s="44" customFormat="1" ht="15.75" customHeight="1" x14ac:dyDescent="0.35"/>
    <row r="475" s="44" customFormat="1" ht="15.75" customHeight="1" x14ac:dyDescent="0.35"/>
    <row r="476" s="44" customFormat="1" ht="15.75" customHeight="1" x14ac:dyDescent="0.35"/>
    <row r="477" s="44" customFormat="1" ht="15.75" customHeight="1" x14ac:dyDescent="0.35"/>
    <row r="478" s="44" customFormat="1" ht="15.75" customHeight="1" x14ac:dyDescent="0.35"/>
    <row r="479" s="44" customFormat="1" ht="15.75" customHeight="1" x14ac:dyDescent="0.35"/>
    <row r="480" s="44" customFormat="1" ht="15.75" customHeight="1" x14ac:dyDescent="0.35"/>
    <row r="481" s="44" customFormat="1" ht="15.75" customHeight="1" x14ac:dyDescent="0.35"/>
    <row r="482" s="44" customFormat="1" ht="15.75" customHeight="1" x14ac:dyDescent="0.35"/>
    <row r="483" s="44" customFormat="1" ht="15.75" customHeight="1" x14ac:dyDescent="0.35"/>
    <row r="484" s="44" customFormat="1" ht="15.75" customHeight="1" x14ac:dyDescent="0.35"/>
    <row r="485" s="44" customFormat="1" ht="15.75" customHeight="1" x14ac:dyDescent="0.35"/>
    <row r="486" s="44" customFormat="1" ht="15.75" customHeight="1" x14ac:dyDescent="0.35"/>
    <row r="487" s="44" customFormat="1" ht="15.75" customHeight="1" x14ac:dyDescent="0.35"/>
    <row r="488" s="44" customFormat="1" ht="15.75" customHeight="1" x14ac:dyDescent="0.35"/>
    <row r="489" s="44" customFormat="1" ht="15.75" customHeight="1" x14ac:dyDescent="0.35"/>
    <row r="490" s="44" customFormat="1" ht="15.75" customHeight="1" x14ac:dyDescent="0.35"/>
    <row r="491" s="44" customFormat="1" ht="15.75" customHeight="1" x14ac:dyDescent="0.35"/>
    <row r="492" s="44" customFormat="1" ht="15.75" customHeight="1" x14ac:dyDescent="0.35"/>
    <row r="493" s="44" customFormat="1" ht="15.75" customHeight="1" x14ac:dyDescent="0.35"/>
    <row r="494" s="44" customFormat="1" ht="15.75" customHeight="1" x14ac:dyDescent="0.35"/>
    <row r="495" s="44" customFormat="1" ht="15.75" customHeight="1" x14ac:dyDescent="0.35"/>
    <row r="496" s="44" customFormat="1" ht="15.75" customHeight="1" x14ac:dyDescent="0.35"/>
    <row r="497" s="44" customFormat="1" ht="15.75" customHeight="1" x14ac:dyDescent="0.35"/>
    <row r="498" s="44" customFormat="1" ht="15.75" customHeight="1" x14ac:dyDescent="0.35"/>
    <row r="499" s="44" customFormat="1" ht="15.75" customHeight="1" x14ac:dyDescent="0.35"/>
    <row r="500" s="44" customFormat="1" ht="15.75" customHeight="1" x14ac:dyDescent="0.35"/>
    <row r="501" s="44" customFormat="1" ht="15.75" customHeight="1" x14ac:dyDescent="0.35"/>
    <row r="502" s="44" customFormat="1" ht="15.75" customHeight="1" x14ac:dyDescent="0.35"/>
    <row r="503" s="44" customFormat="1" ht="15.75" customHeight="1" x14ac:dyDescent="0.35"/>
    <row r="504" s="44" customFormat="1" ht="15.75" customHeight="1" x14ac:dyDescent="0.35"/>
    <row r="505" s="44" customFormat="1" ht="15.75" customHeight="1" x14ac:dyDescent="0.35"/>
    <row r="506" s="44" customFormat="1" ht="15.75" customHeight="1" x14ac:dyDescent="0.35"/>
    <row r="507" s="44" customFormat="1" ht="15.75" customHeight="1" x14ac:dyDescent="0.35"/>
    <row r="508" s="44" customFormat="1" ht="15.75" customHeight="1" x14ac:dyDescent="0.35"/>
    <row r="509" s="44" customFormat="1" ht="15.75" customHeight="1" x14ac:dyDescent="0.35"/>
    <row r="510" s="44" customFormat="1" ht="15.75" customHeight="1" x14ac:dyDescent="0.35"/>
    <row r="511" s="44" customFormat="1" ht="15.75" customHeight="1" x14ac:dyDescent="0.35"/>
    <row r="512" s="44" customFormat="1" ht="15.75" customHeight="1" x14ac:dyDescent="0.35"/>
    <row r="513" s="44" customFormat="1" ht="15.75" customHeight="1" x14ac:dyDescent="0.35"/>
    <row r="514" s="44" customFormat="1" ht="15.75" customHeight="1" x14ac:dyDescent="0.35"/>
    <row r="515" s="44" customFormat="1" ht="15.75" customHeight="1" x14ac:dyDescent="0.35"/>
    <row r="516" s="44" customFormat="1" ht="15.75" customHeight="1" x14ac:dyDescent="0.35"/>
    <row r="517" s="44" customFormat="1" ht="15.75" customHeight="1" x14ac:dyDescent="0.35"/>
    <row r="518" s="44" customFormat="1" ht="15.75" customHeight="1" x14ac:dyDescent="0.35"/>
    <row r="519" s="44" customFormat="1" ht="15.75" customHeight="1" x14ac:dyDescent="0.35"/>
    <row r="520" s="44" customFormat="1" ht="15.75" customHeight="1" x14ac:dyDescent="0.35"/>
    <row r="521" s="44" customFormat="1" ht="15.75" customHeight="1" x14ac:dyDescent="0.35"/>
    <row r="522" s="44" customFormat="1" ht="15.75" customHeight="1" x14ac:dyDescent="0.35"/>
    <row r="523" s="44" customFormat="1" ht="15.75" customHeight="1" x14ac:dyDescent="0.35"/>
    <row r="524" s="44" customFormat="1" ht="15.75" customHeight="1" x14ac:dyDescent="0.35"/>
    <row r="525" s="44" customFormat="1" ht="15.75" customHeight="1" x14ac:dyDescent="0.35"/>
    <row r="526" s="44" customFormat="1" ht="15.75" customHeight="1" x14ac:dyDescent="0.35"/>
    <row r="527" s="44" customFormat="1" ht="15.75" customHeight="1" x14ac:dyDescent="0.35"/>
    <row r="528" s="44" customFormat="1" ht="15.75" customHeight="1" x14ac:dyDescent="0.35"/>
    <row r="529" s="44" customFormat="1" ht="15.75" customHeight="1" x14ac:dyDescent="0.35"/>
    <row r="530" s="44" customFormat="1" ht="15.75" customHeight="1" x14ac:dyDescent="0.35"/>
    <row r="531" s="44" customFormat="1" ht="15.75" customHeight="1" x14ac:dyDescent="0.35"/>
    <row r="532" s="44" customFormat="1" ht="15.75" customHeight="1" x14ac:dyDescent="0.35"/>
    <row r="533" s="44" customFormat="1" ht="15.75" customHeight="1" x14ac:dyDescent="0.35"/>
    <row r="534" s="44" customFormat="1" ht="15.75" customHeight="1" x14ac:dyDescent="0.35"/>
    <row r="535" s="44" customFormat="1" ht="15.75" customHeight="1" x14ac:dyDescent="0.35"/>
    <row r="536" s="44" customFormat="1" ht="15.75" customHeight="1" x14ac:dyDescent="0.35"/>
    <row r="537" s="44" customFormat="1" ht="15.75" customHeight="1" x14ac:dyDescent="0.35"/>
    <row r="538" s="44" customFormat="1" ht="15.75" customHeight="1" x14ac:dyDescent="0.35"/>
    <row r="539" s="44" customFormat="1" ht="15.75" customHeight="1" x14ac:dyDescent="0.35"/>
    <row r="540" s="44" customFormat="1" ht="15.75" customHeight="1" x14ac:dyDescent="0.35"/>
    <row r="541" s="44" customFormat="1" ht="15.75" customHeight="1" x14ac:dyDescent="0.35"/>
    <row r="542" s="44" customFormat="1" ht="15.75" customHeight="1" x14ac:dyDescent="0.35"/>
    <row r="543" s="44" customFormat="1" ht="15.75" customHeight="1" x14ac:dyDescent="0.35"/>
    <row r="544" s="44" customFormat="1" ht="15.75" customHeight="1" x14ac:dyDescent="0.35"/>
    <row r="545" s="44" customFormat="1" ht="15.75" customHeight="1" x14ac:dyDescent="0.35"/>
    <row r="546" s="44" customFormat="1" ht="15.75" customHeight="1" x14ac:dyDescent="0.35"/>
    <row r="547" s="44" customFormat="1" ht="15.75" customHeight="1" x14ac:dyDescent="0.35"/>
    <row r="548" s="44" customFormat="1" ht="15.75" customHeight="1" x14ac:dyDescent="0.35"/>
    <row r="549" s="44" customFormat="1" ht="15.75" customHeight="1" x14ac:dyDescent="0.35"/>
    <row r="550" s="44" customFormat="1" ht="15.75" customHeight="1" x14ac:dyDescent="0.35"/>
    <row r="551" s="44" customFormat="1" ht="15.75" customHeight="1" x14ac:dyDescent="0.35"/>
    <row r="552" s="44" customFormat="1" ht="15.75" customHeight="1" x14ac:dyDescent="0.35"/>
    <row r="553" s="44" customFormat="1" ht="15.75" customHeight="1" x14ac:dyDescent="0.35"/>
    <row r="554" s="44" customFormat="1" ht="15.75" customHeight="1" x14ac:dyDescent="0.35"/>
    <row r="555" s="44" customFormat="1" ht="15.75" customHeight="1" x14ac:dyDescent="0.35"/>
    <row r="556" s="44" customFormat="1" ht="15.75" customHeight="1" x14ac:dyDescent="0.35"/>
    <row r="557" s="44" customFormat="1" ht="15.75" customHeight="1" x14ac:dyDescent="0.35"/>
    <row r="558" s="44" customFormat="1" ht="15.75" customHeight="1" x14ac:dyDescent="0.35"/>
    <row r="559" s="44" customFormat="1" ht="15.75" customHeight="1" x14ac:dyDescent="0.35"/>
    <row r="560" s="44" customFormat="1" ht="15.75" customHeight="1" x14ac:dyDescent="0.35"/>
    <row r="561" s="44" customFormat="1" ht="15.75" customHeight="1" x14ac:dyDescent="0.35"/>
    <row r="562" s="44" customFormat="1" ht="15.75" customHeight="1" x14ac:dyDescent="0.35"/>
    <row r="563" s="44" customFormat="1" ht="15.75" customHeight="1" x14ac:dyDescent="0.35"/>
    <row r="564" s="44" customFormat="1" ht="15.75" customHeight="1" x14ac:dyDescent="0.35"/>
    <row r="565" s="44" customFormat="1" ht="15.75" customHeight="1" x14ac:dyDescent="0.35"/>
    <row r="566" s="44" customFormat="1" ht="15.75" customHeight="1" x14ac:dyDescent="0.35"/>
    <row r="567" s="44" customFormat="1" ht="15.75" customHeight="1" x14ac:dyDescent="0.35"/>
    <row r="568" s="44" customFormat="1" ht="15.75" customHeight="1" x14ac:dyDescent="0.35"/>
    <row r="569" s="44" customFormat="1" ht="15.75" customHeight="1" x14ac:dyDescent="0.35"/>
    <row r="570" s="44" customFormat="1" ht="15.75" customHeight="1" x14ac:dyDescent="0.35"/>
    <row r="571" s="44" customFormat="1" ht="15.75" customHeight="1" x14ac:dyDescent="0.35"/>
    <row r="572" s="44" customFormat="1" ht="15.75" customHeight="1" x14ac:dyDescent="0.35"/>
    <row r="573" s="44" customFormat="1" ht="15.75" customHeight="1" x14ac:dyDescent="0.35"/>
    <row r="574" s="44" customFormat="1" ht="15.75" customHeight="1" x14ac:dyDescent="0.35"/>
    <row r="575" s="44" customFormat="1" ht="15.75" customHeight="1" x14ac:dyDescent="0.35"/>
    <row r="576" s="44" customFormat="1" ht="15.75" customHeight="1" x14ac:dyDescent="0.35"/>
    <row r="577" s="44" customFormat="1" ht="15.75" customHeight="1" x14ac:dyDescent="0.35"/>
    <row r="578" s="44" customFormat="1" ht="15.75" customHeight="1" x14ac:dyDescent="0.35"/>
    <row r="579" s="44" customFormat="1" ht="15.75" customHeight="1" x14ac:dyDescent="0.35"/>
    <row r="580" s="44" customFormat="1" ht="15.75" customHeight="1" x14ac:dyDescent="0.35"/>
    <row r="581" s="44" customFormat="1" ht="15.75" customHeight="1" x14ac:dyDescent="0.35"/>
    <row r="582" s="44" customFormat="1" ht="15.75" customHeight="1" x14ac:dyDescent="0.35"/>
    <row r="583" s="44" customFormat="1" ht="15.75" customHeight="1" x14ac:dyDescent="0.35"/>
    <row r="584" s="44" customFormat="1" ht="15.75" customHeight="1" x14ac:dyDescent="0.35"/>
    <row r="585" s="44" customFormat="1" ht="15.75" customHeight="1" x14ac:dyDescent="0.35"/>
    <row r="586" s="44" customFormat="1" ht="15.75" customHeight="1" x14ac:dyDescent="0.35"/>
    <row r="587" s="44" customFormat="1" ht="15.75" customHeight="1" x14ac:dyDescent="0.35"/>
    <row r="588" s="44" customFormat="1" ht="15.75" customHeight="1" x14ac:dyDescent="0.35"/>
    <row r="589" s="44" customFormat="1" ht="15.75" customHeight="1" x14ac:dyDescent="0.35"/>
    <row r="590" s="44" customFormat="1" ht="15.75" customHeight="1" x14ac:dyDescent="0.35"/>
    <row r="591" s="44" customFormat="1" ht="15.75" customHeight="1" x14ac:dyDescent="0.35"/>
    <row r="592" s="44" customFormat="1" ht="15.75" customHeight="1" x14ac:dyDescent="0.35"/>
    <row r="593" s="44" customFormat="1" ht="15.75" customHeight="1" x14ac:dyDescent="0.35"/>
    <row r="594" s="44" customFormat="1" ht="15.75" customHeight="1" x14ac:dyDescent="0.35"/>
    <row r="595" s="44" customFormat="1" ht="15.75" customHeight="1" x14ac:dyDescent="0.35"/>
    <row r="596" s="44" customFormat="1" ht="15.75" customHeight="1" x14ac:dyDescent="0.35"/>
    <row r="597" s="44" customFormat="1" ht="15.75" customHeight="1" x14ac:dyDescent="0.35"/>
    <row r="598" s="44" customFormat="1" ht="15.75" customHeight="1" x14ac:dyDescent="0.35"/>
    <row r="599" s="44" customFormat="1" ht="15.75" customHeight="1" x14ac:dyDescent="0.35"/>
    <row r="600" s="44" customFormat="1" ht="15.75" customHeight="1" x14ac:dyDescent="0.35"/>
    <row r="601" s="44" customFormat="1" ht="15.75" customHeight="1" x14ac:dyDescent="0.35"/>
    <row r="602" s="44" customFormat="1" ht="15.75" customHeight="1" x14ac:dyDescent="0.35"/>
    <row r="603" s="44" customFormat="1" ht="15.75" customHeight="1" x14ac:dyDescent="0.35"/>
    <row r="604" s="44" customFormat="1" ht="15.75" customHeight="1" x14ac:dyDescent="0.35"/>
    <row r="605" s="44" customFormat="1" ht="15.75" customHeight="1" x14ac:dyDescent="0.35"/>
    <row r="606" s="44" customFormat="1" ht="15.75" customHeight="1" x14ac:dyDescent="0.35"/>
    <row r="607" s="44" customFormat="1" ht="15.75" customHeight="1" x14ac:dyDescent="0.35"/>
    <row r="608" s="44" customFormat="1" ht="15.75" customHeight="1" x14ac:dyDescent="0.35"/>
    <row r="609" s="44" customFormat="1" ht="15.75" customHeight="1" x14ac:dyDescent="0.35"/>
    <row r="610" s="44" customFormat="1" ht="15.75" customHeight="1" x14ac:dyDescent="0.35"/>
    <row r="611" s="44" customFormat="1" ht="15.75" customHeight="1" x14ac:dyDescent="0.35"/>
    <row r="612" s="44" customFormat="1" ht="15.75" customHeight="1" x14ac:dyDescent="0.35"/>
    <row r="613" s="44" customFormat="1" ht="15.75" customHeight="1" x14ac:dyDescent="0.35"/>
    <row r="614" s="44" customFormat="1" ht="15.75" customHeight="1" x14ac:dyDescent="0.35"/>
    <row r="615" s="44" customFormat="1" ht="15.75" customHeight="1" x14ac:dyDescent="0.35"/>
    <row r="616" s="44" customFormat="1" ht="15.75" customHeight="1" x14ac:dyDescent="0.35"/>
    <row r="617" s="44" customFormat="1" ht="15.75" customHeight="1" x14ac:dyDescent="0.35"/>
    <row r="618" s="44" customFormat="1" ht="15.75" customHeight="1" x14ac:dyDescent="0.35"/>
    <row r="619" s="44" customFormat="1" ht="15.75" customHeight="1" x14ac:dyDescent="0.35"/>
    <row r="620" s="44" customFormat="1" ht="15.75" customHeight="1" x14ac:dyDescent="0.35"/>
    <row r="621" s="44" customFormat="1" ht="15.75" customHeight="1" x14ac:dyDescent="0.35"/>
    <row r="622" s="44" customFormat="1" ht="15.75" customHeight="1" x14ac:dyDescent="0.35"/>
    <row r="623" s="44" customFormat="1" ht="15.75" customHeight="1" x14ac:dyDescent="0.35"/>
    <row r="624" s="44" customFormat="1" ht="15.75" customHeight="1" x14ac:dyDescent="0.35"/>
    <row r="625" s="44" customFormat="1" ht="15.75" customHeight="1" x14ac:dyDescent="0.35"/>
    <row r="626" s="44" customFormat="1" ht="15.75" customHeight="1" x14ac:dyDescent="0.35"/>
    <row r="627" s="44" customFormat="1" ht="15.75" customHeight="1" x14ac:dyDescent="0.35"/>
    <row r="628" s="44" customFormat="1" ht="15.75" customHeight="1" x14ac:dyDescent="0.35"/>
    <row r="629" s="44" customFormat="1" ht="15.75" customHeight="1" x14ac:dyDescent="0.35"/>
    <row r="630" s="44" customFormat="1" ht="15.75" customHeight="1" x14ac:dyDescent="0.35"/>
    <row r="631" s="44" customFormat="1" ht="15.75" customHeight="1" x14ac:dyDescent="0.35"/>
    <row r="632" s="44" customFormat="1" ht="15.75" customHeight="1" x14ac:dyDescent="0.35"/>
    <row r="633" s="44" customFormat="1" ht="15.75" customHeight="1" x14ac:dyDescent="0.35"/>
    <row r="634" s="44" customFormat="1" ht="15.75" customHeight="1" x14ac:dyDescent="0.35"/>
    <row r="635" s="44" customFormat="1" ht="15.75" customHeight="1" x14ac:dyDescent="0.35"/>
    <row r="636" s="44" customFormat="1" ht="15.75" customHeight="1" x14ac:dyDescent="0.35"/>
    <row r="637" s="44" customFormat="1" ht="15.75" customHeight="1" x14ac:dyDescent="0.35"/>
    <row r="638" s="44" customFormat="1" ht="15.75" customHeight="1" x14ac:dyDescent="0.35"/>
    <row r="639" s="44" customFormat="1" ht="15.75" customHeight="1" x14ac:dyDescent="0.35"/>
    <row r="640" s="44" customFormat="1" ht="15.75" customHeight="1" x14ac:dyDescent="0.35"/>
    <row r="641" s="44" customFormat="1" ht="15.75" customHeight="1" x14ac:dyDescent="0.35"/>
    <row r="642" s="44" customFormat="1" ht="15.75" customHeight="1" x14ac:dyDescent="0.35"/>
    <row r="643" s="44" customFormat="1" ht="15.75" customHeight="1" x14ac:dyDescent="0.35"/>
    <row r="644" s="44" customFormat="1" ht="15.75" customHeight="1" x14ac:dyDescent="0.35"/>
    <row r="645" s="44" customFormat="1" ht="15.75" customHeight="1" x14ac:dyDescent="0.35"/>
    <row r="646" s="44" customFormat="1" ht="15.75" customHeight="1" x14ac:dyDescent="0.35"/>
    <row r="647" s="44" customFormat="1" ht="15.75" customHeight="1" x14ac:dyDescent="0.35"/>
    <row r="648" s="44" customFormat="1" ht="15.75" customHeight="1" x14ac:dyDescent="0.35"/>
    <row r="649" s="44" customFormat="1" ht="15.75" customHeight="1" x14ac:dyDescent="0.35"/>
    <row r="650" s="44" customFormat="1" ht="15.75" customHeight="1" x14ac:dyDescent="0.35"/>
    <row r="651" s="44" customFormat="1" ht="15.75" customHeight="1" x14ac:dyDescent="0.35"/>
    <row r="652" s="44" customFormat="1" ht="15.75" customHeight="1" x14ac:dyDescent="0.35"/>
    <row r="653" s="44" customFormat="1" ht="15.75" customHeight="1" x14ac:dyDescent="0.35"/>
    <row r="654" s="44" customFormat="1" ht="15.75" customHeight="1" x14ac:dyDescent="0.35"/>
    <row r="655" s="44" customFormat="1" ht="15.75" customHeight="1" x14ac:dyDescent="0.35"/>
    <row r="656" s="44" customFormat="1" ht="15.75" customHeight="1" x14ac:dyDescent="0.35"/>
    <row r="657" s="44" customFormat="1" ht="15.75" customHeight="1" x14ac:dyDescent="0.35"/>
    <row r="658" s="44" customFormat="1" ht="15.75" customHeight="1" x14ac:dyDescent="0.35"/>
    <row r="659" s="44" customFormat="1" ht="15.75" customHeight="1" x14ac:dyDescent="0.35"/>
    <row r="660" s="44" customFormat="1" ht="15.75" customHeight="1" x14ac:dyDescent="0.35"/>
    <row r="661" s="44" customFormat="1" ht="15.75" customHeight="1" x14ac:dyDescent="0.35"/>
    <row r="662" s="44" customFormat="1" ht="15.75" customHeight="1" x14ac:dyDescent="0.35"/>
    <row r="663" s="44" customFormat="1" ht="15.75" customHeight="1" x14ac:dyDescent="0.35"/>
    <row r="664" s="44" customFormat="1" ht="15.75" customHeight="1" x14ac:dyDescent="0.35"/>
    <row r="665" s="44" customFormat="1" ht="15.75" customHeight="1" x14ac:dyDescent="0.35"/>
    <row r="666" s="44" customFormat="1" ht="15.75" customHeight="1" x14ac:dyDescent="0.35"/>
    <row r="667" s="44" customFormat="1" ht="15.75" customHeight="1" x14ac:dyDescent="0.35"/>
    <row r="668" s="44" customFormat="1" ht="15.75" customHeight="1" x14ac:dyDescent="0.35"/>
    <row r="669" s="44" customFormat="1" ht="15.75" customHeight="1" x14ac:dyDescent="0.35"/>
    <row r="670" s="44" customFormat="1" ht="15.75" customHeight="1" x14ac:dyDescent="0.35"/>
    <row r="671" s="44" customFormat="1" ht="15.75" customHeight="1" x14ac:dyDescent="0.35"/>
    <row r="672" s="44" customFormat="1" ht="15.75" customHeight="1" x14ac:dyDescent="0.35"/>
    <row r="673" s="44" customFormat="1" ht="15.75" customHeight="1" x14ac:dyDescent="0.35"/>
    <row r="674" s="44" customFormat="1" ht="15.75" customHeight="1" x14ac:dyDescent="0.35"/>
    <row r="675" s="44" customFormat="1" ht="15.75" customHeight="1" x14ac:dyDescent="0.35"/>
    <row r="676" s="44" customFormat="1" ht="15.75" customHeight="1" x14ac:dyDescent="0.35"/>
    <row r="677" s="44" customFormat="1" ht="15.75" customHeight="1" x14ac:dyDescent="0.35"/>
    <row r="678" s="44" customFormat="1" ht="15.75" customHeight="1" x14ac:dyDescent="0.35"/>
    <row r="679" s="44" customFormat="1" ht="15.75" customHeight="1" x14ac:dyDescent="0.35"/>
    <row r="680" s="44" customFormat="1" ht="15.75" customHeight="1" x14ac:dyDescent="0.35"/>
    <row r="681" s="44" customFormat="1" ht="15.75" customHeight="1" x14ac:dyDescent="0.35"/>
    <row r="682" s="44" customFormat="1" ht="15.75" customHeight="1" x14ac:dyDescent="0.35"/>
    <row r="683" s="44" customFormat="1" ht="15.75" customHeight="1" x14ac:dyDescent="0.35"/>
    <row r="684" s="44" customFormat="1" ht="15.75" customHeight="1" x14ac:dyDescent="0.35"/>
    <row r="685" s="44" customFormat="1" ht="15.75" customHeight="1" x14ac:dyDescent="0.35"/>
    <row r="686" s="44" customFormat="1" ht="15.75" customHeight="1" x14ac:dyDescent="0.35"/>
    <row r="687" s="44" customFormat="1" ht="15.75" customHeight="1" x14ac:dyDescent="0.35"/>
    <row r="688" s="44" customFormat="1" ht="15.75" customHeight="1" x14ac:dyDescent="0.35"/>
    <row r="689" s="44" customFormat="1" ht="15.75" customHeight="1" x14ac:dyDescent="0.35"/>
    <row r="690" s="44" customFormat="1" ht="15.75" customHeight="1" x14ac:dyDescent="0.35"/>
    <row r="691" s="44" customFormat="1" ht="15.75" customHeight="1" x14ac:dyDescent="0.35"/>
    <row r="692" s="44" customFormat="1" ht="15.75" customHeight="1" x14ac:dyDescent="0.35"/>
    <row r="693" s="44" customFormat="1" ht="15.75" customHeight="1" x14ac:dyDescent="0.35"/>
    <row r="694" s="44" customFormat="1" ht="15.75" customHeight="1" x14ac:dyDescent="0.35"/>
    <row r="695" s="44" customFormat="1" ht="15.75" customHeight="1" x14ac:dyDescent="0.35"/>
    <row r="696" s="44" customFormat="1" ht="15.75" customHeight="1" x14ac:dyDescent="0.35"/>
    <row r="697" s="44" customFormat="1" ht="15.75" customHeight="1" x14ac:dyDescent="0.35"/>
    <row r="698" s="44" customFormat="1" ht="15.75" customHeight="1" x14ac:dyDescent="0.35"/>
    <row r="699" s="44" customFormat="1" ht="15.75" customHeight="1" x14ac:dyDescent="0.35"/>
    <row r="700" s="44" customFormat="1" ht="15.75" customHeight="1" x14ac:dyDescent="0.35"/>
    <row r="701" s="44" customFormat="1" ht="15.75" customHeight="1" x14ac:dyDescent="0.35"/>
    <row r="702" s="44" customFormat="1" ht="15.75" customHeight="1" x14ac:dyDescent="0.35"/>
    <row r="703" s="44" customFormat="1" ht="15.75" customHeight="1" x14ac:dyDescent="0.35"/>
    <row r="704" s="44" customFormat="1" ht="15.75" customHeight="1" x14ac:dyDescent="0.35"/>
    <row r="705" s="44" customFormat="1" ht="15.75" customHeight="1" x14ac:dyDescent="0.35"/>
    <row r="706" s="44" customFormat="1" ht="15.75" customHeight="1" x14ac:dyDescent="0.35"/>
    <row r="707" s="44" customFormat="1" ht="15.75" customHeight="1" x14ac:dyDescent="0.35"/>
    <row r="708" s="44" customFormat="1" ht="15.75" customHeight="1" x14ac:dyDescent="0.35"/>
    <row r="709" s="44" customFormat="1" ht="15.75" customHeight="1" x14ac:dyDescent="0.35"/>
    <row r="710" s="44" customFormat="1" ht="15.75" customHeight="1" x14ac:dyDescent="0.35"/>
    <row r="711" s="44" customFormat="1" ht="15.75" customHeight="1" x14ac:dyDescent="0.35"/>
    <row r="712" s="44" customFormat="1" ht="15.75" customHeight="1" x14ac:dyDescent="0.35"/>
    <row r="713" s="44" customFormat="1" ht="15.75" customHeight="1" x14ac:dyDescent="0.35"/>
    <row r="714" s="44" customFormat="1" ht="15.75" customHeight="1" x14ac:dyDescent="0.35"/>
    <row r="715" s="44" customFormat="1" ht="15.75" customHeight="1" x14ac:dyDescent="0.35"/>
    <row r="716" s="44" customFormat="1" ht="15.75" customHeight="1" x14ac:dyDescent="0.35"/>
    <row r="717" s="44" customFormat="1" ht="15.75" customHeight="1" x14ac:dyDescent="0.35"/>
    <row r="718" s="44" customFormat="1" ht="15.75" customHeight="1" x14ac:dyDescent="0.35"/>
    <row r="719" s="44" customFormat="1" ht="15.75" customHeight="1" x14ac:dyDescent="0.35"/>
    <row r="720" s="44" customFormat="1" ht="15.75" customHeight="1" x14ac:dyDescent="0.35"/>
    <row r="721" s="44" customFormat="1" ht="15.75" customHeight="1" x14ac:dyDescent="0.35"/>
    <row r="722" s="44" customFormat="1" ht="15.75" customHeight="1" x14ac:dyDescent="0.35"/>
    <row r="723" s="44" customFormat="1" ht="15.75" customHeight="1" x14ac:dyDescent="0.35"/>
    <row r="724" s="44" customFormat="1" ht="15.75" customHeight="1" x14ac:dyDescent="0.35"/>
    <row r="725" s="44" customFormat="1" ht="15.75" customHeight="1" x14ac:dyDescent="0.35"/>
    <row r="726" s="44" customFormat="1" ht="15.75" customHeight="1" x14ac:dyDescent="0.35"/>
    <row r="727" s="44" customFormat="1" ht="15.75" customHeight="1" x14ac:dyDescent="0.35"/>
    <row r="728" s="44" customFormat="1" ht="15.75" customHeight="1" x14ac:dyDescent="0.35"/>
    <row r="729" s="44" customFormat="1" ht="15.75" customHeight="1" x14ac:dyDescent="0.35"/>
    <row r="730" s="44" customFormat="1" ht="15.75" customHeight="1" x14ac:dyDescent="0.35"/>
    <row r="731" s="44" customFormat="1" ht="15.75" customHeight="1" x14ac:dyDescent="0.35"/>
    <row r="732" s="44" customFormat="1" ht="15.75" customHeight="1" x14ac:dyDescent="0.35"/>
    <row r="733" s="44" customFormat="1" ht="15.75" customHeight="1" x14ac:dyDescent="0.35"/>
    <row r="734" s="44" customFormat="1" ht="15.75" customHeight="1" x14ac:dyDescent="0.35"/>
    <row r="735" s="44" customFormat="1" ht="15.75" customHeight="1" x14ac:dyDescent="0.35"/>
    <row r="736" s="44" customFormat="1" ht="15.75" customHeight="1" x14ac:dyDescent="0.35"/>
    <row r="737" s="44" customFormat="1" ht="15.75" customHeight="1" x14ac:dyDescent="0.35"/>
    <row r="738" s="44" customFormat="1" ht="15.75" customHeight="1" x14ac:dyDescent="0.35"/>
    <row r="739" s="44" customFormat="1" ht="15.75" customHeight="1" x14ac:dyDescent="0.35"/>
    <row r="740" s="44" customFormat="1" ht="15.75" customHeight="1" x14ac:dyDescent="0.35"/>
    <row r="741" s="44" customFormat="1" ht="15.75" customHeight="1" x14ac:dyDescent="0.35"/>
    <row r="742" s="44" customFormat="1" ht="15.75" customHeight="1" x14ac:dyDescent="0.35"/>
    <row r="743" s="44" customFormat="1" ht="15.75" customHeight="1" x14ac:dyDescent="0.35"/>
    <row r="744" s="44" customFormat="1" ht="15.75" customHeight="1" x14ac:dyDescent="0.35"/>
    <row r="745" s="44" customFormat="1" ht="15.75" customHeight="1" x14ac:dyDescent="0.35"/>
    <row r="746" s="44" customFormat="1" ht="15.75" customHeight="1" x14ac:dyDescent="0.35"/>
    <row r="747" s="44" customFormat="1" ht="15.75" customHeight="1" x14ac:dyDescent="0.35"/>
    <row r="748" s="44" customFormat="1" ht="15.75" customHeight="1" x14ac:dyDescent="0.35"/>
    <row r="749" s="44" customFormat="1" ht="15.75" customHeight="1" x14ac:dyDescent="0.35"/>
    <row r="750" s="44" customFormat="1" ht="15.75" customHeight="1" x14ac:dyDescent="0.35"/>
    <row r="751" s="44" customFormat="1" ht="15.75" customHeight="1" x14ac:dyDescent="0.35"/>
    <row r="752" s="44" customFormat="1" ht="15.75" customHeight="1" x14ac:dyDescent="0.35"/>
    <row r="753" s="44" customFormat="1" ht="15.75" customHeight="1" x14ac:dyDescent="0.35"/>
    <row r="754" s="44" customFormat="1" ht="15.75" customHeight="1" x14ac:dyDescent="0.35"/>
    <row r="755" s="44" customFormat="1" ht="15.75" customHeight="1" x14ac:dyDescent="0.35"/>
    <row r="756" s="44" customFormat="1" ht="15.75" customHeight="1" x14ac:dyDescent="0.35"/>
    <row r="757" s="44" customFormat="1" ht="15.75" customHeight="1" x14ac:dyDescent="0.35"/>
    <row r="758" s="44" customFormat="1" ht="15.75" customHeight="1" x14ac:dyDescent="0.35"/>
    <row r="759" s="44" customFormat="1" ht="15.75" customHeight="1" x14ac:dyDescent="0.35"/>
    <row r="760" s="44" customFormat="1" ht="15.75" customHeight="1" x14ac:dyDescent="0.35"/>
    <row r="761" s="44" customFormat="1" ht="15.75" customHeight="1" x14ac:dyDescent="0.35"/>
    <row r="762" s="44" customFormat="1" ht="15.75" customHeight="1" x14ac:dyDescent="0.35"/>
    <row r="763" s="44" customFormat="1" ht="15.75" customHeight="1" x14ac:dyDescent="0.35"/>
    <row r="764" s="44" customFormat="1" ht="15.75" customHeight="1" x14ac:dyDescent="0.35"/>
    <row r="765" s="44" customFormat="1" ht="15.75" customHeight="1" x14ac:dyDescent="0.35"/>
    <row r="766" s="44" customFormat="1" ht="15.75" customHeight="1" x14ac:dyDescent="0.35"/>
    <row r="767" s="44" customFormat="1" ht="15.75" customHeight="1" x14ac:dyDescent="0.35"/>
    <row r="768" s="44" customFormat="1" ht="15.75" customHeight="1" x14ac:dyDescent="0.35"/>
    <row r="769" s="44" customFormat="1" ht="15.75" customHeight="1" x14ac:dyDescent="0.35"/>
    <row r="770" s="44" customFormat="1" ht="15.75" customHeight="1" x14ac:dyDescent="0.35"/>
    <row r="771" s="44" customFormat="1" ht="15.75" customHeight="1" x14ac:dyDescent="0.35"/>
    <row r="772" s="44" customFormat="1" ht="15.75" customHeight="1" x14ac:dyDescent="0.35"/>
    <row r="773" s="44" customFormat="1" ht="15.75" customHeight="1" x14ac:dyDescent="0.35"/>
    <row r="774" s="44" customFormat="1" ht="15.75" customHeight="1" x14ac:dyDescent="0.35"/>
    <row r="775" s="44" customFormat="1" ht="15.75" customHeight="1" x14ac:dyDescent="0.35"/>
    <row r="776" s="44" customFormat="1" ht="15.75" customHeight="1" x14ac:dyDescent="0.35"/>
    <row r="777" s="44" customFormat="1" ht="15.75" customHeight="1" x14ac:dyDescent="0.35"/>
    <row r="778" s="44" customFormat="1" ht="15.75" customHeight="1" x14ac:dyDescent="0.35"/>
    <row r="779" s="44" customFormat="1" ht="15.75" customHeight="1" x14ac:dyDescent="0.35"/>
    <row r="780" s="44" customFormat="1" ht="15.75" customHeight="1" x14ac:dyDescent="0.35"/>
    <row r="781" s="44" customFormat="1" ht="15.75" customHeight="1" x14ac:dyDescent="0.35"/>
    <row r="782" s="44" customFormat="1" ht="15.75" customHeight="1" x14ac:dyDescent="0.35"/>
    <row r="783" s="44" customFormat="1" ht="15.75" customHeight="1" x14ac:dyDescent="0.35"/>
    <row r="784" s="44" customFormat="1" ht="15.75" customHeight="1" x14ac:dyDescent="0.35"/>
    <row r="785" s="44" customFormat="1" ht="15.75" customHeight="1" x14ac:dyDescent="0.35"/>
    <row r="786" s="44" customFormat="1" ht="15.75" customHeight="1" x14ac:dyDescent="0.35"/>
    <row r="787" s="44" customFormat="1" ht="15.75" customHeight="1" x14ac:dyDescent="0.35"/>
    <row r="788" s="44" customFormat="1" ht="15.75" customHeight="1" x14ac:dyDescent="0.35"/>
    <row r="789" s="44" customFormat="1" ht="15.75" customHeight="1" x14ac:dyDescent="0.35"/>
    <row r="790" s="44" customFormat="1" ht="15.75" customHeight="1" x14ac:dyDescent="0.35"/>
    <row r="791" s="44" customFormat="1" ht="15.75" customHeight="1" x14ac:dyDescent="0.35"/>
    <row r="792" s="44" customFormat="1" ht="15.75" customHeight="1" x14ac:dyDescent="0.35"/>
    <row r="793" s="44" customFormat="1" ht="15.75" customHeight="1" x14ac:dyDescent="0.35"/>
    <row r="794" s="44" customFormat="1" ht="15.75" customHeight="1" x14ac:dyDescent="0.35"/>
    <row r="795" s="44" customFormat="1" ht="15.75" customHeight="1" x14ac:dyDescent="0.35"/>
    <row r="796" s="44" customFormat="1" ht="15.75" customHeight="1" x14ac:dyDescent="0.35"/>
    <row r="797" s="44" customFormat="1" ht="15.75" customHeight="1" x14ac:dyDescent="0.35"/>
    <row r="798" s="44" customFormat="1" ht="15.75" customHeight="1" x14ac:dyDescent="0.35"/>
    <row r="799" s="44" customFormat="1" ht="15.75" customHeight="1" x14ac:dyDescent="0.35"/>
    <row r="800" s="44" customFormat="1" ht="15.75" customHeight="1" x14ac:dyDescent="0.35"/>
    <row r="801" s="44" customFormat="1" ht="15.75" customHeight="1" x14ac:dyDescent="0.35"/>
    <row r="802" s="44" customFormat="1" ht="15.75" customHeight="1" x14ac:dyDescent="0.35"/>
    <row r="803" s="44" customFormat="1" ht="15.75" customHeight="1" x14ac:dyDescent="0.35"/>
    <row r="804" s="44" customFormat="1" ht="15.75" customHeight="1" x14ac:dyDescent="0.35"/>
    <row r="805" s="44" customFormat="1" ht="15.75" customHeight="1" x14ac:dyDescent="0.35"/>
    <row r="806" s="44" customFormat="1" ht="15.75" customHeight="1" x14ac:dyDescent="0.35"/>
    <row r="807" s="44" customFormat="1" ht="15.75" customHeight="1" x14ac:dyDescent="0.35"/>
    <row r="808" s="44" customFormat="1" ht="15.75" customHeight="1" x14ac:dyDescent="0.35"/>
    <row r="809" s="44" customFormat="1" ht="15.75" customHeight="1" x14ac:dyDescent="0.35"/>
    <row r="810" s="44" customFormat="1" ht="15.75" customHeight="1" x14ac:dyDescent="0.35"/>
    <row r="811" s="44" customFormat="1" ht="15.75" customHeight="1" x14ac:dyDescent="0.35"/>
    <row r="812" s="44" customFormat="1" ht="15.75" customHeight="1" x14ac:dyDescent="0.35"/>
    <row r="813" s="44" customFormat="1" ht="15.75" customHeight="1" x14ac:dyDescent="0.35"/>
    <row r="814" s="44" customFormat="1" ht="15.75" customHeight="1" x14ac:dyDescent="0.35"/>
    <row r="815" s="44" customFormat="1" ht="15.75" customHeight="1" x14ac:dyDescent="0.35"/>
    <row r="816" s="44" customFormat="1" ht="15.75" customHeight="1" x14ac:dyDescent="0.35"/>
    <row r="817" s="44" customFormat="1" ht="15.75" customHeight="1" x14ac:dyDescent="0.35"/>
    <row r="818" s="44" customFormat="1" ht="15.75" customHeight="1" x14ac:dyDescent="0.35"/>
    <row r="819" s="44" customFormat="1" ht="15.75" customHeight="1" x14ac:dyDescent="0.35"/>
    <row r="820" s="44" customFormat="1" ht="15.75" customHeight="1" x14ac:dyDescent="0.35"/>
    <row r="821" s="44" customFormat="1" ht="15.75" customHeight="1" x14ac:dyDescent="0.35"/>
    <row r="822" s="44" customFormat="1" ht="15.75" customHeight="1" x14ac:dyDescent="0.35"/>
    <row r="823" s="44" customFormat="1" ht="15.75" customHeight="1" x14ac:dyDescent="0.35"/>
    <row r="824" s="44" customFormat="1" ht="15.75" customHeight="1" x14ac:dyDescent="0.35"/>
    <row r="825" s="44" customFormat="1" ht="15.75" customHeight="1" x14ac:dyDescent="0.35"/>
    <row r="826" s="44" customFormat="1" ht="15.75" customHeight="1" x14ac:dyDescent="0.35"/>
    <row r="827" s="44" customFormat="1" ht="15.75" customHeight="1" x14ac:dyDescent="0.35"/>
    <row r="828" s="44" customFormat="1" ht="15.75" customHeight="1" x14ac:dyDescent="0.35"/>
    <row r="829" s="44" customFormat="1" ht="15.75" customHeight="1" x14ac:dyDescent="0.35"/>
    <row r="830" s="44" customFormat="1" ht="15.75" customHeight="1" x14ac:dyDescent="0.35"/>
    <row r="831" s="44" customFormat="1" ht="15.75" customHeight="1" x14ac:dyDescent="0.35"/>
    <row r="832" s="44" customFormat="1" ht="15.75" customHeight="1" x14ac:dyDescent="0.35"/>
    <row r="833" s="44" customFormat="1" ht="15.75" customHeight="1" x14ac:dyDescent="0.35"/>
    <row r="834" s="44" customFormat="1" ht="15.75" customHeight="1" x14ac:dyDescent="0.35"/>
    <row r="835" s="44" customFormat="1" ht="15.75" customHeight="1" x14ac:dyDescent="0.35"/>
    <row r="836" s="44" customFormat="1" ht="15.75" customHeight="1" x14ac:dyDescent="0.35"/>
    <row r="837" s="44" customFormat="1" ht="15.75" customHeight="1" x14ac:dyDescent="0.35"/>
    <row r="838" s="44" customFormat="1" ht="15.75" customHeight="1" x14ac:dyDescent="0.35"/>
    <row r="839" s="44" customFormat="1" ht="15.75" customHeight="1" x14ac:dyDescent="0.35"/>
    <row r="840" s="44" customFormat="1" ht="15.75" customHeight="1" x14ac:dyDescent="0.35"/>
    <row r="841" s="44" customFormat="1" ht="15.75" customHeight="1" x14ac:dyDescent="0.35"/>
    <row r="842" s="44" customFormat="1" ht="15.75" customHeight="1" x14ac:dyDescent="0.35"/>
    <row r="843" s="44" customFormat="1" ht="15.75" customHeight="1" x14ac:dyDescent="0.35"/>
    <row r="844" s="44" customFormat="1" ht="15.75" customHeight="1" x14ac:dyDescent="0.35"/>
    <row r="845" s="44" customFormat="1" ht="15.75" customHeight="1" x14ac:dyDescent="0.35"/>
    <row r="846" s="44" customFormat="1" ht="15.75" customHeight="1" x14ac:dyDescent="0.35"/>
    <row r="847" s="44" customFormat="1" ht="15.75" customHeight="1" x14ac:dyDescent="0.35"/>
    <row r="848" s="44" customFormat="1" ht="15.75" customHeight="1" x14ac:dyDescent="0.35"/>
    <row r="849" s="44" customFormat="1" ht="15.75" customHeight="1" x14ac:dyDescent="0.35"/>
    <row r="850" s="44" customFormat="1" ht="15.75" customHeight="1" x14ac:dyDescent="0.35"/>
    <row r="851" s="44" customFormat="1" ht="15.75" customHeight="1" x14ac:dyDescent="0.35"/>
    <row r="852" s="44" customFormat="1" ht="15.75" customHeight="1" x14ac:dyDescent="0.35"/>
    <row r="853" s="44" customFormat="1" ht="15.75" customHeight="1" x14ac:dyDescent="0.35"/>
    <row r="854" s="44" customFormat="1" ht="15.75" customHeight="1" x14ac:dyDescent="0.35"/>
    <row r="855" s="44" customFormat="1" ht="15.75" customHeight="1" x14ac:dyDescent="0.35"/>
    <row r="856" s="44" customFormat="1" ht="15.75" customHeight="1" x14ac:dyDescent="0.35"/>
    <row r="857" s="44" customFormat="1" ht="15.75" customHeight="1" x14ac:dyDescent="0.35"/>
    <row r="858" s="44" customFormat="1" ht="15.75" customHeight="1" x14ac:dyDescent="0.35"/>
    <row r="859" s="44" customFormat="1" ht="15.75" customHeight="1" x14ac:dyDescent="0.35"/>
    <row r="860" s="44" customFormat="1" ht="15.75" customHeight="1" x14ac:dyDescent="0.35"/>
    <row r="861" s="44" customFormat="1" ht="15.75" customHeight="1" x14ac:dyDescent="0.35"/>
    <row r="862" s="44" customFormat="1" ht="15.75" customHeight="1" x14ac:dyDescent="0.35"/>
    <row r="863" s="44" customFormat="1" ht="15.75" customHeight="1" x14ac:dyDescent="0.35"/>
    <row r="864" s="44" customFormat="1" ht="15.75" customHeight="1" x14ac:dyDescent="0.35"/>
    <row r="865" s="44" customFormat="1" ht="15.75" customHeight="1" x14ac:dyDescent="0.35"/>
    <row r="866" s="44" customFormat="1" ht="15.75" customHeight="1" x14ac:dyDescent="0.35"/>
    <row r="867" s="44" customFormat="1" ht="15.75" customHeight="1" x14ac:dyDescent="0.35"/>
    <row r="868" s="44" customFormat="1" ht="15.75" customHeight="1" x14ac:dyDescent="0.35"/>
    <row r="869" s="44" customFormat="1" ht="15.75" customHeight="1" x14ac:dyDescent="0.35"/>
    <row r="870" s="44" customFormat="1" ht="15.75" customHeight="1" x14ac:dyDescent="0.35"/>
    <row r="871" s="44" customFormat="1" ht="15.75" customHeight="1" x14ac:dyDescent="0.35"/>
    <row r="872" s="44" customFormat="1" ht="15.75" customHeight="1" x14ac:dyDescent="0.35"/>
    <row r="873" s="44" customFormat="1" ht="15.75" customHeight="1" x14ac:dyDescent="0.35"/>
    <row r="874" s="44" customFormat="1" ht="15.75" customHeight="1" x14ac:dyDescent="0.35"/>
    <row r="875" s="44" customFormat="1" ht="15.75" customHeight="1" x14ac:dyDescent="0.35"/>
    <row r="876" s="44" customFormat="1" ht="15.75" customHeight="1" x14ac:dyDescent="0.35"/>
    <row r="877" s="44" customFormat="1" ht="15.75" customHeight="1" x14ac:dyDescent="0.35"/>
    <row r="878" s="44" customFormat="1" ht="15.75" customHeight="1" x14ac:dyDescent="0.35"/>
    <row r="879" s="44" customFormat="1" ht="15.75" customHeight="1" x14ac:dyDescent="0.35"/>
    <row r="880" s="44" customFormat="1" ht="15.75" customHeight="1" x14ac:dyDescent="0.35"/>
    <row r="881" s="44" customFormat="1" ht="15.75" customHeight="1" x14ac:dyDescent="0.35"/>
    <row r="882" s="44" customFormat="1" ht="15.75" customHeight="1" x14ac:dyDescent="0.35"/>
    <row r="883" s="44" customFormat="1" ht="15.75" customHeight="1" x14ac:dyDescent="0.35"/>
    <row r="884" s="44" customFormat="1" ht="15.75" customHeight="1" x14ac:dyDescent="0.35"/>
    <row r="885" s="44" customFormat="1" ht="15.75" customHeight="1" x14ac:dyDescent="0.35"/>
    <row r="886" s="44" customFormat="1" ht="15.75" customHeight="1" x14ac:dyDescent="0.35"/>
    <row r="887" s="44" customFormat="1" ht="15.75" customHeight="1" x14ac:dyDescent="0.35"/>
    <row r="888" s="44" customFormat="1" ht="15.75" customHeight="1" x14ac:dyDescent="0.35"/>
    <row r="889" s="44" customFormat="1" ht="15.75" customHeight="1" x14ac:dyDescent="0.35"/>
    <row r="890" s="44" customFormat="1" ht="15.75" customHeight="1" x14ac:dyDescent="0.35"/>
    <row r="891" s="44" customFormat="1" ht="15.75" customHeight="1" x14ac:dyDescent="0.35"/>
    <row r="892" s="44" customFormat="1" ht="15.75" customHeight="1" x14ac:dyDescent="0.35"/>
    <row r="893" s="44" customFormat="1" ht="15.75" customHeight="1" x14ac:dyDescent="0.35"/>
    <row r="894" s="44" customFormat="1" ht="15.75" customHeight="1" x14ac:dyDescent="0.35"/>
    <row r="895" s="44" customFormat="1" ht="15.75" customHeight="1" x14ac:dyDescent="0.35"/>
    <row r="896" s="44" customFormat="1" ht="15.75" customHeight="1" x14ac:dyDescent="0.35"/>
    <row r="897" s="44" customFormat="1" ht="15.75" customHeight="1" x14ac:dyDescent="0.35"/>
    <row r="898" s="44" customFormat="1" ht="15.75" customHeight="1" x14ac:dyDescent="0.35"/>
    <row r="899" s="44" customFormat="1" ht="15.75" customHeight="1" x14ac:dyDescent="0.35"/>
    <row r="900" s="44" customFormat="1" ht="15.75" customHeight="1" x14ac:dyDescent="0.35"/>
    <row r="901" s="44" customFormat="1" ht="15.75" customHeight="1" x14ac:dyDescent="0.35"/>
    <row r="902" s="44" customFormat="1" ht="15.75" customHeight="1" x14ac:dyDescent="0.35"/>
    <row r="903" s="44" customFormat="1" ht="15.75" customHeight="1" x14ac:dyDescent="0.35"/>
    <row r="904" s="44" customFormat="1" ht="15.75" customHeight="1" x14ac:dyDescent="0.35"/>
    <row r="905" s="44" customFormat="1" ht="15.75" customHeight="1" x14ac:dyDescent="0.35"/>
    <row r="906" s="44" customFormat="1" ht="15.75" customHeight="1" x14ac:dyDescent="0.35"/>
    <row r="907" s="44" customFormat="1" ht="15.75" customHeight="1" x14ac:dyDescent="0.35"/>
    <row r="908" s="44" customFormat="1" ht="15.75" customHeight="1" x14ac:dyDescent="0.35"/>
    <row r="909" s="44" customFormat="1" ht="15.75" customHeight="1" x14ac:dyDescent="0.35"/>
    <row r="910" s="44" customFormat="1" ht="15.75" customHeight="1" x14ac:dyDescent="0.35"/>
    <row r="911" s="44" customFormat="1" ht="15.75" customHeight="1" x14ac:dyDescent="0.35"/>
    <row r="912" s="44" customFormat="1" ht="15.75" customHeight="1" x14ac:dyDescent="0.35"/>
    <row r="913" s="44" customFormat="1" ht="15.75" customHeight="1" x14ac:dyDescent="0.35"/>
    <row r="914" s="44" customFormat="1" ht="15.75" customHeight="1" x14ac:dyDescent="0.35"/>
    <row r="915" s="44" customFormat="1" ht="15.75" customHeight="1" x14ac:dyDescent="0.35"/>
    <row r="916" s="44" customFormat="1" ht="15.75" customHeight="1" x14ac:dyDescent="0.35"/>
    <row r="917" s="44" customFormat="1" ht="15.75" customHeight="1" x14ac:dyDescent="0.35"/>
    <row r="918" s="44" customFormat="1" ht="15.75" customHeight="1" x14ac:dyDescent="0.35"/>
    <row r="919" s="44" customFormat="1" ht="15.75" customHeight="1" x14ac:dyDescent="0.35"/>
    <row r="920" s="44" customFormat="1" ht="15.75" customHeight="1" x14ac:dyDescent="0.35"/>
    <row r="921" s="44" customFormat="1" ht="15.75" customHeight="1" x14ac:dyDescent="0.35"/>
    <row r="922" s="44" customFormat="1" ht="15.75" customHeight="1" x14ac:dyDescent="0.35"/>
    <row r="923" s="44" customFormat="1" ht="15.75" customHeight="1" x14ac:dyDescent="0.35"/>
    <row r="924" s="44" customFormat="1" ht="15.75" customHeight="1" x14ac:dyDescent="0.35"/>
    <row r="925" s="44" customFormat="1" ht="15.75" customHeight="1" x14ac:dyDescent="0.35"/>
    <row r="926" s="44" customFormat="1" ht="15.75" customHeight="1" x14ac:dyDescent="0.35"/>
    <row r="927" s="44" customFormat="1" ht="15.75" customHeight="1" x14ac:dyDescent="0.35"/>
    <row r="928" s="44" customFormat="1" ht="15.75" customHeight="1" x14ac:dyDescent="0.35"/>
    <row r="929" s="44" customFormat="1" ht="15.75" customHeight="1" x14ac:dyDescent="0.35"/>
    <row r="930" s="44" customFormat="1" ht="15.75" customHeight="1" x14ac:dyDescent="0.35"/>
    <row r="931" s="44" customFormat="1" ht="15.75" customHeight="1" x14ac:dyDescent="0.35"/>
    <row r="932" s="44" customFormat="1" ht="15.75" customHeight="1" x14ac:dyDescent="0.35"/>
    <row r="933" s="44" customFormat="1" ht="15.75" customHeight="1" x14ac:dyDescent="0.35"/>
    <row r="934" s="44" customFormat="1" ht="15.75" customHeight="1" x14ac:dyDescent="0.35"/>
    <row r="935" s="44" customFormat="1" ht="15.75" customHeight="1" x14ac:dyDescent="0.35"/>
    <row r="936" s="44" customFormat="1" ht="15.75" customHeight="1" x14ac:dyDescent="0.35"/>
    <row r="937" s="44" customFormat="1" ht="15.75" customHeight="1" x14ac:dyDescent="0.35"/>
    <row r="938" s="44" customFormat="1" ht="15.75" customHeight="1" x14ac:dyDescent="0.35"/>
    <row r="939" s="44" customFormat="1" ht="15.75" customHeight="1" x14ac:dyDescent="0.35"/>
    <row r="940" s="44" customFormat="1" ht="15.75" customHeight="1" x14ac:dyDescent="0.35"/>
    <row r="941" s="44" customFormat="1" ht="15.75" customHeight="1" x14ac:dyDescent="0.35"/>
    <row r="942" s="44" customFormat="1" ht="15.75" customHeight="1" x14ac:dyDescent="0.35"/>
    <row r="943" s="44" customFormat="1" ht="15.75" customHeight="1" x14ac:dyDescent="0.35"/>
    <row r="944" s="44" customFormat="1" ht="15.75" customHeight="1" x14ac:dyDescent="0.35"/>
    <row r="945" s="44" customFormat="1" ht="15.75" customHeight="1" x14ac:dyDescent="0.35"/>
    <row r="946" s="44" customFormat="1" ht="15.75" customHeight="1" x14ac:dyDescent="0.35"/>
    <row r="947" s="44" customFormat="1" ht="15.75" customHeight="1" x14ac:dyDescent="0.35"/>
    <row r="948" s="44" customFormat="1" ht="15.75" customHeight="1" x14ac:dyDescent="0.35"/>
    <row r="949" s="44" customFormat="1" ht="15.75" customHeight="1" x14ac:dyDescent="0.35"/>
    <row r="950" s="44" customFormat="1" ht="15.75" customHeight="1" x14ac:dyDescent="0.35"/>
    <row r="951" s="44" customFormat="1" ht="15.75" customHeight="1" x14ac:dyDescent="0.35"/>
    <row r="952" s="44" customFormat="1" ht="15.75" customHeight="1" x14ac:dyDescent="0.35"/>
    <row r="953" s="44" customFormat="1" ht="15.75" customHeight="1" x14ac:dyDescent="0.35"/>
    <row r="954" s="44" customFormat="1" ht="15.75" customHeight="1" x14ac:dyDescent="0.35"/>
    <row r="955" s="44" customFormat="1" ht="15.75" customHeight="1" x14ac:dyDescent="0.35"/>
    <row r="956" s="44" customFormat="1" ht="15.75" customHeight="1" x14ac:dyDescent="0.35"/>
    <row r="957" s="44" customFormat="1" ht="15.75" customHeight="1" x14ac:dyDescent="0.35"/>
    <row r="958" s="44" customFormat="1" ht="15.75" customHeight="1" x14ac:dyDescent="0.35"/>
    <row r="959" s="44" customFormat="1" ht="15.75" customHeight="1" x14ac:dyDescent="0.35"/>
    <row r="960" s="44" customFormat="1" ht="15.75" customHeight="1" x14ac:dyDescent="0.35"/>
    <row r="961" s="44" customFormat="1" ht="15.75" customHeight="1" x14ac:dyDescent="0.35"/>
    <row r="962" s="44" customFormat="1" ht="15.75" customHeight="1" x14ac:dyDescent="0.35"/>
    <row r="963" s="44" customFormat="1" ht="15.75" customHeight="1" x14ac:dyDescent="0.35"/>
    <row r="964" s="44" customFormat="1" ht="15.75" customHeight="1" x14ac:dyDescent="0.35"/>
    <row r="965" s="44" customFormat="1" ht="15.75" customHeight="1" x14ac:dyDescent="0.35"/>
    <row r="966" s="44" customFormat="1" ht="15.75" customHeight="1" x14ac:dyDescent="0.35"/>
    <row r="967" s="44" customFormat="1" ht="15.75" customHeight="1" x14ac:dyDescent="0.35"/>
    <row r="968" s="44" customFormat="1" ht="15.75" customHeight="1" x14ac:dyDescent="0.35"/>
    <row r="969" s="44" customFormat="1" ht="15.75" customHeight="1" x14ac:dyDescent="0.35"/>
    <row r="970" s="44" customFormat="1" ht="15.75" customHeight="1" x14ac:dyDescent="0.35"/>
    <row r="971" s="44" customFormat="1" ht="15.75" customHeight="1" x14ac:dyDescent="0.35"/>
    <row r="972" s="44" customFormat="1" ht="15.75" customHeight="1" x14ac:dyDescent="0.35"/>
    <row r="973" s="44" customFormat="1" ht="15.75" customHeight="1" x14ac:dyDescent="0.35"/>
    <row r="974" s="44" customFormat="1" ht="15.75" customHeight="1" x14ac:dyDescent="0.35"/>
    <row r="975" s="44" customFormat="1" ht="15.75" customHeight="1" x14ac:dyDescent="0.35"/>
    <row r="976" s="44" customFormat="1" ht="15.75" customHeight="1" x14ac:dyDescent="0.35"/>
    <row r="977" s="44" customFormat="1" ht="15.75" customHeight="1" x14ac:dyDescent="0.35"/>
    <row r="978" s="44" customFormat="1" ht="15.75" customHeight="1" x14ac:dyDescent="0.35"/>
    <row r="979" s="44" customFormat="1" ht="15.75" customHeight="1" x14ac:dyDescent="0.35"/>
    <row r="980" s="44" customFormat="1" ht="15.75" customHeight="1" x14ac:dyDescent="0.35"/>
    <row r="981" s="44" customFormat="1" ht="15.75" customHeight="1" x14ac:dyDescent="0.35"/>
    <row r="982" s="44" customFormat="1" ht="15.75" customHeight="1" x14ac:dyDescent="0.35"/>
    <row r="983" s="44" customFormat="1" ht="15.75" customHeight="1" x14ac:dyDescent="0.35"/>
    <row r="984" s="44" customFormat="1" ht="15.75" customHeight="1" x14ac:dyDescent="0.35"/>
    <row r="985" s="44" customFormat="1" ht="15.75" customHeight="1" x14ac:dyDescent="0.35"/>
    <row r="986" s="44" customFormat="1" ht="15.75" customHeight="1" x14ac:dyDescent="0.35"/>
    <row r="987" s="44" customFormat="1" ht="15.75" customHeight="1" x14ac:dyDescent="0.35"/>
    <row r="988" s="44" customFormat="1" ht="15.75" customHeight="1" x14ac:dyDescent="0.35"/>
    <row r="989" s="44" customFormat="1" ht="15.75" customHeight="1" x14ac:dyDescent="0.35"/>
    <row r="990" s="44" customFormat="1" ht="15.75" customHeight="1" x14ac:dyDescent="0.35"/>
    <row r="991" s="44" customFormat="1" ht="15.75" customHeight="1" x14ac:dyDescent="0.35"/>
    <row r="992" s="44" customFormat="1" ht="15.75" customHeight="1" x14ac:dyDescent="0.35"/>
    <row r="993" s="44" customFormat="1" ht="15.75" customHeight="1" x14ac:dyDescent="0.35"/>
    <row r="994" s="44" customFormat="1" ht="15.75" customHeight="1" x14ac:dyDescent="0.35"/>
    <row r="995" s="44" customFormat="1" ht="15.75" customHeight="1" x14ac:dyDescent="0.35"/>
    <row r="996" s="44" customFormat="1" ht="15.75" customHeight="1" x14ac:dyDescent="0.35"/>
    <row r="997" s="44" customFormat="1" ht="15.75" customHeight="1" x14ac:dyDescent="0.35"/>
    <row r="998" s="44" customFormat="1" ht="15.75" customHeight="1" x14ac:dyDescent="0.35"/>
    <row r="999" s="44" customFormat="1" ht="15.75" customHeight="1" x14ac:dyDescent="0.35"/>
    <row r="1000" s="44" customFormat="1" ht="15.75" customHeight="1" x14ac:dyDescent="0.35"/>
    <row r="1001" s="44" customFormat="1" ht="15.75" customHeight="1" x14ac:dyDescent="0.35"/>
    <row r="1002" s="44" customFormat="1" ht="15.75" customHeight="1" x14ac:dyDescent="0.35"/>
    <row r="1003" s="44" customFormat="1" ht="15.75" customHeight="1" x14ac:dyDescent="0.35"/>
    <row r="1004" s="44" customFormat="1" ht="15.75" customHeight="1" x14ac:dyDescent="0.35"/>
    <row r="1005" s="44" customFormat="1" ht="15.75" customHeight="1" x14ac:dyDescent="0.35"/>
    <row r="1006" s="44" customFormat="1" ht="15.75" customHeight="1" x14ac:dyDescent="0.35"/>
    <row r="1007" s="44" customFormat="1" ht="15.75" customHeight="1" x14ac:dyDescent="0.35"/>
    <row r="1008" s="44" customFormat="1" ht="15.75" customHeight="1" x14ac:dyDescent="0.35"/>
    <row r="1009" s="44" customFormat="1" ht="15.75" customHeight="1" x14ac:dyDescent="0.35"/>
    <row r="1010" s="44" customFormat="1" ht="15.75" customHeight="1" x14ac:dyDescent="0.35"/>
    <row r="1011" s="44" customFormat="1" ht="15.75" customHeight="1" x14ac:dyDescent="0.35"/>
    <row r="1012" s="44" customFormat="1" ht="15.75" customHeight="1" x14ac:dyDescent="0.35"/>
    <row r="1013" s="44" customFormat="1" ht="15.75" customHeight="1" x14ac:dyDescent="0.35"/>
    <row r="1014" s="44" customFormat="1" ht="15.75" customHeight="1" x14ac:dyDescent="0.35"/>
    <row r="1015" s="44" customFormat="1" ht="15.75" customHeight="1" x14ac:dyDescent="0.35"/>
    <row r="1016" s="44" customFormat="1" ht="15.75" customHeight="1" x14ac:dyDescent="0.35"/>
    <row r="1017" s="44" customFormat="1" ht="15.75" customHeight="1" x14ac:dyDescent="0.35"/>
    <row r="1018" s="44" customFormat="1" ht="15.75" customHeight="1" x14ac:dyDescent="0.35"/>
    <row r="1019" s="44" customFormat="1" ht="15.75" customHeight="1" x14ac:dyDescent="0.35"/>
    <row r="1020" s="44" customFormat="1" ht="15.75" customHeight="1" x14ac:dyDescent="0.35"/>
    <row r="1021" s="44" customFormat="1" ht="15.75" customHeight="1" x14ac:dyDescent="0.35"/>
    <row r="1022" s="44" customFormat="1" ht="15.75" customHeight="1" x14ac:dyDescent="0.35"/>
    <row r="1023" s="44" customFormat="1" ht="15.75" customHeight="1" x14ac:dyDescent="0.35"/>
    <row r="1024" s="44" customFormat="1" ht="15.75" customHeight="1" x14ac:dyDescent="0.35"/>
    <row r="1025" s="44" customFormat="1" ht="15.75" customHeight="1" x14ac:dyDescent="0.35"/>
    <row r="1026" s="44" customFormat="1" ht="15.75" customHeight="1" x14ac:dyDescent="0.35"/>
    <row r="1027" s="44" customFormat="1" ht="15.75" customHeight="1" x14ac:dyDescent="0.35"/>
    <row r="1028" s="44" customFormat="1" ht="15.75" customHeight="1" x14ac:dyDescent="0.35"/>
    <row r="1029" s="44" customFormat="1" ht="15.75" customHeight="1" x14ac:dyDescent="0.35"/>
    <row r="1030" s="44" customFormat="1" ht="15.75" customHeight="1" x14ac:dyDescent="0.35"/>
    <row r="1031" s="44" customFormat="1" ht="15.75" customHeight="1" x14ac:dyDescent="0.35"/>
    <row r="1032" s="44" customFormat="1" ht="15.75" customHeight="1" x14ac:dyDescent="0.35"/>
    <row r="1033" s="44" customFormat="1" ht="15.75" customHeight="1" x14ac:dyDescent="0.35"/>
    <row r="1034" s="44" customFormat="1" ht="15.75" customHeight="1" x14ac:dyDescent="0.35"/>
    <row r="1035" s="44" customFormat="1" ht="15.75" customHeight="1" x14ac:dyDescent="0.35"/>
    <row r="1036" s="44" customFormat="1" ht="15.75" customHeight="1" x14ac:dyDescent="0.35"/>
    <row r="1037" s="44" customFormat="1" ht="15.75" customHeight="1" x14ac:dyDescent="0.35"/>
    <row r="1038" s="44" customFormat="1" ht="15.75" customHeight="1" x14ac:dyDescent="0.35"/>
    <row r="1039" s="44" customFormat="1" ht="15.75" customHeight="1" x14ac:dyDescent="0.35"/>
    <row r="1040" s="44" customFormat="1" ht="15.75" customHeight="1" x14ac:dyDescent="0.35"/>
    <row r="1041" s="44" customFormat="1" ht="15.75" customHeight="1" x14ac:dyDescent="0.35"/>
    <row r="1042" s="44" customFormat="1" ht="15.75" customHeight="1" x14ac:dyDescent="0.35"/>
    <row r="1043" s="44" customFormat="1" ht="15.75" customHeight="1" x14ac:dyDescent="0.35"/>
    <row r="1044" s="44" customFormat="1" ht="15.75" customHeight="1" x14ac:dyDescent="0.35"/>
    <row r="1045" s="44" customFormat="1" ht="15.75" customHeight="1" x14ac:dyDescent="0.35"/>
    <row r="1046" s="44" customFormat="1" ht="15.75" customHeight="1" x14ac:dyDescent="0.35"/>
    <row r="1047" s="44" customFormat="1" ht="15.75" customHeight="1" x14ac:dyDescent="0.35"/>
    <row r="1048" s="44" customFormat="1" ht="15.75" customHeight="1" x14ac:dyDescent="0.35"/>
    <row r="1049" s="44" customFormat="1" ht="15.75" customHeight="1" x14ac:dyDescent="0.35"/>
    <row r="1050" s="44" customFormat="1" ht="15.75" customHeight="1" x14ac:dyDescent="0.35"/>
    <row r="1051" s="44" customFormat="1" ht="15.75" customHeight="1" x14ac:dyDescent="0.35"/>
    <row r="1052" s="44" customFormat="1" ht="15.75" customHeight="1" x14ac:dyDescent="0.35"/>
    <row r="1053" s="44" customFormat="1" ht="15.75" customHeight="1" x14ac:dyDescent="0.35"/>
    <row r="1054" s="44" customFormat="1" ht="15.75" customHeight="1" x14ac:dyDescent="0.35"/>
    <row r="1055" s="44" customFormat="1" ht="15.75" customHeight="1" x14ac:dyDescent="0.35"/>
    <row r="1056" s="44" customFormat="1" ht="15.75" customHeight="1" x14ac:dyDescent="0.35"/>
    <row r="1057" s="44" customFormat="1" ht="15.75" customHeight="1" x14ac:dyDescent="0.35"/>
    <row r="1058" s="44" customFormat="1" ht="15.75" customHeight="1" x14ac:dyDescent="0.35"/>
    <row r="1059" s="44" customFormat="1" ht="15.75" customHeight="1" x14ac:dyDescent="0.35"/>
    <row r="1060" s="44" customFormat="1" ht="15.75" customHeight="1" x14ac:dyDescent="0.35"/>
    <row r="1061" s="44" customFormat="1" ht="15.75" customHeight="1" x14ac:dyDescent="0.35"/>
    <row r="1062" s="44" customFormat="1" ht="15.75" customHeight="1" x14ac:dyDescent="0.35"/>
    <row r="1063" s="44" customFormat="1" ht="15.75" customHeight="1" x14ac:dyDescent="0.35"/>
    <row r="1064" s="44" customFormat="1" ht="15.75" customHeight="1" x14ac:dyDescent="0.35"/>
    <row r="1065" s="44" customFormat="1" ht="15.75" customHeight="1" x14ac:dyDescent="0.35"/>
    <row r="1066" s="44" customFormat="1" ht="15.75" customHeight="1" x14ac:dyDescent="0.35"/>
    <row r="1067" s="44" customFormat="1" ht="15.75" customHeight="1" x14ac:dyDescent="0.35"/>
    <row r="1068" s="44" customFormat="1" ht="15.75" customHeight="1" x14ac:dyDescent="0.35"/>
    <row r="1069" s="44" customFormat="1" ht="15.75" customHeight="1" x14ac:dyDescent="0.35"/>
    <row r="1070" s="44" customFormat="1" ht="15.75" customHeight="1" x14ac:dyDescent="0.35"/>
    <row r="1071" s="44" customFormat="1" x14ac:dyDescent="0.35"/>
  </sheetData>
  <mergeCells count="300">
    <mergeCell ref="B1:L1"/>
    <mergeCell ref="B4:L4"/>
    <mergeCell ref="B6:L6"/>
    <mergeCell ref="B8:L8"/>
    <mergeCell ref="B10:L13"/>
    <mergeCell ref="B15:L15"/>
    <mergeCell ref="B28:F28"/>
    <mergeCell ref="H28:L28"/>
    <mergeCell ref="B32:L32"/>
    <mergeCell ref="B34:L37"/>
    <mergeCell ref="B39:L39"/>
    <mergeCell ref="B41:L45"/>
    <mergeCell ref="B17:L20"/>
    <mergeCell ref="B22:L22"/>
    <mergeCell ref="B24:E24"/>
    <mergeCell ref="F24:L24"/>
    <mergeCell ref="B26:E26"/>
    <mergeCell ref="F26:L26"/>
    <mergeCell ref="B60:L60"/>
    <mergeCell ref="B61:L63"/>
    <mergeCell ref="B65:L65"/>
    <mergeCell ref="B66:L68"/>
    <mergeCell ref="B70:L70"/>
    <mergeCell ref="B71:L73"/>
    <mergeCell ref="B47:L47"/>
    <mergeCell ref="B49:F49"/>
    <mergeCell ref="H49:L49"/>
    <mergeCell ref="B53:L53"/>
    <mergeCell ref="B55:L55"/>
    <mergeCell ref="B56:L58"/>
    <mergeCell ref="C89:E89"/>
    <mergeCell ref="I89:L89"/>
    <mergeCell ref="C91:E91"/>
    <mergeCell ref="I91:L91"/>
    <mergeCell ref="C93:E93"/>
    <mergeCell ref="I93:L93"/>
    <mergeCell ref="B75:L75"/>
    <mergeCell ref="B76:L78"/>
    <mergeCell ref="B81:L81"/>
    <mergeCell ref="B83:L83"/>
    <mergeCell ref="C85:E85"/>
    <mergeCell ref="C87:E87"/>
    <mergeCell ref="I87:L87"/>
    <mergeCell ref="C103:E103"/>
    <mergeCell ref="I103:L103"/>
    <mergeCell ref="B106:L106"/>
    <mergeCell ref="C109:E109"/>
    <mergeCell ref="C111:E111"/>
    <mergeCell ref="I111:L111"/>
    <mergeCell ref="C95:E95"/>
    <mergeCell ref="C97:E97"/>
    <mergeCell ref="I97:L97"/>
    <mergeCell ref="C99:E99"/>
    <mergeCell ref="I99:L99"/>
    <mergeCell ref="C101:E101"/>
    <mergeCell ref="I101:L101"/>
    <mergeCell ref="C119:E119"/>
    <mergeCell ref="C121:E121"/>
    <mergeCell ref="I121:L121"/>
    <mergeCell ref="C123:E123"/>
    <mergeCell ref="I123:L123"/>
    <mergeCell ref="C125:E125"/>
    <mergeCell ref="I125:L125"/>
    <mergeCell ref="C113:E113"/>
    <mergeCell ref="I113:L113"/>
    <mergeCell ref="C115:E115"/>
    <mergeCell ref="I115:L115"/>
    <mergeCell ref="C117:E117"/>
    <mergeCell ref="I117:L117"/>
    <mergeCell ref="C138:L138"/>
    <mergeCell ref="C140:L140"/>
    <mergeCell ref="B143:L143"/>
    <mergeCell ref="B145:L145"/>
    <mergeCell ref="B147:L147"/>
    <mergeCell ref="B149:L149"/>
    <mergeCell ref="C127:E127"/>
    <mergeCell ref="I127:L127"/>
    <mergeCell ref="B130:L130"/>
    <mergeCell ref="B132:L132"/>
    <mergeCell ref="C134:L134"/>
    <mergeCell ref="C136:L136"/>
    <mergeCell ref="B170:L170"/>
    <mergeCell ref="B172:L177"/>
    <mergeCell ref="B180:L180"/>
    <mergeCell ref="B182:C182"/>
    <mergeCell ref="D182:G182"/>
    <mergeCell ref="I182:J182"/>
    <mergeCell ref="K182:L182"/>
    <mergeCell ref="B151:L151"/>
    <mergeCell ref="B153:L153"/>
    <mergeCell ref="B155:L155"/>
    <mergeCell ref="B157:L157"/>
    <mergeCell ref="B160:L160"/>
    <mergeCell ref="B162:L167"/>
    <mergeCell ref="B185:C185"/>
    <mergeCell ref="D185:G185"/>
    <mergeCell ref="I185:J185"/>
    <mergeCell ref="K185:L185"/>
    <mergeCell ref="B186:C186"/>
    <mergeCell ref="D186:G186"/>
    <mergeCell ref="I186:J186"/>
    <mergeCell ref="K186:L186"/>
    <mergeCell ref="B183:C183"/>
    <mergeCell ref="D183:G183"/>
    <mergeCell ref="I183:J183"/>
    <mergeCell ref="K183:L183"/>
    <mergeCell ref="B184:C184"/>
    <mergeCell ref="D184:G184"/>
    <mergeCell ref="I184:J184"/>
    <mergeCell ref="K184:L184"/>
    <mergeCell ref="B204:L204"/>
    <mergeCell ref="B207:C208"/>
    <mergeCell ref="D207:F207"/>
    <mergeCell ref="G207:H208"/>
    <mergeCell ref="I207:J208"/>
    <mergeCell ref="K207:K208"/>
    <mergeCell ref="L207:L208"/>
    <mergeCell ref="B187:C187"/>
    <mergeCell ref="D187:G187"/>
    <mergeCell ref="I187:J187"/>
    <mergeCell ref="K187:L187"/>
    <mergeCell ref="B191:L191"/>
    <mergeCell ref="B193:L201"/>
    <mergeCell ref="B211:C211"/>
    <mergeCell ref="G211:H211"/>
    <mergeCell ref="I211:J211"/>
    <mergeCell ref="B212:C212"/>
    <mergeCell ref="G212:H212"/>
    <mergeCell ref="I212:J212"/>
    <mergeCell ref="B209:C209"/>
    <mergeCell ref="G209:H209"/>
    <mergeCell ref="I209:J209"/>
    <mergeCell ref="B210:C210"/>
    <mergeCell ref="G210:H210"/>
    <mergeCell ref="I210:J210"/>
    <mergeCell ref="D222:E222"/>
    <mergeCell ref="F222:L222"/>
    <mergeCell ref="D223:E224"/>
    <mergeCell ref="B213:C213"/>
    <mergeCell ref="G213:H213"/>
    <mergeCell ref="I213:J213"/>
    <mergeCell ref="B216:L216"/>
    <mergeCell ref="B218:L218"/>
    <mergeCell ref="B220:C224"/>
    <mergeCell ref="D220:E220"/>
    <mergeCell ref="F220:L220"/>
    <mergeCell ref="D221:E221"/>
    <mergeCell ref="F221:L221"/>
    <mergeCell ref="H224:L224"/>
    <mergeCell ref="F224:G224"/>
    <mergeCell ref="F223:G223"/>
    <mergeCell ref="H223:L223"/>
    <mergeCell ref="I230:L230"/>
    <mergeCell ref="B232:C236"/>
    <mergeCell ref="D232:E232"/>
    <mergeCell ref="F232:L232"/>
    <mergeCell ref="D233:E233"/>
    <mergeCell ref="F233:L233"/>
    <mergeCell ref="F234:L234"/>
    <mergeCell ref="D235:E236"/>
    <mergeCell ref="F235:H235"/>
    <mergeCell ref="I235:L235"/>
    <mergeCell ref="B226:C230"/>
    <mergeCell ref="D226:E226"/>
    <mergeCell ref="F226:L226"/>
    <mergeCell ref="D227:E227"/>
    <mergeCell ref="F227:L227"/>
    <mergeCell ref="F228:L228"/>
    <mergeCell ref="D229:E230"/>
    <mergeCell ref="F229:H229"/>
    <mergeCell ref="I229:L229"/>
    <mergeCell ref="F230:H230"/>
    <mergeCell ref="F241:H241"/>
    <mergeCell ref="I241:L241"/>
    <mergeCell ref="F242:H242"/>
    <mergeCell ref="I242:L242"/>
    <mergeCell ref="B245:L245"/>
    <mergeCell ref="B247:L247"/>
    <mergeCell ref="F236:H236"/>
    <mergeCell ref="I236:L236"/>
    <mergeCell ref="B238:C242"/>
    <mergeCell ref="D238:E238"/>
    <mergeCell ref="F238:L238"/>
    <mergeCell ref="D239:E239"/>
    <mergeCell ref="F239:L239"/>
    <mergeCell ref="D240:E240"/>
    <mergeCell ref="F240:L240"/>
    <mergeCell ref="D241:E242"/>
    <mergeCell ref="B259:C259"/>
    <mergeCell ref="D259:K259"/>
    <mergeCell ref="B260:C260"/>
    <mergeCell ref="D260:K260"/>
    <mergeCell ref="B261:C261"/>
    <mergeCell ref="D261:K261"/>
    <mergeCell ref="B249:L249"/>
    <mergeCell ref="B251:L251"/>
    <mergeCell ref="B253:L253"/>
    <mergeCell ref="B255:L255"/>
    <mergeCell ref="B256:L256"/>
    <mergeCell ref="B258:C258"/>
    <mergeCell ref="D258:K258"/>
    <mergeCell ref="B278:L284"/>
    <mergeCell ref="B286:L286"/>
    <mergeCell ref="B288:L288"/>
    <mergeCell ref="B290:C290"/>
    <mergeCell ref="D290:K290"/>
    <mergeCell ref="B291:C291"/>
    <mergeCell ref="D291:K291"/>
    <mergeCell ref="B262:C262"/>
    <mergeCell ref="D262:K262"/>
    <mergeCell ref="B264:L264"/>
    <mergeCell ref="B266:L266"/>
    <mergeCell ref="B268:L274"/>
    <mergeCell ref="B276:L276"/>
    <mergeCell ref="B296:L296"/>
    <mergeCell ref="B298:C298"/>
    <mergeCell ref="D298:K298"/>
    <mergeCell ref="B299:C299"/>
    <mergeCell ref="D299:K299"/>
    <mergeCell ref="B300:C300"/>
    <mergeCell ref="D300:K300"/>
    <mergeCell ref="B292:C292"/>
    <mergeCell ref="D292:K292"/>
    <mergeCell ref="B293:C293"/>
    <mergeCell ref="D293:K293"/>
    <mergeCell ref="B294:C294"/>
    <mergeCell ref="D294:K294"/>
    <mergeCell ref="B307:C307"/>
    <mergeCell ref="D307:K307"/>
    <mergeCell ref="B308:C308"/>
    <mergeCell ref="D308:K308"/>
    <mergeCell ref="B309:C309"/>
    <mergeCell ref="D309:K309"/>
    <mergeCell ref="B301:C301"/>
    <mergeCell ref="D301:K301"/>
    <mergeCell ref="B302:C302"/>
    <mergeCell ref="D302:K302"/>
    <mergeCell ref="B304:L304"/>
    <mergeCell ref="B306:C306"/>
    <mergeCell ref="D306:K306"/>
    <mergeCell ref="B316:C316"/>
    <mergeCell ref="D316:K316"/>
    <mergeCell ref="B317:C317"/>
    <mergeCell ref="D317:K317"/>
    <mergeCell ref="B318:C318"/>
    <mergeCell ref="D318:K318"/>
    <mergeCell ref="B310:C310"/>
    <mergeCell ref="D310:K310"/>
    <mergeCell ref="B312:L312"/>
    <mergeCell ref="B314:C314"/>
    <mergeCell ref="D314:K314"/>
    <mergeCell ref="B315:C315"/>
    <mergeCell ref="D315:K315"/>
    <mergeCell ref="B330:G330"/>
    <mergeCell ref="B331:G331"/>
    <mergeCell ref="B332:G332"/>
    <mergeCell ref="B333:G333"/>
    <mergeCell ref="B334:L334"/>
    <mergeCell ref="B335:G335"/>
    <mergeCell ref="B321:L321"/>
    <mergeCell ref="H323:H324"/>
    <mergeCell ref="H326:L326"/>
    <mergeCell ref="B327:G327"/>
    <mergeCell ref="B328:L328"/>
    <mergeCell ref="B329:G329"/>
    <mergeCell ref="B342:G342"/>
    <mergeCell ref="B343:G343"/>
    <mergeCell ref="B344:G344"/>
    <mergeCell ref="B345:G345"/>
    <mergeCell ref="B346:L346"/>
    <mergeCell ref="B347:L347"/>
    <mergeCell ref="B336:G336"/>
    <mergeCell ref="B337:G337"/>
    <mergeCell ref="B338:G338"/>
    <mergeCell ref="B339:G339"/>
    <mergeCell ref="B340:L340"/>
    <mergeCell ref="B341:G341"/>
    <mergeCell ref="B354:G354"/>
    <mergeCell ref="B355:G355"/>
    <mergeCell ref="B356:G356"/>
    <mergeCell ref="B357:L357"/>
    <mergeCell ref="B358:G358"/>
    <mergeCell ref="B359:G359"/>
    <mergeCell ref="B348:G348"/>
    <mergeCell ref="B349:G349"/>
    <mergeCell ref="B350:G350"/>
    <mergeCell ref="B351:G351"/>
    <mergeCell ref="B352:L352"/>
    <mergeCell ref="B353:G353"/>
    <mergeCell ref="B366:G366"/>
    <mergeCell ref="B367:G367"/>
    <mergeCell ref="B368:G368"/>
    <mergeCell ref="B370:E370"/>
    <mergeCell ref="B371:E371"/>
    <mergeCell ref="B360:G360"/>
    <mergeCell ref="B361:G361"/>
    <mergeCell ref="B362:L362"/>
    <mergeCell ref="B363:G363"/>
    <mergeCell ref="B364:G364"/>
    <mergeCell ref="B365:G36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E91-3A7D-4F76-81CE-B7C5F41BE34E}">
  <sheetPr>
    <tabColor theme="4" tint="0.59999389629810485"/>
  </sheetPr>
  <dimension ref="A1:AN1174"/>
  <sheetViews>
    <sheetView showGridLines="0" zoomScale="60" zoomScaleNormal="60" workbookViewId="0">
      <selection activeCell="Y397" sqref="Y397"/>
    </sheetView>
  </sheetViews>
  <sheetFormatPr baseColWidth="10" defaultColWidth="13.7265625" defaultRowHeight="15" customHeight="1" x14ac:dyDescent="0.35"/>
  <cols>
    <col min="1" max="1" width="7.453125" style="391" customWidth="1"/>
    <col min="2" max="2" width="5.81640625" style="391" customWidth="1"/>
    <col min="3" max="3" width="12.90625" style="391" customWidth="1"/>
    <col min="4" max="8" width="11.7265625" style="391" customWidth="1"/>
    <col min="9" max="9" width="16.1796875" style="391" customWidth="1"/>
    <col min="10" max="10" width="15.90625" style="391" customWidth="1"/>
    <col min="11" max="12" width="16.453125" style="391" customWidth="1"/>
    <col min="13" max="13" width="8.54296875" style="391" customWidth="1"/>
    <col min="14" max="15" width="10.26953125" style="391" customWidth="1"/>
    <col min="16" max="17" width="12.08984375" style="391" customWidth="1"/>
    <col min="18" max="18" width="12.54296875" style="391" customWidth="1"/>
    <col min="19" max="19" width="13.453125" style="391" bestFit="1" customWidth="1"/>
    <col min="20" max="20" width="19.81640625" style="391" customWidth="1"/>
    <col min="21" max="25" width="14.54296875" style="391" bestFit="1" customWidth="1"/>
    <col min="26" max="26" width="13.1796875" style="391" customWidth="1"/>
    <col min="27" max="27" width="7.1796875" style="390" customWidth="1"/>
    <col min="28" max="28" width="18.36328125" style="390" customWidth="1"/>
    <col min="29" max="31" width="11.54296875" style="390" customWidth="1"/>
    <col min="32" max="16384" width="13.7265625" style="390"/>
  </cols>
  <sheetData>
    <row r="1" spans="2:31" ht="409.5" customHeight="1" x14ac:dyDescent="0.35">
      <c r="B1" s="1098"/>
      <c r="C1" s="1099"/>
      <c r="D1" s="1099"/>
      <c r="E1" s="1099"/>
      <c r="F1" s="1099"/>
      <c r="G1" s="1099"/>
      <c r="H1" s="1099"/>
      <c r="I1" s="1099"/>
      <c r="J1" s="1099"/>
      <c r="K1" s="1099"/>
      <c r="L1" s="1099"/>
      <c r="M1" s="1099"/>
      <c r="N1" s="1099"/>
      <c r="O1" s="1099"/>
      <c r="P1" s="1099"/>
      <c r="Q1" s="1099"/>
      <c r="R1" s="1099"/>
      <c r="S1" s="1099"/>
      <c r="T1" s="1099"/>
      <c r="U1" s="388"/>
      <c r="V1" s="388"/>
      <c r="W1" s="388"/>
      <c r="X1" s="388"/>
      <c r="Y1" s="388"/>
      <c r="Z1" s="388"/>
      <c r="AA1" s="389"/>
      <c r="AB1" s="389"/>
      <c r="AC1" s="389"/>
      <c r="AD1" s="389"/>
      <c r="AE1" s="389"/>
    </row>
    <row r="2" spans="2:31" ht="14.25" customHeight="1" x14ac:dyDescent="0.35">
      <c r="B2" s="1100"/>
      <c r="C2" s="1101"/>
      <c r="D2" s="1101"/>
      <c r="E2" s="1101"/>
      <c r="F2" s="1101"/>
      <c r="G2" s="1101"/>
      <c r="H2" s="1101"/>
      <c r="I2" s="1101"/>
      <c r="J2" s="1101"/>
      <c r="K2" s="1101"/>
      <c r="L2" s="1101"/>
      <c r="M2" s="1101"/>
      <c r="N2" s="1101"/>
      <c r="O2" s="1101"/>
      <c r="P2" s="1101"/>
      <c r="Q2" s="1101"/>
      <c r="R2" s="1101"/>
      <c r="S2" s="1101"/>
      <c r="T2" s="1101"/>
      <c r="U2" s="388"/>
      <c r="V2" s="388"/>
      <c r="W2" s="388"/>
      <c r="X2" s="388"/>
      <c r="Y2" s="388"/>
      <c r="Z2" s="388"/>
      <c r="AA2" s="389"/>
      <c r="AB2" s="389"/>
      <c r="AC2" s="389"/>
      <c r="AD2" s="389"/>
      <c r="AE2" s="389"/>
    </row>
    <row r="3" spans="2:31" ht="15" customHeight="1" x14ac:dyDescent="0.35">
      <c r="B3" s="388"/>
      <c r="C3" s="388"/>
      <c r="D3" s="388"/>
      <c r="E3" s="388"/>
      <c r="F3" s="388"/>
      <c r="G3" s="388"/>
      <c r="H3" s="388"/>
      <c r="I3" s="388"/>
      <c r="J3" s="388"/>
      <c r="K3" s="388"/>
      <c r="L3" s="388"/>
      <c r="M3" s="388"/>
      <c r="N3" s="388"/>
      <c r="O3" s="388"/>
      <c r="P3" s="388"/>
      <c r="Q3" s="388"/>
      <c r="R3" s="388"/>
      <c r="S3" s="388"/>
      <c r="T3" s="388"/>
      <c r="U3" s="388"/>
      <c r="V3" s="388"/>
      <c r="W3" s="388"/>
      <c r="X3" s="388"/>
      <c r="Y3" s="388"/>
      <c r="Z3" s="388"/>
      <c r="AA3" s="389"/>
      <c r="AB3" s="389"/>
      <c r="AC3" s="389"/>
      <c r="AD3" s="389"/>
      <c r="AE3" s="389"/>
    </row>
    <row r="4" spans="2:31" ht="24" customHeight="1" x14ac:dyDescent="0.35">
      <c r="B4" s="1067" t="s">
        <v>563</v>
      </c>
      <c r="C4" s="1067"/>
      <c r="D4" s="1067"/>
      <c r="E4" s="1067"/>
      <c r="F4" s="1067"/>
      <c r="G4" s="1067"/>
      <c r="H4" s="1067"/>
      <c r="I4" s="1067"/>
      <c r="J4" s="1067"/>
      <c r="K4" s="1067"/>
      <c r="L4" s="1067"/>
      <c r="M4" s="1067"/>
      <c r="N4" s="1067"/>
      <c r="O4" s="1067"/>
      <c r="P4" s="1067"/>
      <c r="Q4" s="1067"/>
      <c r="R4" s="1067"/>
      <c r="S4" s="1067"/>
      <c r="T4" s="1067"/>
      <c r="U4" s="392"/>
      <c r="V4" s="392"/>
      <c r="W4" s="392"/>
      <c r="X4" s="392"/>
      <c r="Y4" s="392"/>
      <c r="Z4" s="392"/>
      <c r="AA4" s="393"/>
      <c r="AB4" s="393"/>
      <c r="AC4" s="393"/>
      <c r="AD4" s="393"/>
      <c r="AE4" s="393"/>
    </row>
    <row r="5" spans="2:31" ht="15" customHeight="1" thickBot="1" x14ac:dyDescent="0.4">
      <c r="B5" s="388"/>
      <c r="C5" s="388"/>
      <c r="D5" s="388"/>
      <c r="E5" s="388"/>
      <c r="F5" s="388"/>
      <c r="G5" s="388"/>
      <c r="H5" s="388"/>
      <c r="I5" s="388"/>
      <c r="J5" s="388"/>
      <c r="K5" s="388"/>
      <c r="L5" s="388"/>
      <c r="M5" s="388"/>
      <c r="N5" s="388"/>
      <c r="O5" s="388"/>
      <c r="P5" s="388"/>
      <c r="Q5" s="388"/>
      <c r="R5" s="388"/>
      <c r="S5" s="388"/>
      <c r="T5" s="388"/>
      <c r="U5" s="388"/>
      <c r="V5" s="388"/>
      <c r="W5" s="388"/>
      <c r="X5" s="388"/>
      <c r="Y5" s="388"/>
      <c r="Z5" s="388"/>
      <c r="AA5" s="389"/>
      <c r="AB5" s="389"/>
      <c r="AC5" s="389"/>
      <c r="AD5" s="389"/>
      <c r="AE5" s="389"/>
    </row>
    <row r="6" spans="2:31" ht="24" customHeight="1" thickBot="1" x14ac:dyDescent="0.4">
      <c r="B6" s="1102" t="s">
        <v>564</v>
      </c>
      <c r="C6" s="1103"/>
      <c r="D6" s="1103"/>
      <c r="E6" s="1103"/>
      <c r="F6" s="1103"/>
      <c r="G6" s="1104"/>
      <c r="H6" s="1105" t="s">
        <v>565</v>
      </c>
      <c r="I6" s="1103"/>
      <c r="J6" s="1103"/>
      <c r="K6" s="1103"/>
      <c r="L6" s="1103"/>
      <c r="M6" s="1103"/>
      <c r="N6" s="1103"/>
      <c r="O6" s="1103"/>
      <c r="P6" s="1103"/>
      <c r="Q6" s="1103"/>
      <c r="R6" s="1103"/>
      <c r="S6" s="1103"/>
      <c r="T6" s="1106"/>
      <c r="U6" s="392"/>
      <c r="V6" s="392"/>
      <c r="W6" s="392"/>
      <c r="X6" s="392"/>
      <c r="Y6" s="392"/>
      <c r="Z6" s="392"/>
      <c r="AA6" s="393"/>
      <c r="AB6" s="393"/>
      <c r="AC6" s="393"/>
      <c r="AD6" s="393"/>
      <c r="AE6" s="393"/>
    </row>
    <row r="7" spans="2:31" ht="115" customHeight="1" x14ac:dyDescent="0.35">
      <c r="B7" s="1107" t="s">
        <v>566</v>
      </c>
      <c r="C7" s="1108"/>
      <c r="D7" s="1108"/>
      <c r="E7" s="1108"/>
      <c r="F7" s="1108"/>
      <c r="G7" s="1109"/>
      <c r="H7" s="1110" t="s">
        <v>1165</v>
      </c>
      <c r="I7" s="1111"/>
      <c r="J7" s="1111"/>
      <c r="K7" s="1111"/>
      <c r="L7" s="1111"/>
      <c r="M7" s="1111"/>
      <c r="N7" s="1111"/>
      <c r="O7" s="1111"/>
      <c r="P7" s="1111"/>
      <c r="Q7" s="1111"/>
      <c r="R7" s="1111"/>
      <c r="S7" s="1111"/>
      <c r="T7" s="1112"/>
      <c r="U7" s="392"/>
      <c r="V7" s="392"/>
      <c r="W7" s="392"/>
      <c r="X7" s="392"/>
      <c r="Y7" s="392"/>
      <c r="Z7" s="392"/>
      <c r="AA7" s="393"/>
      <c r="AB7" s="393"/>
      <c r="AC7" s="393"/>
      <c r="AD7" s="393"/>
      <c r="AE7" s="393"/>
    </row>
    <row r="8" spans="2:31" ht="115" customHeight="1" thickBot="1" x14ac:dyDescent="0.4">
      <c r="B8" s="1061" t="s">
        <v>567</v>
      </c>
      <c r="C8" s="1062"/>
      <c r="D8" s="1062"/>
      <c r="E8" s="1062"/>
      <c r="F8" s="1062"/>
      <c r="G8" s="1063"/>
      <c r="H8" s="1064" t="s">
        <v>1166</v>
      </c>
      <c r="I8" s="1065"/>
      <c r="J8" s="1065"/>
      <c r="K8" s="1065"/>
      <c r="L8" s="1065"/>
      <c r="M8" s="1065"/>
      <c r="N8" s="1065"/>
      <c r="O8" s="1065"/>
      <c r="P8" s="1065"/>
      <c r="Q8" s="1065"/>
      <c r="R8" s="1065"/>
      <c r="S8" s="1065"/>
      <c r="T8" s="1066"/>
      <c r="U8" s="392"/>
      <c r="V8" s="392"/>
      <c r="W8" s="392"/>
      <c r="X8" s="392"/>
      <c r="Y8" s="392"/>
      <c r="Z8" s="392"/>
      <c r="AA8" s="393"/>
      <c r="AB8" s="393"/>
      <c r="AC8" s="393"/>
      <c r="AD8" s="393"/>
      <c r="AE8" s="393"/>
    </row>
    <row r="9" spans="2:31" ht="15" customHeight="1" x14ac:dyDescent="0.35">
      <c r="B9" s="388"/>
      <c r="C9" s="388"/>
      <c r="D9" s="388"/>
      <c r="E9" s="388"/>
      <c r="F9" s="388"/>
      <c r="G9" s="388"/>
      <c r="H9" s="388"/>
      <c r="I9" s="388"/>
      <c r="J9" s="388"/>
      <c r="K9" s="388"/>
      <c r="L9" s="388"/>
      <c r="M9" s="388"/>
      <c r="N9" s="388"/>
      <c r="O9" s="388"/>
      <c r="P9" s="388"/>
      <c r="Q9" s="388"/>
      <c r="R9" s="388"/>
      <c r="S9" s="388"/>
      <c r="T9" s="388"/>
      <c r="U9" s="388"/>
      <c r="V9" s="388"/>
      <c r="W9" s="388"/>
      <c r="X9" s="388"/>
      <c r="Y9" s="388"/>
      <c r="Z9" s="388"/>
      <c r="AA9" s="389"/>
      <c r="AB9" s="389"/>
      <c r="AC9" s="389"/>
      <c r="AD9" s="389"/>
      <c r="AE9" s="389"/>
    </row>
    <row r="10" spans="2:31" ht="15" customHeight="1" x14ac:dyDescent="0.35">
      <c r="B10" s="388"/>
      <c r="C10" s="388"/>
      <c r="D10" s="388"/>
      <c r="E10" s="388"/>
      <c r="F10" s="388"/>
      <c r="G10" s="388"/>
      <c r="H10" s="388"/>
      <c r="I10" s="388"/>
      <c r="J10" s="388"/>
      <c r="K10" s="388"/>
      <c r="L10" s="388"/>
      <c r="M10" s="388"/>
      <c r="N10" s="388"/>
      <c r="O10" s="388"/>
      <c r="P10" s="388"/>
      <c r="Q10" s="388"/>
      <c r="R10" s="388"/>
      <c r="S10" s="388"/>
      <c r="T10" s="388"/>
      <c r="U10" s="388"/>
      <c r="V10" s="388"/>
      <c r="W10" s="388"/>
      <c r="X10" s="388"/>
      <c r="Y10" s="388"/>
      <c r="Z10" s="388"/>
      <c r="AA10" s="389"/>
      <c r="AB10" s="389"/>
      <c r="AC10" s="389"/>
      <c r="AD10" s="389"/>
      <c r="AE10" s="389"/>
    </row>
    <row r="11" spans="2:31" ht="24" customHeight="1" x14ac:dyDescent="0.6">
      <c r="B11" s="1067" t="s">
        <v>728</v>
      </c>
      <c r="C11" s="1068"/>
      <c r="D11" s="1068"/>
      <c r="E11" s="1068"/>
      <c r="F11" s="1068"/>
      <c r="G11" s="1068"/>
      <c r="H11" s="1068"/>
      <c r="I11" s="1068"/>
      <c r="J11" s="1068"/>
      <c r="K11" s="1068"/>
      <c r="L11" s="1068"/>
      <c r="M11" s="1068"/>
      <c r="N11" s="1068"/>
      <c r="O11" s="1068"/>
      <c r="P11" s="1068"/>
      <c r="Q11" s="1068"/>
      <c r="R11" s="1068"/>
      <c r="S11" s="1068"/>
      <c r="T11" s="1068"/>
      <c r="U11" s="392"/>
      <c r="V11" s="392"/>
      <c r="W11" s="392"/>
      <c r="X11" s="392"/>
      <c r="Y11" s="392"/>
      <c r="Z11" s="392"/>
      <c r="AA11" s="393"/>
      <c r="AB11" s="393"/>
      <c r="AC11" s="393"/>
      <c r="AD11" s="393"/>
      <c r="AE11" s="393"/>
    </row>
    <row r="12" spans="2:31" ht="15" customHeight="1" x14ac:dyDescent="0.35">
      <c r="B12" s="388"/>
      <c r="C12" s="388"/>
      <c r="D12" s="388"/>
      <c r="E12" s="388"/>
      <c r="F12" s="388"/>
      <c r="G12" s="388"/>
      <c r="H12" s="388"/>
      <c r="I12" s="388"/>
      <c r="J12" s="388"/>
      <c r="K12" s="388"/>
      <c r="L12" s="388"/>
      <c r="M12" s="388"/>
      <c r="N12" s="388"/>
      <c r="O12" s="388"/>
      <c r="P12" s="388"/>
      <c r="Q12" s="388"/>
      <c r="R12" s="388"/>
      <c r="S12" s="388"/>
      <c r="T12" s="388"/>
      <c r="U12" s="388"/>
      <c r="V12" s="388"/>
      <c r="W12" s="388"/>
      <c r="X12" s="388"/>
      <c r="Y12" s="388"/>
      <c r="Z12" s="388"/>
      <c r="AA12" s="389"/>
      <c r="AB12" s="389"/>
      <c r="AC12" s="389"/>
      <c r="AD12" s="389"/>
      <c r="AE12" s="389"/>
    </row>
    <row r="13" spans="2:31" ht="24" hidden="1" customHeight="1" thickBot="1" x14ac:dyDescent="0.4">
      <c r="B13" s="1069" t="s">
        <v>568</v>
      </c>
      <c r="C13" s="1070"/>
      <c r="D13" s="1070"/>
      <c r="E13" s="1070"/>
      <c r="F13" s="1070"/>
      <c r="G13" s="1070"/>
      <c r="H13" s="1070"/>
      <c r="I13" s="1070"/>
      <c r="J13" s="1070"/>
      <c r="K13" s="1070"/>
      <c r="L13" s="1070"/>
      <c r="M13" s="1070"/>
      <c r="N13" s="1070"/>
      <c r="O13" s="1070"/>
      <c r="P13" s="1070"/>
      <c r="Q13" s="1070"/>
      <c r="R13" s="1070"/>
      <c r="S13" s="1070"/>
      <c r="T13" s="1071"/>
      <c r="U13" s="388"/>
      <c r="V13" s="388"/>
      <c r="W13" s="388"/>
      <c r="X13" s="388"/>
      <c r="Y13" s="388"/>
      <c r="Z13" s="388"/>
      <c r="AA13" s="389"/>
      <c r="AB13" s="389"/>
      <c r="AC13" s="389"/>
      <c r="AD13" s="389"/>
      <c r="AE13" s="389"/>
    </row>
    <row r="14" spans="2:31" ht="15.5" hidden="1" x14ac:dyDescent="0.35">
      <c r="B14" s="1072"/>
      <c r="C14" s="1073"/>
      <c r="D14" s="1073"/>
      <c r="E14" s="1073"/>
      <c r="F14" s="1073"/>
      <c r="G14" s="1073"/>
      <c r="H14" s="1073"/>
      <c r="I14" s="1073"/>
      <c r="J14" s="1073"/>
      <c r="K14" s="1073"/>
      <c r="L14" s="1073"/>
      <c r="M14" s="1073"/>
      <c r="N14" s="1073"/>
      <c r="O14" s="1073"/>
      <c r="P14" s="1073"/>
      <c r="Q14" s="1073"/>
      <c r="R14" s="1073"/>
      <c r="S14" s="1073"/>
      <c r="T14" s="1074"/>
      <c r="U14" s="388"/>
      <c r="V14" s="388"/>
      <c r="W14" s="388"/>
      <c r="X14" s="388"/>
      <c r="Y14" s="388"/>
      <c r="Z14" s="388"/>
      <c r="AA14" s="389"/>
      <c r="AB14" s="389"/>
      <c r="AC14" s="389"/>
      <c r="AD14" s="389"/>
      <c r="AE14" s="389"/>
    </row>
    <row r="15" spans="2:31" ht="27" hidden="1" customHeight="1" x14ac:dyDescent="0.35">
      <c r="B15" s="1075" t="s">
        <v>569</v>
      </c>
      <c r="C15" s="1076"/>
      <c r="D15" s="1076"/>
      <c r="E15" s="1076"/>
      <c r="F15" s="1039"/>
      <c r="G15" s="1077" t="str">
        <f>'Estudio de Mercados'!$B$220</f>
        <v>Gestión integral de Cartera y Cobranza</v>
      </c>
      <c r="H15" s="1078"/>
      <c r="I15" s="1078"/>
      <c r="J15" s="1078"/>
      <c r="K15" s="1078"/>
      <c r="L15" s="1078"/>
      <c r="M15" s="1078"/>
      <c r="N15" s="1079"/>
      <c r="O15" s="1080" t="s">
        <v>570</v>
      </c>
      <c r="P15" s="1081"/>
      <c r="Q15" s="1081"/>
      <c r="R15" s="1081"/>
      <c r="S15" s="1081"/>
      <c r="T15" s="1082"/>
      <c r="U15" s="388"/>
      <c r="V15" s="388"/>
      <c r="W15" s="388"/>
      <c r="X15" s="388"/>
      <c r="Y15" s="388"/>
      <c r="Z15" s="388"/>
      <c r="AA15" s="389"/>
      <c r="AB15" s="389"/>
      <c r="AC15" s="389"/>
      <c r="AD15" s="389"/>
      <c r="AE15" s="389"/>
    </row>
    <row r="16" spans="2:31" ht="27" hidden="1" customHeight="1" x14ac:dyDescent="0.35">
      <c r="B16" s="1075" t="s">
        <v>571</v>
      </c>
      <c r="C16" s="1076"/>
      <c r="D16" s="1076"/>
      <c r="E16" s="1076"/>
      <c r="F16" s="1039"/>
      <c r="G16" s="1089"/>
      <c r="H16" s="1076"/>
      <c r="I16" s="1076"/>
      <c r="J16" s="1076"/>
      <c r="K16" s="1076"/>
      <c r="L16" s="1076"/>
      <c r="M16" s="1076"/>
      <c r="N16" s="1039"/>
      <c r="O16" s="1083"/>
      <c r="P16" s="1084"/>
      <c r="Q16" s="1084"/>
      <c r="R16" s="1084"/>
      <c r="S16" s="1084"/>
      <c r="T16" s="1085"/>
      <c r="U16" s="388"/>
      <c r="V16" s="388"/>
      <c r="W16" s="388"/>
      <c r="X16" s="388"/>
      <c r="Y16" s="388"/>
      <c r="Z16" s="388"/>
      <c r="AA16" s="389"/>
      <c r="AB16" s="389"/>
      <c r="AC16" s="389"/>
      <c r="AD16" s="389"/>
      <c r="AE16" s="389"/>
    </row>
    <row r="17" spans="2:31" ht="15" hidden="1" customHeight="1" x14ac:dyDescent="0.35">
      <c r="B17" s="1125" t="s">
        <v>572</v>
      </c>
      <c r="C17" s="1126"/>
      <c r="D17" s="1126"/>
      <c r="E17" s="1126"/>
      <c r="F17" s="1127"/>
      <c r="G17" s="1132"/>
      <c r="H17" s="1126"/>
      <c r="I17" s="1126"/>
      <c r="J17" s="1126"/>
      <c r="K17" s="1126"/>
      <c r="L17" s="1126"/>
      <c r="M17" s="1126"/>
      <c r="N17" s="1127"/>
      <c r="O17" s="1083"/>
      <c r="P17" s="1084"/>
      <c r="Q17" s="1084"/>
      <c r="R17" s="1084"/>
      <c r="S17" s="1084"/>
      <c r="T17" s="1085"/>
      <c r="U17" s="388"/>
      <c r="V17" s="388"/>
      <c r="W17" s="388"/>
      <c r="X17" s="388"/>
      <c r="Y17" s="388"/>
      <c r="Z17" s="388"/>
      <c r="AA17" s="389"/>
      <c r="AB17" s="389"/>
      <c r="AC17" s="389"/>
      <c r="AD17" s="389"/>
      <c r="AE17" s="389"/>
    </row>
    <row r="18" spans="2:31" ht="15.5" hidden="1" x14ac:dyDescent="0.35">
      <c r="B18" s="1128"/>
      <c r="C18" s="1129"/>
      <c r="D18" s="1129"/>
      <c r="E18" s="1129"/>
      <c r="F18" s="1130"/>
      <c r="G18" s="1133"/>
      <c r="H18" s="1129"/>
      <c r="I18" s="1129"/>
      <c r="J18" s="1129"/>
      <c r="K18" s="1129"/>
      <c r="L18" s="1129"/>
      <c r="M18" s="1129"/>
      <c r="N18" s="1130"/>
      <c r="O18" s="1083"/>
      <c r="P18" s="1084"/>
      <c r="Q18" s="1084"/>
      <c r="R18" s="1084"/>
      <c r="S18" s="1084"/>
      <c r="T18" s="1085"/>
      <c r="U18" s="388"/>
      <c r="V18" s="388"/>
      <c r="W18" s="388"/>
      <c r="X18" s="388"/>
      <c r="Y18" s="388"/>
      <c r="Z18" s="388"/>
      <c r="AA18" s="389"/>
      <c r="AB18" s="389"/>
      <c r="AC18" s="389"/>
      <c r="AD18" s="389"/>
      <c r="AE18" s="389"/>
    </row>
    <row r="19" spans="2:31" ht="15.5" hidden="1" x14ac:dyDescent="0.35">
      <c r="B19" s="1128"/>
      <c r="C19" s="1129"/>
      <c r="D19" s="1129"/>
      <c r="E19" s="1129"/>
      <c r="F19" s="1130"/>
      <c r="G19" s="1133"/>
      <c r="H19" s="1129"/>
      <c r="I19" s="1129"/>
      <c r="J19" s="1129"/>
      <c r="K19" s="1129"/>
      <c r="L19" s="1129"/>
      <c r="M19" s="1129"/>
      <c r="N19" s="1130"/>
      <c r="O19" s="1083"/>
      <c r="P19" s="1084"/>
      <c r="Q19" s="1084"/>
      <c r="R19" s="1084"/>
      <c r="S19" s="1084"/>
      <c r="T19" s="1085"/>
      <c r="U19" s="388"/>
      <c r="V19" s="388"/>
      <c r="W19" s="388"/>
      <c r="X19" s="388"/>
      <c r="Y19" s="388"/>
      <c r="Z19" s="388"/>
      <c r="AA19" s="389"/>
      <c r="AB19" s="389"/>
      <c r="AC19" s="389"/>
      <c r="AD19" s="389"/>
      <c r="AE19" s="389"/>
    </row>
    <row r="20" spans="2:31" ht="15.5" hidden="1" x14ac:dyDescent="0.35">
      <c r="B20" s="1131"/>
      <c r="C20" s="1108"/>
      <c r="D20" s="1108"/>
      <c r="E20" s="1108"/>
      <c r="F20" s="1109"/>
      <c r="G20" s="1134"/>
      <c r="H20" s="1108"/>
      <c r="I20" s="1108"/>
      <c r="J20" s="1108"/>
      <c r="K20" s="1108"/>
      <c r="L20" s="1108"/>
      <c r="M20" s="1108"/>
      <c r="N20" s="1109"/>
      <c r="O20" s="1083"/>
      <c r="P20" s="1084"/>
      <c r="Q20" s="1084"/>
      <c r="R20" s="1084"/>
      <c r="S20" s="1084"/>
      <c r="T20" s="1085"/>
      <c r="U20" s="388"/>
      <c r="V20" s="388"/>
      <c r="W20" s="388"/>
      <c r="X20" s="388"/>
      <c r="Y20" s="388"/>
      <c r="Z20" s="388"/>
      <c r="AA20" s="389"/>
      <c r="AB20" s="389"/>
      <c r="AC20" s="389"/>
      <c r="AD20" s="389"/>
      <c r="AE20" s="389"/>
    </row>
    <row r="21" spans="2:31" ht="34.5" hidden="1" customHeight="1" x14ac:dyDescent="0.35">
      <c r="B21" s="1075" t="s">
        <v>573</v>
      </c>
      <c r="C21" s="1076"/>
      <c r="D21" s="1076"/>
      <c r="E21" s="1076"/>
      <c r="F21" s="1039"/>
      <c r="G21" s="1089"/>
      <c r="H21" s="1076"/>
      <c r="I21" s="1076"/>
      <c r="J21" s="1076"/>
      <c r="K21" s="1076"/>
      <c r="L21" s="1076"/>
      <c r="M21" s="1076"/>
      <c r="N21" s="1039"/>
      <c r="O21" s="1083"/>
      <c r="P21" s="1084"/>
      <c r="Q21" s="1084"/>
      <c r="R21" s="1084"/>
      <c r="S21" s="1084"/>
      <c r="T21" s="1085"/>
      <c r="U21" s="388"/>
      <c r="V21" s="388"/>
      <c r="W21" s="388"/>
      <c r="X21" s="388"/>
      <c r="Y21" s="388"/>
      <c r="Z21" s="388"/>
      <c r="AA21" s="389"/>
      <c r="AB21" s="389"/>
      <c r="AC21" s="389"/>
      <c r="AD21" s="389"/>
      <c r="AE21" s="389"/>
    </row>
    <row r="22" spans="2:31" ht="27" hidden="1" customHeight="1" x14ac:dyDescent="0.35">
      <c r="B22" s="1075" t="s">
        <v>574</v>
      </c>
      <c r="C22" s="1076"/>
      <c r="D22" s="1076"/>
      <c r="E22" s="1076"/>
      <c r="F22" s="1039"/>
      <c r="G22" s="1089"/>
      <c r="H22" s="1076"/>
      <c r="I22" s="1076"/>
      <c r="J22" s="1076"/>
      <c r="K22" s="1076"/>
      <c r="L22" s="1076"/>
      <c r="M22" s="1076"/>
      <c r="N22" s="1039"/>
      <c r="O22" s="1083"/>
      <c r="P22" s="1084"/>
      <c r="Q22" s="1084"/>
      <c r="R22" s="1084"/>
      <c r="S22" s="1084"/>
      <c r="T22" s="1085"/>
      <c r="U22" s="388"/>
      <c r="V22" s="388"/>
      <c r="W22" s="388"/>
      <c r="X22" s="388"/>
      <c r="Y22" s="388"/>
      <c r="Z22" s="388"/>
      <c r="AA22" s="389"/>
      <c r="AB22" s="389"/>
      <c r="AC22" s="389"/>
      <c r="AD22" s="389"/>
      <c r="AE22" s="389"/>
    </row>
    <row r="23" spans="2:31" ht="63.75" hidden="1" customHeight="1" x14ac:dyDescent="0.35">
      <c r="B23" s="1075" t="s">
        <v>575</v>
      </c>
      <c r="C23" s="1076"/>
      <c r="D23" s="1076"/>
      <c r="E23" s="1076"/>
      <c r="F23" s="1039"/>
      <c r="G23" s="1089"/>
      <c r="H23" s="1076"/>
      <c r="I23" s="1076"/>
      <c r="J23" s="1076"/>
      <c r="K23" s="1076"/>
      <c r="L23" s="1076"/>
      <c r="M23" s="1076"/>
      <c r="N23" s="1039"/>
      <c r="O23" s="1083"/>
      <c r="P23" s="1084"/>
      <c r="Q23" s="1084"/>
      <c r="R23" s="1084"/>
      <c r="S23" s="1084"/>
      <c r="T23" s="1085"/>
      <c r="U23" s="388"/>
      <c r="V23" s="388"/>
      <c r="W23" s="388"/>
      <c r="X23" s="388"/>
      <c r="Y23" s="388"/>
      <c r="Z23" s="388"/>
      <c r="AA23" s="389"/>
      <c r="AB23" s="389"/>
      <c r="AC23" s="389"/>
      <c r="AD23" s="389"/>
      <c r="AE23" s="389"/>
    </row>
    <row r="24" spans="2:31" ht="27" hidden="1" customHeight="1" x14ac:dyDescent="0.35">
      <c r="B24" s="1118" t="s">
        <v>576</v>
      </c>
      <c r="C24" s="1119"/>
      <c r="D24" s="1119"/>
      <c r="E24" s="1119"/>
      <c r="F24" s="1120"/>
      <c r="G24" s="1121"/>
      <c r="H24" s="1119"/>
      <c r="I24" s="1119"/>
      <c r="J24" s="1119"/>
      <c r="K24" s="1119"/>
      <c r="L24" s="1119"/>
      <c r="M24" s="1119"/>
      <c r="N24" s="1120"/>
      <c r="O24" s="1083"/>
      <c r="P24" s="1084"/>
      <c r="Q24" s="1084"/>
      <c r="R24" s="1084"/>
      <c r="S24" s="1084"/>
      <c r="T24" s="1085"/>
      <c r="U24" s="388"/>
      <c r="V24" s="388"/>
      <c r="W24" s="388"/>
      <c r="X24" s="388"/>
      <c r="Y24" s="388"/>
      <c r="Z24" s="388"/>
      <c r="AA24" s="389"/>
      <c r="AB24" s="389"/>
      <c r="AC24" s="389"/>
      <c r="AD24" s="389"/>
      <c r="AE24" s="389"/>
    </row>
    <row r="25" spans="2:31" ht="27" hidden="1" customHeight="1" x14ac:dyDescent="0.35">
      <c r="B25" s="1122" t="s">
        <v>577</v>
      </c>
      <c r="C25" s="1123"/>
      <c r="D25" s="1123"/>
      <c r="E25" s="1119"/>
      <c r="F25" s="1120"/>
      <c r="G25" s="1124"/>
      <c r="H25" s="1123"/>
      <c r="I25" s="1123"/>
      <c r="J25" s="1123"/>
      <c r="K25" s="1119"/>
      <c r="L25" s="1119"/>
      <c r="M25" s="1119"/>
      <c r="N25" s="1120"/>
      <c r="O25" s="1083"/>
      <c r="P25" s="1084"/>
      <c r="Q25" s="1084"/>
      <c r="R25" s="1084"/>
      <c r="S25" s="1084"/>
      <c r="T25" s="1085"/>
      <c r="U25" s="388"/>
      <c r="V25" s="388"/>
      <c r="W25" s="388"/>
      <c r="X25" s="388"/>
      <c r="Y25" s="388"/>
      <c r="Z25" s="388"/>
      <c r="AA25" s="389"/>
      <c r="AB25" s="389"/>
      <c r="AC25" s="389"/>
      <c r="AD25" s="389"/>
      <c r="AE25" s="389"/>
    </row>
    <row r="26" spans="2:31" ht="27" hidden="1" customHeight="1" x14ac:dyDescent="0.35">
      <c r="B26" s="1091" t="s">
        <v>578</v>
      </c>
      <c r="C26" s="1092"/>
      <c r="D26" s="1092"/>
      <c r="E26" s="1093"/>
      <c r="F26" s="1094"/>
      <c r="G26" s="1095" t="s">
        <v>579</v>
      </c>
      <c r="H26" s="1095"/>
      <c r="I26" s="1095"/>
      <c r="J26" s="1095"/>
      <c r="K26" s="1093"/>
      <c r="L26" s="1096"/>
      <c r="M26" s="1096"/>
      <c r="N26" s="1097"/>
      <c r="O26" s="1083"/>
      <c r="P26" s="1084"/>
      <c r="Q26" s="1084"/>
      <c r="R26" s="1084"/>
      <c r="S26" s="1084"/>
      <c r="T26" s="1085"/>
      <c r="U26" s="388"/>
      <c r="V26" s="388"/>
      <c r="W26" s="388"/>
      <c r="X26" s="388"/>
      <c r="Y26" s="388"/>
      <c r="Z26" s="388"/>
      <c r="AA26" s="389"/>
      <c r="AB26" s="389"/>
      <c r="AC26" s="389"/>
      <c r="AD26" s="389"/>
      <c r="AE26" s="389"/>
    </row>
    <row r="27" spans="2:31" ht="27" hidden="1" customHeight="1" thickBot="1" x14ac:dyDescent="0.4">
      <c r="B27" s="1113" t="s">
        <v>580</v>
      </c>
      <c r="C27" s="1114"/>
      <c r="D27" s="1114"/>
      <c r="E27" s="1115"/>
      <c r="F27" s="1116"/>
      <c r="G27" s="1117"/>
      <c r="H27" s="1114"/>
      <c r="I27" s="1114"/>
      <c r="J27" s="1114"/>
      <c r="K27" s="1115"/>
      <c r="L27" s="1115"/>
      <c r="M27" s="1115"/>
      <c r="N27" s="1116"/>
      <c r="O27" s="1086"/>
      <c r="P27" s="1087"/>
      <c r="Q27" s="1087"/>
      <c r="R27" s="1087"/>
      <c r="S27" s="1087"/>
      <c r="T27" s="1088"/>
      <c r="U27" s="388"/>
      <c r="V27" s="388"/>
      <c r="W27" s="388"/>
      <c r="X27" s="388"/>
      <c r="Y27" s="388"/>
      <c r="Z27" s="388"/>
      <c r="AA27" s="389"/>
      <c r="AB27" s="389"/>
      <c r="AC27" s="389"/>
      <c r="AD27" s="389"/>
      <c r="AE27" s="389"/>
    </row>
    <row r="28" spans="2:31" ht="15" hidden="1" customHeight="1" thickBot="1" x14ac:dyDescent="0.4">
      <c r="B28" s="388"/>
      <c r="C28" s="388"/>
      <c r="D28" s="388"/>
      <c r="E28" s="388"/>
      <c r="F28" s="388"/>
      <c r="G28" s="388"/>
      <c r="H28" s="388"/>
      <c r="I28" s="388"/>
      <c r="J28" s="388"/>
      <c r="K28" s="388"/>
      <c r="L28" s="388"/>
      <c r="M28" s="388"/>
      <c r="N28" s="388"/>
      <c r="O28" s="388"/>
      <c r="P28" s="388"/>
      <c r="Q28" s="388"/>
      <c r="R28" s="388"/>
      <c r="S28" s="388"/>
      <c r="T28" s="388"/>
      <c r="U28" s="388"/>
      <c r="V28" s="388"/>
      <c r="W28" s="388"/>
      <c r="X28" s="388"/>
      <c r="Y28" s="388"/>
      <c r="Z28" s="388"/>
      <c r="AA28" s="389"/>
      <c r="AB28" s="389"/>
      <c r="AC28" s="389"/>
      <c r="AD28" s="389"/>
      <c r="AE28" s="389"/>
    </row>
    <row r="29" spans="2:31" ht="24" hidden="1" customHeight="1" thickBot="1" x14ac:dyDescent="0.4">
      <c r="B29" s="1135" t="s">
        <v>581</v>
      </c>
      <c r="C29" s="1103"/>
      <c r="D29" s="1103"/>
      <c r="E29" s="1103"/>
      <c r="F29" s="1103"/>
      <c r="G29" s="1103"/>
      <c r="H29" s="1103"/>
      <c r="I29" s="1103"/>
      <c r="J29" s="1103"/>
      <c r="K29" s="1103"/>
      <c r="L29" s="1103"/>
      <c r="M29" s="1103"/>
      <c r="N29" s="1103"/>
      <c r="O29" s="1103"/>
      <c r="P29" s="1103"/>
      <c r="Q29" s="1103"/>
      <c r="R29" s="1103"/>
      <c r="S29" s="1103"/>
      <c r="T29" s="1106"/>
      <c r="U29" s="388"/>
      <c r="V29" s="388"/>
      <c r="W29" s="388"/>
      <c r="X29" s="388"/>
      <c r="Y29" s="388"/>
      <c r="Z29" s="388"/>
      <c r="AA29" s="389"/>
      <c r="AB29" s="389"/>
      <c r="AC29" s="389"/>
      <c r="AD29" s="389"/>
      <c r="AE29" s="389"/>
    </row>
    <row r="30" spans="2:31" ht="15.5" hidden="1" x14ac:dyDescent="0.35">
      <c r="B30" s="1136"/>
      <c r="C30" s="1073"/>
      <c r="D30" s="1073"/>
      <c r="E30" s="1073"/>
      <c r="F30" s="1073"/>
      <c r="G30" s="1073"/>
      <c r="H30" s="1073"/>
      <c r="I30" s="1073"/>
      <c r="J30" s="1073"/>
      <c r="K30" s="1073"/>
      <c r="L30" s="1073"/>
      <c r="M30" s="1073"/>
      <c r="N30" s="1073"/>
      <c r="O30" s="1073"/>
      <c r="P30" s="1073"/>
      <c r="Q30" s="1073"/>
      <c r="R30" s="1073"/>
      <c r="S30" s="1073"/>
      <c r="T30" s="1137"/>
      <c r="U30" s="388"/>
      <c r="V30" s="388"/>
      <c r="W30" s="388"/>
      <c r="X30" s="388"/>
      <c r="Y30" s="388"/>
      <c r="Z30" s="388"/>
      <c r="AA30" s="389"/>
      <c r="AB30" s="389"/>
      <c r="AC30" s="389"/>
      <c r="AD30" s="389"/>
      <c r="AE30" s="389"/>
    </row>
    <row r="31" spans="2:31" ht="27" hidden="1" customHeight="1" x14ac:dyDescent="0.35">
      <c r="B31" s="1090" t="s">
        <v>569</v>
      </c>
      <c r="C31" s="1076"/>
      <c r="D31" s="1076"/>
      <c r="E31" s="1076"/>
      <c r="F31" s="1039"/>
      <c r="G31" s="1077" t="str">
        <f>'Estudio de Mercados'!$B$226</f>
        <v>Escriba aquì el nombre de su producto ó servicio 2</v>
      </c>
      <c r="H31" s="1078"/>
      <c r="I31" s="1078"/>
      <c r="J31" s="1078"/>
      <c r="K31" s="1078"/>
      <c r="L31" s="1078"/>
      <c r="M31" s="1078"/>
      <c r="N31" s="1079"/>
      <c r="O31" s="1080" t="s">
        <v>570</v>
      </c>
      <c r="P31" s="1081"/>
      <c r="Q31" s="1081"/>
      <c r="R31" s="1081"/>
      <c r="S31" s="1081"/>
      <c r="T31" s="1138"/>
      <c r="U31" s="388"/>
      <c r="V31" s="388"/>
      <c r="W31" s="388"/>
      <c r="X31" s="388"/>
      <c r="Y31" s="388"/>
      <c r="Z31" s="388"/>
      <c r="AA31" s="389"/>
      <c r="AB31" s="389"/>
      <c r="AC31" s="389"/>
      <c r="AD31" s="389"/>
      <c r="AE31" s="389"/>
    </row>
    <row r="32" spans="2:31" ht="27" hidden="1" customHeight="1" x14ac:dyDescent="0.35">
      <c r="B32" s="1090" t="s">
        <v>571</v>
      </c>
      <c r="C32" s="1076"/>
      <c r="D32" s="1076"/>
      <c r="E32" s="1076"/>
      <c r="F32" s="1039"/>
      <c r="G32" s="1089"/>
      <c r="H32" s="1076"/>
      <c r="I32" s="1076"/>
      <c r="J32" s="1076"/>
      <c r="K32" s="1076"/>
      <c r="L32" s="1076"/>
      <c r="M32" s="1076"/>
      <c r="N32" s="1039"/>
      <c r="O32" s="1083"/>
      <c r="P32" s="1084"/>
      <c r="Q32" s="1084"/>
      <c r="R32" s="1084"/>
      <c r="S32" s="1084"/>
      <c r="T32" s="1139"/>
      <c r="U32" s="388"/>
      <c r="V32" s="388"/>
      <c r="W32" s="388"/>
      <c r="X32" s="388"/>
      <c r="Y32" s="388"/>
      <c r="Z32" s="388"/>
      <c r="AA32" s="389"/>
      <c r="AB32" s="389"/>
      <c r="AC32" s="389"/>
      <c r="AD32" s="389"/>
      <c r="AE32" s="389"/>
    </row>
    <row r="33" spans="2:31" ht="15.5" hidden="1" x14ac:dyDescent="0.35">
      <c r="B33" s="1143" t="s">
        <v>572</v>
      </c>
      <c r="C33" s="1126"/>
      <c r="D33" s="1126"/>
      <c r="E33" s="1126"/>
      <c r="F33" s="1127"/>
      <c r="G33" s="1132"/>
      <c r="H33" s="1126"/>
      <c r="I33" s="1126"/>
      <c r="J33" s="1126"/>
      <c r="K33" s="1126"/>
      <c r="L33" s="1126"/>
      <c r="M33" s="1126"/>
      <c r="N33" s="1127"/>
      <c r="O33" s="1083"/>
      <c r="P33" s="1084"/>
      <c r="Q33" s="1084"/>
      <c r="R33" s="1084"/>
      <c r="S33" s="1084"/>
      <c r="T33" s="1139"/>
      <c r="U33" s="388"/>
      <c r="V33" s="388"/>
      <c r="W33" s="388"/>
      <c r="X33" s="388"/>
      <c r="Y33" s="388"/>
      <c r="Z33" s="388"/>
      <c r="AA33" s="389"/>
      <c r="AB33" s="389"/>
      <c r="AC33" s="389"/>
      <c r="AD33" s="389"/>
      <c r="AE33" s="389"/>
    </row>
    <row r="34" spans="2:31" ht="15.5" hidden="1" x14ac:dyDescent="0.35">
      <c r="B34" s="1144"/>
      <c r="C34" s="1129"/>
      <c r="D34" s="1129"/>
      <c r="E34" s="1129"/>
      <c r="F34" s="1130"/>
      <c r="G34" s="1133"/>
      <c r="H34" s="1129"/>
      <c r="I34" s="1129"/>
      <c r="J34" s="1129"/>
      <c r="K34" s="1129"/>
      <c r="L34" s="1129"/>
      <c r="M34" s="1129"/>
      <c r="N34" s="1130"/>
      <c r="O34" s="1083"/>
      <c r="P34" s="1084"/>
      <c r="Q34" s="1084"/>
      <c r="R34" s="1084"/>
      <c r="S34" s="1084"/>
      <c r="T34" s="1139"/>
      <c r="U34" s="388"/>
      <c r="V34" s="388"/>
      <c r="W34" s="388"/>
      <c r="X34" s="388"/>
      <c r="Y34" s="388"/>
      <c r="Z34" s="388"/>
      <c r="AA34" s="389"/>
      <c r="AB34" s="389"/>
      <c r="AC34" s="389"/>
      <c r="AD34" s="389"/>
      <c r="AE34" s="389"/>
    </row>
    <row r="35" spans="2:31" ht="15.5" hidden="1" x14ac:dyDescent="0.35">
      <c r="B35" s="1144"/>
      <c r="C35" s="1129"/>
      <c r="D35" s="1129"/>
      <c r="E35" s="1129"/>
      <c r="F35" s="1130"/>
      <c r="G35" s="1133"/>
      <c r="H35" s="1129"/>
      <c r="I35" s="1129"/>
      <c r="J35" s="1129"/>
      <c r="K35" s="1129"/>
      <c r="L35" s="1129"/>
      <c r="M35" s="1129"/>
      <c r="N35" s="1130"/>
      <c r="O35" s="1083"/>
      <c r="P35" s="1084"/>
      <c r="Q35" s="1084"/>
      <c r="R35" s="1084"/>
      <c r="S35" s="1084"/>
      <c r="T35" s="1139"/>
      <c r="U35" s="388"/>
      <c r="V35" s="388"/>
      <c r="W35" s="388"/>
      <c r="X35" s="388"/>
      <c r="Y35" s="388"/>
      <c r="Z35" s="388"/>
      <c r="AA35" s="389"/>
      <c r="AB35" s="389"/>
      <c r="AC35" s="389"/>
      <c r="AD35" s="389"/>
      <c r="AE35" s="389"/>
    </row>
    <row r="36" spans="2:31" ht="15.5" hidden="1" x14ac:dyDescent="0.35">
      <c r="B36" s="1145"/>
      <c r="C36" s="1108"/>
      <c r="D36" s="1108"/>
      <c r="E36" s="1108"/>
      <c r="F36" s="1109"/>
      <c r="G36" s="1134"/>
      <c r="H36" s="1108"/>
      <c r="I36" s="1108"/>
      <c r="J36" s="1108"/>
      <c r="K36" s="1108"/>
      <c r="L36" s="1108"/>
      <c r="M36" s="1108"/>
      <c r="N36" s="1109"/>
      <c r="O36" s="1083"/>
      <c r="P36" s="1084"/>
      <c r="Q36" s="1084"/>
      <c r="R36" s="1084"/>
      <c r="S36" s="1084"/>
      <c r="T36" s="1139"/>
      <c r="U36" s="388"/>
      <c r="V36" s="388"/>
      <c r="W36" s="388"/>
      <c r="X36" s="388"/>
      <c r="Y36" s="388"/>
      <c r="Z36" s="388"/>
      <c r="AA36" s="389"/>
      <c r="AB36" s="389"/>
      <c r="AC36" s="389"/>
      <c r="AD36" s="389"/>
      <c r="AE36" s="389"/>
    </row>
    <row r="37" spans="2:31" ht="33.75" hidden="1" customHeight="1" x14ac:dyDescent="0.35">
      <c r="B37" s="1090" t="s">
        <v>573</v>
      </c>
      <c r="C37" s="1076"/>
      <c r="D37" s="1076"/>
      <c r="E37" s="1076"/>
      <c r="F37" s="1039"/>
      <c r="G37" s="1089"/>
      <c r="H37" s="1076"/>
      <c r="I37" s="1076"/>
      <c r="J37" s="1076"/>
      <c r="K37" s="1076"/>
      <c r="L37" s="1076"/>
      <c r="M37" s="1076"/>
      <c r="N37" s="1039"/>
      <c r="O37" s="1083"/>
      <c r="P37" s="1084"/>
      <c r="Q37" s="1084"/>
      <c r="R37" s="1084"/>
      <c r="S37" s="1084"/>
      <c r="T37" s="1139"/>
      <c r="U37" s="388"/>
      <c r="V37" s="388"/>
      <c r="W37" s="388"/>
      <c r="X37" s="388"/>
      <c r="Y37" s="388"/>
      <c r="Z37" s="388"/>
      <c r="AA37" s="389"/>
      <c r="AB37" s="389"/>
      <c r="AC37" s="389"/>
      <c r="AD37" s="389"/>
      <c r="AE37" s="389"/>
    </row>
    <row r="38" spans="2:31" ht="27" hidden="1" customHeight="1" x14ac:dyDescent="0.35">
      <c r="B38" s="1090" t="s">
        <v>574</v>
      </c>
      <c r="C38" s="1076"/>
      <c r="D38" s="1076"/>
      <c r="E38" s="1076"/>
      <c r="F38" s="1039"/>
      <c r="G38" s="1089"/>
      <c r="H38" s="1076"/>
      <c r="I38" s="1076"/>
      <c r="J38" s="1076"/>
      <c r="K38" s="1076"/>
      <c r="L38" s="1076"/>
      <c r="M38" s="1076"/>
      <c r="N38" s="1039"/>
      <c r="O38" s="1083"/>
      <c r="P38" s="1084"/>
      <c r="Q38" s="1084"/>
      <c r="R38" s="1084"/>
      <c r="S38" s="1084"/>
      <c r="T38" s="1139"/>
      <c r="U38" s="388"/>
      <c r="V38" s="388"/>
      <c r="W38" s="388"/>
      <c r="X38" s="388"/>
      <c r="Y38" s="388"/>
      <c r="Z38" s="388"/>
      <c r="AA38" s="389"/>
      <c r="AB38" s="389"/>
      <c r="AC38" s="389"/>
      <c r="AD38" s="389"/>
      <c r="AE38" s="389"/>
    </row>
    <row r="39" spans="2:31" ht="64.5" hidden="1" customHeight="1" x14ac:dyDescent="0.35">
      <c r="B39" s="1090" t="s">
        <v>575</v>
      </c>
      <c r="C39" s="1076"/>
      <c r="D39" s="1076"/>
      <c r="E39" s="1076"/>
      <c r="F39" s="1039"/>
      <c r="G39" s="1089"/>
      <c r="H39" s="1076"/>
      <c r="I39" s="1076"/>
      <c r="J39" s="1076"/>
      <c r="K39" s="1076"/>
      <c r="L39" s="1076"/>
      <c r="M39" s="1076"/>
      <c r="N39" s="1039"/>
      <c r="O39" s="1083"/>
      <c r="P39" s="1084"/>
      <c r="Q39" s="1084"/>
      <c r="R39" s="1084"/>
      <c r="S39" s="1084"/>
      <c r="T39" s="1139"/>
      <c r="U39" s="388"/>
      <c r="V39" s="388"/>
      <c r="W39" s="388"/>
      <c r="X39" s="388"/>
      <c r="Y39" s="388"/>
      <c r="Z39" s="388"/>
      <c r="AA39" s="389"/>
      <c r="AB39" s="389"/>
      <c r="AC39" s="389"/>
      <c r="AD39" s="389"/>
      <c r="AE39" s="389"/>
    </row>
    <row r="40" spans="2:31" ht="27" hidden="1" customHeight="1" x14ac:dyDescent="0.35">
      <c r="B40" s="1090" t="s">
        <v>576</v>
      </c>
      <c r="C40" s="1076"/>
      <c r="D40" s="1076"/>
      <c r="E40" s="1076"/>
      <c r="F40" s="1039"/>
      <c r="G40" s="1089"/>
      <c r="H40" s="1076"/>
      <c r="I40" s="1076"/>
      <c r="J40" s="1076"/>
      <c r="K40" s="1076"/>
      <c r="L40" s="1076"/>
      <c r="M40" s="1076"/>
      <c r="N40" s="1039"/>
      <c r="O40" s="1083"/>
      <c r="P40" s="1084"/>
      <c r="Q40" s="1084"/>
      <c r="R40" s="1084"/>
      <c r="S40" s="1084"/>
      <c r="T40" s="1139"/>
      <c r="U40" s="388"/>
      <c r="V40" s="388"/>
      <c r="W40" s="388"/>
      <c r="X40" s="388"/>
      <c r="Y40" s="388"/>
      <c r="Z40" s="388"/>
      <c r="AA40" s="389"/>
      <c r="AB40" s="389"/>
      <c r="AC40" s="389"/>
      <c r="AD40" s="389"/>
      <c r="AE40" s="389"/>
    </row>
    <row r="41" spans="2:31" ht="27" hidden="1" customHeight="1" x14ac:dyDescent="0.35">
      <c r="B41" s="1090" t="s">
        <v>577</v>
      </c>
      <c r="C41" s="1076"/>
      <c r="D41" s="1076"/>
      <c r="E41" s="1076"/>
      <c r="F41" s="1039"/>
      <c r="G41" s="1089"/>
      <c r="H41" s="1076"/>
      <c r="I41" s="1076"/>
      <c r="J41" s="1076"/>
      <c r="K41" s="1076"/>
      <c r="L41" s="1076"/>
      <c r="M41" s="1076"/>
      <c r="N41" s="1039"/>
      <c r="O41" s="1083"/>
      <c r="P41" s="1084"/>
      <c r="Q41" s="1084"/>
      <c r="R41" s="1084"/>
      <c r="S41" s="1084"/>
      <c r="T41" s="1139"/>
      <c r="U41" s="388"/>
      <c r="V41" s="388"/>
      <c r="W41" s="388"/>
      <c r="X41" s="388"/>
      <c r="Y41" s="388"/>
      <c r="Z41" s="388"/>
      <c r="AA41" s="389"/>
      <c r="AB41" s="389"/>
      <c r="AC41" s="389"/>
      <c r="AD41" s="389"/>
      <c r="AE41" s="389"/>
    </row>
    <row r="42" spans="2:31" ht="27" hidden="1" customHeight="1" x14ac:dyDescent="0.35">
      <c r="B42" s="1091" t="s">
        <v>578</v>
      </c>
      <c r="C42" s="1092"/>
      <c r="D42" s="1092"/>
      <c r="E42" s="1093"/>
      <c r="F42" s="1094"/>
      <c r="G42" s="1095" t="s">
        <v>579</v>
      </c>
      <c r="H42" s="1095"/>
      <c r="I42" s="1095"/>
      <c r="J42" s="1095"/>
      <c r="K42" s="1093"/>
      <c r="L42" s="1096"/>
      <c r="M42" s="1096"/>
      <c r="N42" s="1097"/>
      <c r="O42" s="1083"/>
      <c r="P42" s="1084"/>
      <c r="Q42" s="1084"/>
      <c r="R42" s="1084"/>
      <c r="S42" s="1084"/>
      <c r="T42" s="1139"/>
      <c r="U42" s="388"/>
      <c r="V42" s="388"/>
      <c r="W42" s="388"/>
      <c r="X42" s="388"/>
      <c r="Y42" s="388"/>
      <c r="Z42" s="388"/>
      <c r="AA42" s="389"/>
      <c r="AB42" s="389"/>
      <c r="AC42" s="389"/>
      <c r="AD42" s="389"/>
      <c r="AE42" s="389"/>
    </row>
    <row r="43" spans="2:31" ht="27" hidden="1" customHeight="1" thickBot="1" x14ac:dyDescent="0.4">
      <c r="B43" s="1146" t="s">
        <v>580</v>
      </c>
      <c r="C43" s="1062"/>
      <c r="D43" s="1062"/>
      <c r="E43" s="1062"/>
      <c r="F43" s="1063"/>
      <c r="G43" s="1147"/>
      <c r="H43" s="1062"/>
      <c r="I43" s="1062"/>
      <c r="J43" s="1062"/>
      <c r="K43" s="1062"/>
      <c r="L43" s="1062"/>
      <c r="M43" s="1062"/>
      <c r="N43" s="1063"/>
      <c r="O43" s="1140"/>
      <c r="P43" s="1141"/>
      <c r="Q43" s="1141"/>
      <c r="R43" s="1141"/>
      <c r="S43" s="1141"/>
      <c r="T43" s="1142"/>
      <c r="U43" s="388"/>
      <c r="V43" s="388"/>
      <c r="W43" s="388"/>
      <c r="X43" s="388"/>
      <c r="Y43" s="388"/>
      <c r="Z43" s="388"/>
      <c r="AA43" s="389"/>
      <c r="AB43" s="389"/>
      <c r="AC43" s="389"/>
      <c r="AD43" s="389"/>
      <c r="AE43" s="389"/>
    </row>
    <row r="44" spans="2:31" ht="15" hidden="1" customHeight="1" thickBot="1" x14ac:dyDescent="0.4">
      <c r="B44" s="388"/>
      <c r="C44" s="388"/>
      <c r="D44" s="388"/>
      <c r="E44" s="388"/>
      <c r="F44" s="388"/>
      <c r="G44" s="388"/>
      <c r="H44" s="388"/>
      <c r="I44" s="388"/>
      <c r="J44" s="388"/>
      <c r="K44" s="388"/>
      <c r="L44" s="388"/>
      <c r="M44" s="388"/>
      <c r="N44" s="388"/>
      <c r="O44" s="388"/>
      <c r="P44" s="388"/>
      <c r="Q44" s="388"/>
      <c r="R44" s="388"/>
      <c r="S44" s="388"/>
      <c r="T44" s="388"/>
      <c r="U44" s="388"/>
      <c r="V44" s="388"/>
      <c r="W44" s="388"/>
      <c r="X44" s="388"/>
      <c r="Y44" s="388"/>
      <c r="Z44" s="388"/>
      <c r="AA44" s="389"/>
      <c r="AB44" s="389"/>
      <c r="AC44" s="389"/>
      <c r="AD44" s="389"/>
      <c r="AE44" s="389"/>
    </row>
    <row r="45" spans="2:31" ht="24" hidden="1" customHeight="1" thickBot="1" x14ac:dyDescent="0.4">
      <c r="B45" s="1135" t="s">
        <v>582</v>
      </c>
      <c r="C45" s="1103"/>
      <c r="D45" s="1103"/>
      <c r="E45" s="1103"/>
      <c r="F45" s="1103"/>
      <c r="G45" s="1103"/>
      <c r="H45" s="1103"/>
      <c r="I45" s="1103"/>
      <c r="J45" s="1103"/>
      <c r="K45" s="1103"/>
      <c r="L45" s="1103"/>
      <c r="M45" s="1103"/>
      <c r="N45" s="1103"/>
      <c r="O45" s="1103"/>
      <c r="P45" s="1103"/>
      <c r="Q45" s="1103"/>
      <c r="R45" s="1103"/>
      <c r="S45" s="1103"/>
      <c r="T45" s="1106"/>
      <c r="U45" s="388"/>
      <c r="V45" s="388"/>
      <c r="W45" s="388"/>
      <c r="X45" s="388"/>
      <c r="Y45" s="388"/>
      <c r="Z45" s="388"/>
      <c r="AA45" s="389"/>
      <c r="AB45" s="389"/>
      <c r="AC45" s="389"/>
      <c r="AD45" s="389"/>
      <c r="AE45" s="389"/>
    </row>
    <row r="46" spans="2:31" ht="15.5" hidden="1" x14ac:dyDescent="0.35">
      <c r="B46" s="1136"/>
      <c r="C46" s="1073"/>
      <c r="D46" s="1073"/>
      <c r="E46" s="1073"/>
      <c r="F46" s="1073"/>
      <c r="G46" s="1073"/>
      <c r="H46" s="1073"/>
      <c r="I46" s="1073"/>
      <c r="J46" s="1073"/>
      <c r="K46" s="1073"/>
      <c r="L46" s="1073"/>
      <c r="M46" s="1073"/>
      <c r="N46" s="1073"/>
      <c r="O46" s="1073"/>
      <c r="P46" s="1073"/>
      <c r="Q46" s="1073"/>
      <c r="R46" s="1073"/>
      <c r="S46" s="1073"/>
      <c r="T46" s="1137"/>
      <c r="U46" s="388"/>
      <c r="V46" s="388"/>
      <c r="W46" s="388"/>
      <c r="X46" s="388"/>
      <c r="Y46" s="388"/>
      <c r="Z46" s="388"/>
      <c r="AA46" s="389"/>
      <c r="AB46" s="389"/>
      <c r="AC46" s="389"/>
      <c r="AD46" s="389"/>
      <c r="AE46" s="389"/>
    </row>
    <row r="47" spans="2:31" ht="27" hidden="1" customHeight="1" x14ac:dyDescent="0.35">
      <c r="B47" s="1090" t="s">
        <v>569</v>
      </c>
      <c r="C47" s="1076"/>
      <c r="D47" s="1076"/>
      <c r="E47" s="1076"/>
      <c r="F47" s="1039"/>
      <c r="G47" s="1077" t="str">
        <f>'Estudio de Mercados'!$B$232</f>
        <v>Escriba aquì el nombre de su producto ó servicio 3</v>
      </c>
      <c r="H47" s="1078"/>
      <c r="I47" s="1078"/>
      <c r="J47" s="1078"/>
      <c r="K47" s="1078"/>
      <c r="L47" s="1078"/>
      <c r="M47" s="1078"/>
      <c r="N47" s="1079"/>
      <c r="O47" s="1080" t="s">
        <v>570</v>
      </c>
      <c r="P47" s="1081"/>
      <c r="Q47" s="1081"/>
      <c r="R47" s="1081"/>
      <c r="S47" s="1081"/>
      <c r="T47" s="1138"/>
      <c r="U47" s="388"/>
      <c r="V47" s="388"/>
      <c r="W47" s="388"/>
      <c r="X47" s="388"/>
      <c r="Y47" s="388"/>
      <c r="Z47" s="388"/>
      <c r="AA47" s="389"/>
      <c r="AB47" s="389"/>
      <c r="AC47" s="389"/>
      <c r="AD47" s="389"/>
      <c r="AE47" s="389"/>
    </row>
    <row r="48" spans="2:31" ht="27" hidden="1" customHeight="1" x14ac:dyDescent="0.35">
      <c r="B48" s="1090" t="s">
        <v>571</v>
      </c>
      <c r="C48" s="1076"/>
      <c r="D48" s="1076"/>
      <c r="E48" s="1076"/>
      <c r="F48" s="1039"/>
      <c r="G48" s="1089"/>
      <c r="H48" s="1076"/>
      <c r="I48" s="1076"/>
      <c r="J48" s="1076"/>
      <c r="K48" s="1076"/>
      <c r="L48" s="1076"/>
      <c r="M48" s="1076"/>
      <c r="N48" s="1039"/>
      <c r="O48" s="1083"/>
      <c r="P48" s="1084"/>
      <c r="Q48" s="1084"/>
      <c r="R48" s="1084"/>
      <c r="S48" s="1084"/>
      <c r="T48" s="1139"/>
      <c r="U48" s="388"/>
      <c r="V48" s="388"/>
      <c r="W48" s="388"/>
      <c r="X48" s="388"/>
      <c r="Y48" s="388"/>
      <c r="Z48" s="388"/>
      <c r="AA48" s="389"/>
      <c r="AB48" s="389"/>
      <c r="AC48" s="389"/>
      <c r="AD48" s="389"/>
      <c r="AE48" s="389"/>
    </row>
    <row r="49" spans="2:31" ht="15.5" hidden="1" x14ac:dyDescent="0.35">
      <c r="B49" s="1143" t="s">
        <v>572</v>
      </c>
      <c r="C49" s="1126"/>
      <c r="D49" s="1126"/>
      <c r="E49" s="1126"/>
      <c r="F49" s="1127"/>
      <c r="G49" s="1132"/>
      <c r="H49" s="1126"/>
      <c r="I49" s="1126"/>
      <c r="J49" s="1126"/>
      <c r="K49" s="1126"/>
      <c r="L49" s="1126"/>
      <c r="M49" s="1126"/>
      <c r="N49" s="1127"/>
      <c r="O49" s="1083"/>
      <c r="P49" s="1084"/>
      <c r="Q49" s="1084"/>
      <c r="R49" s="1084"/>
      <c r="S49" s="1084"/>
      <c r="T49" s="1139"/>
      <c r="U49" s="388"/>
      <c r="V49" s="388"/>
      <c r="W49" s="388"/>
      <c r="X49" s="388"/>
      <c r="Y49" s="388"/>
      <c r="Z49" s="388"/>
      <c r="AA49" s="389"/>
      <c r="AB49" s="389"/>
      <c r="AC49" s="389"/>
      <c r="AD49" s="389"/>
      <c r="AE49" s="389"/>
    </row>
    <row r="50" spans="2:31" ht="15.5" hidden="1" x14ac:dyDescent="0.35">
      <c r="B50" s="1144"/>
      <c r="C50" s="1129"/>
      <c r="D50" s="1129"/>
      <c r="E50" s="1129"/>
      <c r="F50" s="1130"/>
      <c r="G50" s="1133"/>
      <c r="H50" s="1129"/>
      <c r="I50" s="1129"/>
      <c r="J50" s="1129"/>
      <c r="K50" s="1129"/>
      <c r="L50" s="1129"/>
      <c r="M50" s="1129"/>
      <c r="N50" s="1130"/>
      <c r="O50" s="1083"/>
      <c r="P50" s="1084"/>
      <c r="Q50" s="1084"/>
      <c r="R50" s="1084"/>
      <c r="S50" s="1084"/>
      <c r="T50" s="1139"/>
      <c r="U50" s="388"/>
      <c r="V50" s="388"/>
      <c r="W50" s="388"/>
      <c r="X50" s="388"/>
      <c r="Y50" s="388"/>
      <c r="Z50" s="388"/>
      <c r="AA50" s="389"/>
      <c r="AB50" s="389"/>
      <c r="AC50" s="389"/>
      <c r="AD50" s="389"/>
      <c r="AE50" s="389"/>
    </row>
    <row r="51" spans="2:31" ht="15.5" hidden="1" x14ac:dyDescent="0.35">
      <c r="B51" s="1144"/>
      <c r="C51" s="1129"/>
      <c r="D51" s="1129"/>
      <c r="E51" s="1129"/>
      <c r="F51" s="1130"/>
      <c r="G51" s="1133"/>
      <c r="H51" s="1129"/>
      <c r="I51" s="1129"/>
      <c r="J51" s="1129"/>
      <c r="K51" s="1129"/>
      <c r="L51" s="1129"/>
      <c r="M51" s="1129"/>
      <c r="N51" s="1130"/>
      <c r="O51" s="1083"/>
      <c r="P51" s="1084"/>
      <c r="Q51" s="1084"/>
      <c r="R51" s="1084"/>
      <c r="S51" s="1084"/>
      <c r="T51" s="1139"/>
      <c r="U51" s="388"/>
      <c r="V51" s="388"/>
      <c r="W51" s="388"/>
      <c r="X51" s="388"/>
      <c r="Y51" s="388"/>
      <c r="Z51" s="388"/>
      <c r="AA51" s="389"/>
      <c r="AB51" s="389"/>
      <c r="AC51" s="389"/>
      <c r="AD51" s="389"/>
      <c r="AE51" s="389"/>
    </row>
    <row r="52" spans="2:31" ht="15.5" hidden="1" x14ac:dyDescent="0.35">
      <c r="B52" s="1145"/>
      <c r="C52" s="1108"/>
      <c r="D52" s="1108"/>
      <c r="E52" s="1108"/>
      <c r="F52" s="1109"/>
      <c r="G52" s="1134"/>
      <c r="H52" s="1108"/>
      <c r="I52" s="1108"/>
      <c r="J52" s="1108"/>
      <c r="K52" s="1108"/>
      <c r="L52" s="1108"/>
      <c r="M52" s="1108"/>
      <c r="N52" s="1109"/>
      <c r="O52" s="1083"/>
      <c r="P52" s="1084"/>
      <c r="Q52" s="1084"/>
      <c r="R52" s="1084"/>
      <c r="S52" s="1084"/>
      <c r="T52" s="1139"/>
      <c r="U52" s="388"/>
      <c r="V52" s="388"/>
      <c r="W52" s="388"/>
      <c r="X52" s="388"/>
      <c r="Y52" s="388"/>
      <c r="Z52" s="388"/>
      <c r="AA52" s="389"/>
      <c r="AB52" s="389"/>
      <c r="AC52" s="389"/>
      <c r="AD52" s="389"/>
      <c r="AE52" s="389"/>
    </row>
    <row r="53" spans="2:31" ht="33.75" hidden="1" customHeight="1" x14ac:dyDescent="0.35">
      <c r="B53" s="1090" t="s">
        <v>573</v>
      </c>
      <c r="C53" s="1076"/>
      <c r="D53" s="1076"/>
      <c r="E53" s="1076"/>
      <c r="F53" s="1039"/>
      <c r="G53" s="1089"/>
      <c r="H53" s="1076"/>
      <c r="I53" s="1076"/>
      <c r="J53" s="1076"/>
      <c r="K53" s="1076"/>
      <c r="L53" s="1076"/>
      <c r="M53" s="1076"/>
      <c r="N53" s="1039"/>
      <c r="O53" s="1083"/>
      <c r="P53" s="1084"/>
      <c r="Q53" s="1084"/>
      <c r="R53" s="1084"/>
      <c r="S53" s="1084"/>
      <c r="T53" s="1139"/>
      <c r="U53" s="388"/>
      <c r="V53" s="388"/>
      <c r="W53" s="388"/>
      <c r="X53" s="388"/>
      <c r="Y53" s="388"/>
      <c r="Z53" s="388"/>
      <c r="AA53" s="389"/>
      <c r="AB53" s="389"/>
      <c r="AC53" s="389"/>
      <c r="AD53" s="389"/>
      <c r="AE53" s="389"/>
    </row>
    <row r="54" spans="2:31" ht="27" hidden="1" customHeight="1" x14ac:dyDescent="0.35">
      <c r="B54" s="1090" t="s">
        <v>574</v>
      </c>
      <c r="C54" s="1076"/>
      <c r="D54" s="1076"/>
      <c r="E54" s="1076"/>
      <c r="F54" s="1039"/>
      <c r="G54" s="1089"/>
      <c r="H54" s="1076"/>
      <c r="I54" s="1076"/>
      <c r="J54" s="1076"/>
      <c r="K54" s="1076"/>
      <c r="L54" s="1076"/>
      <c r="M54" s="1076"/>
      <c r="N54" s="1039"/>
      <c r="O54" s="1083"/>
      <c r="P54" s="1084"/>
      <c r="Q54" s="1084"/>
      <c r="R54" s="1084"/>
      <c r="S54" s="1084"/>
      <c r="T54" s="1139"/>
      <c r="U54" s="388"/>
      <c r="V54" s="388"/>
      <c r="W54" s="388"/>
      <c r="X54" s="388"/>
      <c r="Y54" s="388"/>
      <c r="Z54" s="388"/>
      <c r="AA54" s="389"/>
      <c r="AB54" s="389"/>
      <c r="AC54" s="389"/>
      <c r="AD54" s="389"/>
      <c r="AE54" s="389"/>
    </row>
    <row r="55" spans="2:31" ht="63.75" hidden="1" customHeight="1" x14ac:dyDescent="0.35">
      <c r="B55" s="1090" t="s">
        <v>575</v>
      </c>
      <c r="C55" s="1076"/>
      <c r="D55" s="1076"/>
      <c r="E55" s="1076"/>
      <c r="F55" s="1039"/>
      <c r="G55" s="1089"/>
      <c r="H55" s="1076"/>
      <c r="I55" s="1076"/>
      <c r="J55" s="1076"/>
      <c r="K55" s="1076"/>
      <c r="L55" s="1076"/>
      <c r="M55" s="1076"/>
      <c r="N55" s="1039"/>
      <c r="O55" s="1083"/>
      <c r="P55" s="1084"/>
      <c r="Q55" s="1084"/>
      <c r="R55" s="1084"/>
      <c r="S55" s="1084"/>
      <c r="T55" s="1139"/>
      <c r="U55" s="388"/>
      <c r="V55" s="388"/>
      <c r="W55" s="388"/>
      <c r="X55" s="388"/>
      <c r="Y55" s="388"/>
      <c r="Z55" s="388"/>
      <c r="AA55" s="389"/>
      <c r="AB55" s="389"/>
      <c r="AC55" s="389"/>
      <c r="AD55" s="389"/>
      <c r="AE55" s="389"/>
    </row>
    <row r="56" spans="2:31" ht="27" hidden="1" customHeight="1" x14ac:dyDescent="0.35">
      <c r="B56" s="1090" t="s">
        <v>576</v>
      </c>
      <c r="C56" s="1076"/>
      <c r="D56" s="1076"/>
      <c r="E56" s="1076"/>
      <c r="F56" s="1039"/>
      <c r="G56" s="1089"/>
      <c r="H56" s="1076"/>
      <c r="I56" s="1076"/>
      <c r="J56" s="1076"/>
      <c r="K56" s="1076"/>
      <c r="L56" s="1076"/>
      <c r="M56" s="1076"/>
      <c r="N56" s="1039"/>
      <c r="O56" s="1083"/>
      <c r="P56" s="1084"/>
      <c r="Q56" s="1084"/>
      <c r="R56" s="1084"/>
      <c r="S56" s="1084"/>
      <c r="T56" s="1139"/>
      <c r="U56" s="388"/>
      <c r="V56" s="388"/>
      <c r="W56" s="388"/>
      <c r="X56" s="388"/>
      <c r="Y56" s="388"/>
      <c r="Z56" s="388"/>
      <c r="AA56" s="389"/>
      <c r="AB56" s="389"/>
      <c r="AC56" s="389"/>
      <c r="AD56" s="389"/>
      <c r="AE56" s="389"/>
    </row>
    <row r="57" spans="2:31" ht="27" hidden="1" customHeight="1" x14ac:dyDescent="0.35">
      <c r="B57" s="1090" t="s">
        <v>577</v>
      </c>
      <c r="C57" s="1076"/>
      <c r="D57" s="1076"/>
      <c r="E57" s="1076"/>
      <c r="F57" s="1039"/>
      <c r="G57" s="1089"/>
      <c r="H57" s="1076"/>
      <c r="I57" s="1076"/>
      <c r="J57" s="1076"/>
      <c r="K57" s="1076"/>
      <c r="L57" s="1076"/>
      <c r="M57" s="1076"/>
      <c r="N57" s="1039"/>
      <c r="O57" s="1083"/>
      <c r="P57" s="1084"/>
      <c r="Q57" s="1084"/>
      <c r="R57" s="1084"/>
      <c r="S57" s="1084"/>
      <c r="T57" s="1139"/>
      <c r="U57" s="388"/>
      <c r="V57" s="388"/>
      <c r="W57" s="388"/>
      <c r="X57" s="388"/>
      <c r="Y57" s="388"/>
      <c r="Z57" s="388"/>
      <c r="AA57" s="389"/>
      <c r="AB57" s="389"/>
      <c r="AC57" s="389"/>
      <c r="AD57" s="389"/>
      <c r="AE57" s="389"/>
    </row>
    <row r="58" spans="2:31" ht="27" hidden="1" customHeight="1" x14ac:dyDescent="0.35">
      <c r="B58" s="1091" t="s">
        <v>578</v>
      </c>
      <c r="C58" s="1092"/>
      <c r="D58" s="1092"/>
      <c r="E58" s="1093"/>
      <c r="F58" s="1094"/>
      <c r="G58" s="1095" t="s">
        <v>579</v>
      </c>
      <c r="H58" s="1095"/>
      <c r="I58" s="1095"/>
      <c r="J58" s="1095"/>
      <c r="K58" s="1093"/>
      <c r="L58" s="1096"/>
      <c r="M58" s="1096"/>
      <c r="N58" s="1097"/>
      <c r="O58" s="1083"/>
      <c r="P58" s="1084"/>
      <c r="Q58" s="1084"/>
      <c r="R58" s="1084"/>
      <c r="S58" s="1084"/>
      <c r="T58" s="1139"/>
      <c r="U58" s="388"/>
      <c r="V58" s="388"/>
      <c r="W58" s="388"/>
      <c r="X58" s="388"/>
      <c r="Y58" s="388"/>
      <c r="Z58" s="388"/>
      <c r="AA58" s="389"/>
      <c r="AB58" s="389"/>
      <c r="AC58" s="389"/>
      <c r="AD58" s="389"/>
      <c r="AE58" s="389"/>
    </row>
    <row r="59" spans="2:31" ht="27" hidden="1" customHeight="1" thickBot="1" x14ac:dyDescent="0.4">
      <c r="B59" s="1146" t="s">
        <v>580</v>
      </c>
      <c r="C59" s="1062"/>
      <c r="D59" s="1062"/>
      <c r="E59" s="1062"/>
      <c r="F59" s="1063"/>
      <c r="G59" s="1147" t="s">
        <v>583</v>
      </c>
      <c r="H59" s="1158"/>
      <c r="I59" s="1158"/>
      <c r="J59" s="1158"/>
      <c r="K59" s="1158"/>
      <c r="L59" s="1158"/>
      <c r="M59" s="1158"/>
      <c r="N59" s="1159"/>
      <c r="O59" s="1140"/>
      <c r="P59" s="1141"/>
      <c r="Q59" s="1141"/>
      <c r="R59" s="1141"/>
      <c r="S59" s="1141"/>
      <c r="T59" s="1142"/>
      <c r="U59" s="388"/>
      <c r="V59" s="388"/>
      <c r="W59" s="388"/>
      <c r="X59" s="388"/>
      <c r="Y59" s="388"/>
      <c r="Z59" s="388"/>
      <c r="AA59" s="389"/>
      <c r="AB59" s="389"/>
      <c r="AC59" s="389"/>
      <c r="AD59" s="389"/>
      <c r="AE59" s="389"/>
    </row>
    <row r="60" spans="2:31" ht="15" hidden="1" customHeight="1" thickBot="1" x14ac:dyDescent="0.4">
      <c r="B60" s="388"/>
      <c r="C60" s="388"/>
      <c r="D60" s="388"/>
      <c r="E60" s="388"/>
      <c r="F60" s="388"/>
      <c r="G60" s="388"/>
      <c r="H60" s="388"/>
      <c r="I60" s="388"/>
      <c r="J60" s="388"/>
      <c r="K60" s="388"/>
      <c r="L60" s="388"/>
      <c r="M60" s="388"/>
      <c r="N60" s="388"/>
      <c r="O60" s="388"/>
      <c r="P60" s="388"/>
      <c r="Q60" s="388"/>
      <c r="R60" s="388"/>
      <c r="S60" s="388"/>
      <c r="T60" s="388"/>
      <c r="U60" s="388"/>
      <c r="V60" s="388"/>
      <c r="W60" s="388"/>
      <c r="X60" s="388"/>
      <c r="Y60" s="388"/>
      <c r="Z60" s="388"/>
      <c r="AA60" s="389"/>
      <c r="AB60" s="389"/>
      <c r="AC60" s="389"/>
      <c r="AD60" s="389"/>
      <c r="AE60" s="389"/>
    </row>
    <row r="61" spans="2:31" ht="24" hidden="1" customHeight="1" thickBot="1" x14ac:dyDescent="0.4">
      <c r="B61" s="1135" t="s">
        <v>584</v>
      </c>
      <c r="C61" s="1160"/>
      <c r="D61" s="1160"/>
      <c r="E61" s="1160"/>
      <c r="F61" s="1160"/>
      <c r="G61" s="1160"/>
      <c r="H61" s="1160"/>
      <c r="I61" s="1160"/>
      <c r="J61" s="1160"/>
      <c r="K61" s="1160"/>
      <c r="L61" s="1160"/>
      <c r="M61" s="1160"/>
      <c r="N61" s="1160"/>
      <c r="O61" s="1160"/>
      <c r="P61" s="1160"/>
      <c r="Q61" s="1160"/>
      <c r="R61" s="1160"/>
      <c r="S61" s="1160"/>
      <c r="T61" s="1161"/>
      <c r="U61" s="388"/>
      <c r="V61" s="388"/>
      <c r="W61" s="388"/>
      <c r="X61" s="388"/>
      <c r="Y61" s="388"/>
      <c r="Z61" s="388"/>
      <c r="AA61" s="389"/>
      <c r="AB61" s="389"/>
      <c r="AC61" s="389"/>
      <c r="AD61" s="389"/>
      <c r="AE61" s="389"/>
    </row>
    <row r="62" spans="2:31" ht="15.5" hidden="1" x14ac:dyDescent="0.35">
      <c r="B62" s="1136"/>
      <c r="C62" s="1162"/>
      <c r="D62" s="1162"/>
      <c r="E62" s="1162"/>
      <c r="F62" s="1162"/>
      <c r="G62" s="1162"/>
      <c r="H62" s="1162"/>
      <c r="I62" s="1162"/>
      <c r="J62" s="1162"/>
      <c r="K62" s="1162"/>
      <c r="L62" s="1162"/>
      <c r="M62" s="1162"/>
      <c r="N62" s="1162"/>
      <c r="O62" s="1162"/>
      <c r="P62" s="1162"/>
      <c r="Q62" s="1162"/>
      <c r="R62" s="1162"/>
      <c r="S62" s="1162"/>
      <c r="T62" s="1163"/>
      <c r="U62" s="388"/>
      <c r="V62" s="388"/>
      <c r="W62" s="388"/>
      <c r="X62" s="388"/>
      <c r="Y62" s="388"/>
      <c r="Z62" s="388"/>
      <c r="AA62" s="389"/>
      <c r="AB62" s="389"/>
      <c r="AC62" s="389"/>
      <c r="AD62" s="389"/>
      <c r="AE62" s="389"/>
    </row>
    <row r="63" spans="2:31" ht="27" hidden="1" customHeight="1" x14ac:dyDescent="0.35">
      <c r="B63" s="1090" t="s">
        <v>569</v>
      </c>
      <c r="C63" s="1076"/>
      <c r="D63" s="1076"/>
      <c r="E63" s="1076"/>
      <c r="F63" s="1039"/>
      <c r="G63" s="1077" t="str">
        <f>'Estudio de Mercados'!$B$238</f>
        <v>Escriba aquì el nombre de su producto ó servicio 4</v>
      </c>
      <c r="H63" s="1164"/>
      <c r="I63" s="1164"/>
      <c r="J63" s="1164"/>
      <c r="K63" s="1164"/>
      <c r="L63" s="1164"/>
      <c r="M63" s="1164"/>
      <c r="N63" s="1165"/>
      <c r="O63" s="1080" t="s">
        <v>570</v>
      </c>
      <c r="P63" s="1126"/>
      <c r="Q63" s="1126"/>
      <c r="R63" s="1126"/>
      <c r="S63" s="1126"/>
      <c r="T63" s="1166"/>
      <c r="U63" s="388"/>
      <c r="V63" s="388"/>
      <c r="W63" s="388"/>
      <c r="X63" s="388"/>
      <c r="Y63" s="388"/>
      <c r="Z63" s="388"/>
      <c r="AA63" s="389"/>
      <c r="AB63" s="389"/>
      <c r="AC63" s="389"/>
      <c r="AD63" s="389"/>
      <c r="AE63" s="389"/>
    </row>
    <row r="64" spans="2:31" ht="27" hidden="1" customHeight="1" x14ac:dyDescent="0.35">
      <c r="B64" s="1090" t="s">
        <v>571</v>
      </c>
      <c r="C64" s="1076"/>
      <c r="D64" s="1076"/>
      <c r="E64" s="1076"/>
      <c r="F64" s="1039"/>
      <c r="G64" s="1089"/>
      <c r="H64" s="1148"/>
      <c r="I64" s="1148"/>
      <c r="J64" s="1148"/>
      <c r="K64" s="1148"/>
      <c r="L64" s="1148"/>
      <c r="M64" s="1148"/>
      <c r="N64" s="1149"/>
      <c r="O64" s="1133"/>
      <c r="P64" s="1129"/>
      <c r="Q64" s="1129"/>
      <c r="R64" s="1129"/>
      <c r="S64" s="1129"/>
      <c r="T64" s="1167"/>
      <c r="U64" s="388"/>
      <c r="V64" s="388"/>
      <c r="W64" s="388"/>
      <c r="X64" s="388"/>
      <c r="Y64" s="388"/>
      <c r="Z64" s="388"/>
      <c r="AA64" s="389"/>
      <c r="AB64" s="389"/>
      <c r="AC64" s="389"/>
      <c r="AD64" s="389"/>
      <c r="AE64" s="389"/>
    </row>
    <row r="65" spans="2:31" ht="15.5" hidden="1" x14ac:dyDescent="0.35">
      <c r="B65" s="1143" t="s">
        <v>572</v>
      </c>
      <c r="C65" s="1126"/>
      <c r="D65" s="1126"/>
      <c r="E65" s="1126"/>
      <c r="F65" s="1127"/>
      <c r="G65" s="1132"/>
      <c r="H65" s="1150"/>
      <c r="I65" s="1150"/>
      <c r="J65" s="1150"/>
      <c r="K65" s="1150"/>
      <c r="L65" s="1150"/>
      <c r="M65" s="1150"/>
      <c r="N65" s="1151"/>
      <c r="O65" s="1133"/>
      <c r="P65" s="1129"/>
      <c r="Q65" s="1129"/>
      <c r="R65" s="1129"/>
      <c r="S65" s="1129"/>
      <c r="T65" s="1167"/>
      <c r="U65" s="388"/>
      <c r="V65" s="388"/>
      <c r="W65" s="388"/>
      <c r="X65" s="388"/>
      <c r="Y65" s="388"/>
      <c r="Z65" s="388"/>
      <c r="AA65" s="389"/>
      <c r="AB65" s="389"/>
      <c r="AC65" s="389"/>
      <c r="AD65" s="389"/>
      <c r="AE65" s="389"/>
    </row>
    <row r="66" spans="2:31" ht="15.5" hidden="1" x14ac:dyDescent="0.35">
      <c r="B66" s="1144"/>
      <c r="C66" s="1129"/>
      <c r="D66" s="1129"/>
      <c r="E66" s="1129"/>
      <c r="F66" s="1130"/>
      <c r="G66" s="1152"/>
      <c r="H66" s="1153"/>
      <c r="I66" s="1153"/>
      <c r="J66" s="1153"/>
      <c r="K66" s="1153"/>
      <c r="L66" s="1153"/>
      <c r="M66" s="1153"/>
      <c r="N66" s="1154"/>
      <c r="O66" s="1133"/>
      <c r="P66" s="1129"/>
      <c r="Q66" s="1129"/>
      <c r="R66" s="1129"/>
      <c r="S66" s="1129"/>
      <c r="T66" s="1167"/>
      <c r="U66" s="388"/>
      <c r="V66" s="388"/>
      <c r="W66" s="388"/>
      <c r="X66" s="388"/>
      <c r="Y66" s="388"/>
      <c r="Z66" s="388"/>
      <c r="AA66" s="389"/>
      <c r="AB66" s="389"/>
      <c r="AC66" s="389"/>
      <c r="AD66" s="389"/>
      <c r="AE66" s="389"/>
    </row>
    <row r="67" spans="2:31" ht="15.5" hidden="1" x14ac:dyDescent="0.35">
      <c r="B67" s="1144"/>
      <c r="C67" s="1129"/>
      <c r="D67" s="1129"/>
      <c r="E67" s="1129"/>
      <c r="F67" s="1130"/>
      <c r="G67" s="1152"/>
      <c r="H67" s="1153"/>
      <c r="I67" s="1153"/>
      <c r="J67" s="1153"/>
      <c r="K67" s="1153"/>
      <c r="L67" s="1153"/>
      <c r="M67" s="1153"/>
      <c r="N67" s="1154"/>
      <c r="O67" s="1133"/>
      <c r="P67" s="1129"/>
      <c r="Q67" s="1129"/>
      <c r="R67" s="1129"/>
      <c r="S67" s="1129"/>
      <c r="T67" s="1167"/>
      <c r="U67" s="388"/>
      <c r="V67" s="388"/>
      <c r="W67" s="388"/>
      <c r="X67" s="388"/>
      <c r="Y67" s="388"/>
      <c r="Z67" s="388"/>
      <c r="AA67" s="389"/>
      <c r="AB67" s="389"/>
      <c r="AC67" s="389"/>
      <c r="AD67" s="389"/>
      <c r="AE67" s="389"/>
    </row>
    <row r="68" spans="2:31" ht="15.5" hidden="1" x14ac:dyDescent="0.35">
      <c r="B68" s="1145"/>
      <c r="C68" s="1108"/>
      <c r="D68" s="1108"/>
      <c r="E68" s="1108"/>
      <c r="F68" s="1109"/>
      <c r="G68" s="1155"/>
      <c r="H68" s="1156"/>
      <c r="I68" s="1156"/>
      <c r="J68" s="1156"/>
      <c r="K68" s="1156"/>
      <c r="L68" s="1156"/>
      <c r="M68" s="1156"/>
      <c r="N68" s="1157"/>
      <c r="O68" s="1133"/>
      <c r="P68" s="1129"/>
      <c r="Q68" s="1129"/>
      <c r="R68" s="1129"/>
      <c r="S68" s="1129"/>
      <c r="T68" s="1167"/>
      <c r="U68" s="388"/>
      <c r="V68" s="388"/>
      <c r="W68" s="388"/>
      <c r="X68" s="388"/>
      <c r="Y68" s="388"/>
      <c r="Z68" s="388"/>
      <c r="AA68" s="389"/>
      <c r="AB68" s="389"/>
      <c r="AC68" s="389"/>
      <c r="AD68" s="389"/>
      <c r="AE68" s="389"/>
    </row>
    <row r="69" spans="2:31" ht="33.75" hidden="1" customHeight="1" x14ac:dyDescent="0.35">
      <c r="B69" s="1090" t="s">
        <v>573</v>
      </c>
      <c r="C69" s="1076"/>
      <c r="D69" s="1076"/>
      <c r="E69" s="1076"/>
      <c r="F69" s="1039"/>
      <c r="G69" s="1089"/>
      <c r="H69" s="1148"/>
      <c r="I69" s="1148"/>
      <c r="J69" s="1148"/>
      <c r="K69" s="1148"/>
      <c r="L69" s="1148"/>
      <c r="M69" s="1148"/>
      <c r="N69" s="1149"/>
      <c r="O69" s="1133"/>
      <c r="P69" s="1129"/>
      <c r="Q69" s="1129"/>
      <c r="R69" s="1129"/>
      <c r="S69" s="1129"/>
      <c r="T69" s="1167"/>
      <c r="U69" s="388"/>
      <c r="V69" s="388"/>
      <c r="W69" s="388"/>
      <c r="X69" s="388"/>
      <c r="Y69" s="388"/>
      <c r="Z69" s="388"/>
      <c r="AA69" s="389"/>
      <c r="AB69" s="389"/>
      <c r="AC69" s="389"/>
      <c r="AD69" s="389"/>
      <c r="AE69" s="389"/>
    </row>
    <row r="70" spans="2:31" ht="27" hidden="1" customHeight="1" x14ac:dyDescent="0.35">
      <c r="B70" s="1090" t="s">
        <v>574</v>
      </c>
      <c r="C70" s="1076"/>
      <c r="D70" s="1076"/>
      <c r="E70" s="1076"/>
      <c r="F70" s="1039"/>
      <c r="G70" s="1089"/>
      <c r="H70" s="1148"/>
      <c r="I70" s="1148"/>
      <c r="J70" s="1148"/>
      <c r="K70" s="1148"/>
      <c r="L70" s="1148"/>
      <c r="M70" s="1148"/>
      <c r="N70" s="1149"/>
      <c r="O70" s="1133"/>
      <c r="P70" s="1129"/>
      <c r="Q70" s="1129"/>
      <c r="R70" s="1129"/>
      <c r="S70" s="1129"/>
      <c r="T70" s="1167"/>
      <c r="U70" s="388"/>
      <c r="V70" s="388"/>
      <c r="W70" s="388"/>
      <c r="X70" s="388"/>
      <c r="Y70" s="388"/>
      <c r="Z70" s="388"/>
      <c r="AA70" s="389"/>
      <c r="AB70" s="389"/>
      <c r="AC70" s="389"/>
      <c r="AD70" s="389"/>
      <c r="AE70" s="389"/>
    </row>
    <row r="71" spans="2:31" ht="64.5" hidden="1" customHeight="1" x14ac:dyDescent="0.35">
      <c r="B71" s="1090" t="s">
        <v>575</v>
      </c>
      <c r="C71" s="1076"/>
      <c r="D71" s="1076"/>
      <c r="E71" s="1076"/>
      <c r="F71" s="1039"/>
      <c r="G71" s="1089"/>
      <c r="H71" s="1148"/>
      <c r="I71" s="1148"/>
      <c r="J71" s="1148"/>
      <c r="K71" s="1148"/>
      <c r="L71" s="1148"/>
      <c r="M71" s="1148"/>
      <c r="N71" s="1149"/>
      <c r="O71" s="1133"/>
      <c r="P71" s="1129"/>
      <c r="Q71" s="1129"/>
      <c r="R71" s="1129"/>
      <c r="S71" s="1129"/>
      <c r="T71" s="1167"/>
      <c r="U71" s="388"/>
      <c r="V71" s="388"/>
      <c r="W71" s="388"/>
      <c r="X71" s="388"/>
      <c r="Y71" s="388"/>
      <c r="Z71" s="388"/>
      <c r="AA71" s="389"/>
      <c r="AB71" s="389"/>
      <c r="AC71" s="389"/>
      <c r="AD71" s="389"/>
      <c r="AE71" s="389"/>
    </row>
    <row r="72" spans="2:31" ht="27" hidden="1" customHeight="1" x14ac:dyDescent="0.35">
      <c r="B72" s="1090" t="s">
        <v>576</v>
      </c>
      <c r="C72" s="1076"/>
      <c r="D72" s="1076"/>
      <c r="E72" s="1076"/>
      <c r="F72" s="1039"/>
      <c r="G72" s="1089"/>
      <c r="H72" s="1148"/>
      <c r="I72" s="1148"/>
      <c r="J72" s="1148"/>
      <c r="K72" s="1148"/>
      <c r="L72" s="1148"/>
      <c r="M72" s="1148"/>
      <c r="N72" s="1149"/>
      <c r="O72" s="1133"/>
      <c r="P72" s="1129"/>
      <c r="Q72" s="1129"/>
      <c r="R72" s="1129"/>
      <c r="S72" s="1129"/>
      <c r="T72" s="1167"/>
      <c r="U72" s="388"/>
      <c r="V72" s="388"/>
      <c r="W72" s="388"/>
      <c r="X72" s="388"/>
      <c r="Y72" s="388"/>
      <c r="Z72" s="388"/>
      <c r="AA72" s="389"/>
      <c r="AB72" s="389"/>
      <c r="AC72" s="389"/>
      <c r="AD72" s="389"/>
      <c r="AE72" s="389"/>
    </row>
    <row r="73" spans="2:31" ht="27" hidden="1" customHeight="1" x14ac:dyDescent="0.35">
      <c r="B73" s="1090" t="s">
        <v>577</v>
      </c>
      <c r="C73" s="1076"/>
      <c r="D73" s="1076"/>
      <c r="E73" s="1076"/>
      <c r="F73" s="1039"/>
      <c r="G73" s="1089"/>
      <c r="H73" s="1148"/>
      <c r="I73" s="1148"/>
      <c r="J73" s="1148"/>
      <c r="K73" s="1148"/>
      <c r="L73" s="1148"/>
      <c r="M73" s="1148"/>
      <c r="N73" s="1149"/>
      <c r="O73" s="1133"/>
      <c r="P73" s="1129"/>
      <c r="Q73" s="1129"/>
      <c r="R73" s="1129"/>
      <c r="S73" s="1129"/>
      <c r="T73" s="1167"/>
      <c r="U73" s="388"/>
      <c r="V73" s="388"/>
      <c r="W73" s="388"/>
      <c r="X73" s="388"/>
      <c r="Y73" s="388"/>
      <c r="Z73" s="388"/>
      <c r="AA73" s="389"/>
      <c r="AB73" s="389"/>
      <c r="AC73" s="389"/>
      <c r="AD73" s="389"/>
      <c r="AE73" s="389"/>
    </row>
    <row r="74" spans="2:31" ht="27" hidden="1" customHeight="1" x14ac:dyDescent="0.35">
      <c r="B74" s="1091" t="s">
        <v>578</v>
      </c>
      <c r="C74" s="1092"/>
      <c r="D74" s="1092"/>
      <c r="E74" s="1093"/>
      <c r="F74" s="1094"/>
      <c r="G74" s="1095" t="s">
        <v>579</v>
      </c>
      <c r="H74" s="1095"/>
      <c r="I74" s="1095"/>
      <c r="J74" s="1095"/>
      <c r="K74" s="1093"/>
      <c r="L74" s="1096"/>
      <c r="M74" s="1096"/>
      <c r="N74" s="1097"/>
      <c r="O74" s="1133"/>
      <c r="P74" s="1129"/>
      <c r="Q74" s="1129"/>
      <c r="R74" s="1129"/>
      <c r="S74" s="1129"/>
      <c r="T74" s="1167"/>
      <c r="U74" s="388"/>
      <c r="V74" s="388"/>
      <c r="W74" s="388"/>
      <c r="X74" s="388"/>
      <c r="Y74" s="388"/>
      <c r="Z74" s="388"/>
      <c r="AA74" s="389"/>
      <c r="AB74" s="389"/>
      <c r="AC74" s="389"/>
      <c r="AD74" s="389"/>
      <c r="AE74" s="389"/>
    </row>
    <row r="75" spans="2:31" ht="27" hidden="1" customHeight="1" thickBot="1" x14ac:dyDescent="0.4">
      <c r="B75" s="1146" t="s">
        <v>580</v>
      </c>
      <c r="C75" s="1062"/>
      <c r="D75" s="1062"/>
      <c r="E75" s="1062"/>
      <c r="F75" s="1063"/>
      <c r="G75" s="1147"/>
      <c r="H75" s="1158"/>
      <c r="I75" s="1158"/>
      <c r="J75" s="1158"/>
      <c r="K75" s="1158"/>
      <c r="L75" s="1158"/>
      <c r="M75" s="1158"/>
      <c r="N75" s="1159"/>
      <c r="O75" s="1168"/>
      <c r="P75" s="1169"/>
      <c r="Q75" s="1169"/>
      <c r="R75" s="1169"/>
      <c r="S75" s="1169"/>
      <c r="T75" s="1170"/>
      <c r="U75" s="388"/>
      <c r="V75" s="388"/>
      <c r="W75" s="388"/>
      <c r="X75" s="388"/>
      <c r="Y75" s="388"/>
      <c r="Z75" s="388"/>
      <c r="AA75" s="389"/>
      <c r="AB75" s="389"/>
      <c r="AC75" s="389"/>
      <c r="AD75" s="389"/>
      <c r="AE75" s="389"/>
    </row>
    <row r="76" spans="2:31" ht="15" hidden="1" customHeight="1" x14ac:dyDescent="0.35">
      <c r="B76" s="388"/>
      <c r="C76" s="388"/>
      <c r="D76" s="388"/>
      <c r="E76" s="388"/>
      <c r="F76" s="388"/>
      <c r="G76" s="388"/>
      <c r="H76" s="388"/>
      <c r="I76" s="388"/>
      <c r="J76" s="388"/>
      <c r="K76" s="388"/>
      <c r="L76" s="388"/>
      <c r="M76" s="388"/>
      <c r="N76" s="388"/>
      <c r="O76" s="388"/>
      <c r="P76" s="388"/>
      <c r="Q76" s="388"/>
      <c r="R76" s="388"/>
      <c r="S76" s="388"/>
      <c r="T76" s="388"/>
      <c r="U76" s="388"/>
      <c r="V76" s="388"/>
      <c r="W76" s="388"/>
      <c r="X76" s="388"/>
      <c r="Y76" s="388"/>
      <c r="Z76" s="388"/>
      <c r="AA76" s="389"/>
      <c r="AB76" s="389"/>
      <c r="AC76" s="389"/>
      <c r="AD76" s="389"/>
      <c r="AE76" s="389"/>
    </row>
    <row r="77" spans="2:31" ht="15" customHeight="1" x14ac:dyDescent="0.35">
      <c r="B77" s="388"/>
      <c r="C77" s="388"/>
      <c r="D77" s="388"/>
      <c r="E77" s="388"/>
      <c r="F77" s="388"/>
      <c r="G77" s="388"/>
      <c r="H77" s="388"/>
      <c r="I77" s="388"/>
      <c r="J77" s="388"/>
      <c r="K77" s="388"/>
      <c r="L77" s="388"/>
      <c r="M77" s="388"/>
      <c r="N77" s="388"/>
      <c r="O77" s="388"/>
      <c r="P77" s="388"/>
      <c r="Q77" s="388"/>
      <c r="R77" s="388"/>
      <c r="S77" s="388"/>
      <c r="T77" s="388"/>
      <c r="U77" s="388"/>
      <c r="V77" s="388"/>
      <c r="W77" s="388"/>
      <c r="X77" s="388"/>
      <c r="Y77" s="388"/>
      <c r="Z77" s="388"/>
      <c r="AA77" s="389"/>
      <c r="AB77" s="389"/>
      <c r="AC77" s="389"/>
      <c r="AD77" s="389"/>
      <c r="AE77" s="389"/>
    </row>
    <row r="78" spans="2:31" ht="24" customHeight="1" x14ac:dyDescent="0.35">
      <c r="B78" s="1067" t="s">
        <v>585</v>
      </c>
      <c r="C78" s="1067"/>
      <c r="D78" s="1067"/>
      <c r="E78" s="1067"/>
      <c r="F78" s="1067"/>
      <c r="G78" s="1067"/>
      <c r="H78" s="1067"/>
      <c r="I78" s="1067"/>
      <c r="J78" s="1067"/>
      <c r="K78" s="1067"/>
      <c r="L78" s="1067"/>
      <c r="M78" s="1067"/>
      <c r="N78" s="1067"/>
      <c r="O78" s="1067"/>
      <c r="P78" s="1067"/>
      <c r="Q78" s="1067"/>
      <c r="R78" s="1067"/>
      <c r="S78" s="1067"/>
      <c r="T78" s="1067"/>
      <c r="U78" s="392"/>
      <c r="V78" s="392"/>
      <c r="W78" s="392"/>
      <c r="X78" s="392"/>
      <c r="Y78" s="392"/>
      <c r="Z78" s="392"/>
      <c r="AA78" s="393"/>
      <c r="AB78" s="393"/>
      <c r="AC78" s="393"/>
      <c r="AD78" s="393"/>
      <c r="AE78" s="393"/>
    </row>
    <row r="79" spans="2:31" ht="15" customHeight="1" thickBot="1" x14ac:dyDescent="0.4">
      <c r="B79" s="388"/>
      <c r="C79" s="388"/>
      <c r="D79" s="388"/>
      <c r="E79" s="388"/>
      <c r="F79" s="388"/>
      <c r="G79" s="388"/>
      <c r="H79" s="388"/>
      <c r="I79" s="388"/>
      <c r="J79" s="388"/>
      <c r="K79" s="388"/>
      <c r="L79" s="388"/>
      <c r="M79" s="388"/>
      <c r="N79" s="388"/>
      <c r="O79" s="388"/>
      <c r="P79" s="388"/>
      <c r="Q79" s="388"/>
      <c r="R79" s="388"/>
      <c r="S79" s="388"/>
      <c r="T79" s="388"/>
      <c r="U79" s="388"/>
      <c r="V79" s="388"/>
      <c r="W79" s="388"/>
      <c r="X79" s="388"/>
      <c r="Y79" s="388"/>
      <c r="Z79" s="388"/>
      <c r="AA79" s="389"/>
      <c r="AB79" s="389"/>
      <c r="AC79" s="389"/>
      <c r="AD79" s="389"/>
      <c r="AE79" s="389"/>
    </row>
    <row r="80" spans="2:31" ht="24" customHeight="1" thickBot="1" x14ac:dyDescent="0.4">
      <c r="B80" s="1135" t="s">
        <v>586</v>
      </c>
      <c r="C80" s="1160"/>
      <c r="D80" s="1160"/>
      <c r="E80" s="1160"/>
      <c r="F80" s="1160"/>
      <c r="G80" s="1160"/>
      <c r="H80" s="1160"/>
      <c r="I80" s="1160"/>
      <c r="J80" s="1160"/>
      <c r="K80" s="1160"/>
      <c r="L80" s="1160"/>
      <c r="M80" s="1160"/>
      <c r="N80" s="1160"/>
      <c r="O80" s="1160"/>
      <c r="P80" s="1160"/>
      <c r="Q80" s="1160"/>
      <c r="R80" s="1160"/>
      <c r="S80" s="1160"/>
      <c r="T80" s="1161"/>
      <c r="U80" s="388"/>
      <c r="V80" s="388"/>
      <c r="W80" s="388"/>
      <c r="X80" s="388"/>
      <c r="Y80" s="388"/>
      <c r="Z80" s="388"/>
      <c r="AA80" s="389"/>
      <c r="AB80" s="389"/>
      <c r="AC80" s="389"/>
      <c r="AD80" s="389"/>
      <c r="AE80" s="389"/>
    </row>
    <row r="81" spans="2:31" ht="15.5" x14ac:dyDescent="0.35">
      <c r="B81" s="1136"/>
      <c r="C81" s="1162"/>
      <c r="D81" s="1162"/>
      <c r="E81" s="1162"/>
      <c r="F81" s="1162"/>
      <c r="G81" s="1162"/>
      <c r="H81" s="1162"/>
      <c r="I81" s="1162"/>
      <c r="J81" s="1162"/>
      <c r="K81" s="1162"/>
      <c r="L81" s="1162"/>
      <c r="M81" s="1162"/>
      <c r="N81" s="1162"/>
      <c r="O81" s="1162"/>
      <c r="P81" s="1162"/>
      <c r="Q81" s="1162"/>
      <c r="R81" s="1162"/>
      <c r="S81" s="1162"/>
      <c r="T81" s="1163"/>
      <c r="U81" s="388"/>
      <c r="V81" s="388"/>
      <c r="W81" s="388"/>
      <c r="X81" s="388"/>
      <c r="Y81" s="388"/>
      <c r="Z81" s="388"/>
      <c r="AA81" s="389"/>
      <c r="AB81" s="389"/>
      <c r="AC81" s="389"/>
      <c r="AD81" s="389"/>
      <c r="AE81" s="389"/>
    </row>
    <row r="82" spans="2:31" ht="27" customHeight="1" x14ac:dyDescent="0.35">
      <c r="B82" s="1090" t="s">
        <v>587</v>
      </c>
      <c r="C82" s="1207"/>
      <c r="D82" s="1207"/>
      <c r="E82" s="1207"/>
      <c r="F82" s="1208"/>
      <c r="G82" s="1209" t="str">
        <f>'Estudio de Mercados'!$B$220</f>
        <v>Gestión integral de Cartera y Cobranza</v>
      </c>
      <c r="H82" s="1210"/>
      <c r="I82" s="1210"/>
      <c r="J82" s="1210"/>
      <c r="K82" s="1210"/>
      <c r="L82" s="1210"/>
      <c r="M82" s="1210"/>
      <c r="N82" s="1211"/>
      <c r="O82" s="1080" t="e" vm="1">
        <v>#VALUE!</v>
      </c>
      <c r="P82" s="1081"/>
      <c r="Q82" s="1081"/>
      <c r="R82" s="1081"/>
      <c r="S82" s="1081"/>
      <c r="T82" s="1138"/>
      <c r="U82" s="388"/>
      <c r="V82" s="388"/>
      <c r="W82" s="388"/>
      <c r="X82" s="388"/>
      <c r="Y82" s="388"/>
      <c r="Z82" s="388"/>
      <c r="AA82" s="389"/>
      <c r="AB82" s="389"/>
      <c r="AC82" s="389"/>
      <c r="AD82" s="389"/>
      <c r="AE82" s="389"/>
    </row>
    <row r="83" spans="2:31" ht="27" customHeight="1" x14ac:dyDescent="0.35">
      <c r="B83" s="1090" t="s">
        <v>571</v>
      </c>
      <c r="C83" s="1207"/>
      <c r="D83" s="1207"/>
      <c r="E83" s="1207"/>
      <c r="F83" s="1208"/>
      <c r="G83" s="1198" t="s">
        <v>725</v>
      </c>
      <c r="H83" s="1199"/>
      <c r="I83" s="1199"/>
      <c r="J83" s="1199"/>
      <c r="K83" s="1199"/>
      <c r="L83" s="1199"/>
      <c r="M83" s="1199"/>
      <c r="N83" s="1200"/>
      <c r="O83" s="1083"/>
      <c r="P83" s="1084"/>
      <c r="Q83" s="1084"/>
      <c r="R83" s="1084"/>
      <c r="S83" s="1084"/>
      <c r="T83" s="1139"/>
      <c r="U83" s="388"/>
      <c r="V83" s="388"/>
      <c r="W83" s="388"/>
      <c r="X83" s="388"/>
      <c r="Y83" s="388"/>
      <c r="Z83" s="388"/>
      <c r="AA83" s="389"/>
      <c r="AB83" s="389"/>
      <c r="AC83" s="389"/>
      <c r="AD83" s="389"/>
      <c r="AE83" s="389"/>
    </row>
    <row r="84" spans="2:31" ht="15.5" x14ac:dyDescent="0.35">
      <c r="B84" s="1143" t="s">
        <v>589</v>
      </c>
      <c r="C84" s="1181"/>
      <c r="D84" s="1181"/>
      <c r="E84" s="1181"/>
      <c r="F84" s="1182"/>
      <c r="G84" s="1189" t="s">
        <v>726</v>
      </c>
      <c r="H84" s="1190"/>
      <c r="I84" s="1190"/>
      <c r="J84" s="1190"/>
      <c r="K84" s="1190"/>
      <c r="L84" s="1190"/>
      <c r="M84" s="1190"/>
      <c r="N84" s="1191"/>
      <c r="O84" s="1083"/>
      <c r="P84" s="1084"/>
      <c r="Q84" s="1084"/>
      <c r="R84" s="1084"/>
      <c r="S84" s="1084"/>
      <c r="T84" s="1139"/>
      <c r="U84" s="388"/>
      <c r="V84" s="388"/>
      <c r="W84" s="388"/>
      <c r="X84" s="388"/>
      <c r="Y84" s="388"/>
      <c r="Z84" s="388"/>
      <c r="AA84" s="389"/>
      <c r="AB84" s="389"/>
      <c r="AC84" s="389"/>
      <c r="AD84" s="389"/>
      <c r="AE84" s="389"/>
    </row>
    <row r="85" spans="2:31" ht="15.5" x14ac:dyDescent="0.35">
      <c r="B85" s="1183"/>
      <c r="C85" s="1184"/>
      <c r="D85" s="1184"/>
      <c r="E85" s="1184"/>
      <c r="F85" s="1185"/>
      <c r="G85" s="1192"/>
      <c r="H85" s="1193"/>
      <c r="I85" s="1193"/>
      <c r="J85" s="1193"/>
      <c r="K85" s="1193"/>
      <c r="L85" s="1193"/>
      <c r="M85" s="1193"/>
      <c r="N85" s="1194"/>
      <c r="O85" s="1083"/>
      <c r="P85" s="1084"/>
      <c r="Q85" s="1084"/>
      <c r="R85" s="1084"/>
      <c r="S85" s="1084"/>
      <c r="T85" s="1139"/>
      <c r="U85" s="388"/>
      <c r="V85" s="388"/>
      <c r="W85" s="388"/>
      <c r="X85" s="388"/>
      <c r="Y85" s="388"/>
      <c r="Z85" s="388"/>
      <c r="AA85" s="389"/>
      <c r="AB85" s="389"/>
      <c r="AC85" s="389"/>
      <c r="AD85" s="389"/>
      <c r="AE85" s="389"/>
    </row>
    <row r="86" spans="2:31" ht="15.5" x14ac:dyDescent="0.35">
      <c r="B86" s="1183"/>
      <c r="C86" s="1184"/>
      <c r="D86" s="1184"/>
      <c r="E86" s="1184"/>
      <c r="F86" s="1185"/>
      <c r="G86" s="1192"/>
      <c r="H86" s="1193"/>
      <c r="I86" s="1193"/>
      <c r="J86" s="1193"/>
      <c r="K86" s="1193"/>
      <c r="L86" s="1193"/>
      <c r="M86" s="1193"/>
      <c r="N86" s="1194"/>
      <c r="O86" s="1083"/>
      <c r="P86" s="1084"/>
      <c r="Q86" s="1084"/>
      <c r="R86" s="1084"/>
      <c r="S86" s="1084"/>
      <c r="T86" s="1139"/>
      <c r="U86" s="388"/>
      <c r="V86" s="388"/>
      <c r="W86" s="388"/>
      <c r="X86" s="388"/>
      <c r="Y86" s="388"/>
      <c r="Z86" s="388"/>
      <c r="AA86" s="389"/>
      <c r="AB86" s="389"/>
      <c r="AC86" s="389"/>
      <c r="AD86" s="389"/>
      <c r="AE86" s="389"/>
    </row>
    <row r="87" spans="2:31" ht="15.5" x14ac:dyDescent="0.35">
      <c r="B87" s="1186"/>
      <c r="C87" s="1187"/>
      <c r="D87" s="1187"/>
      <c r="E87" s="1187"/>
      <c r="F87" s="1188"/>
      <c r="G87" s="1195"/>
      <c r="H87" s="1196"/>
      <c r="I87" s="1196"/>
      <c r="J87" s="1196"/>
      <c r="K87" s="1196"/>
      <c r="L87" s="1196"/>
      <c r="M87" s="1196"/>
      <c r="N87" s="1197"/>
      <c r="O87" s="1083"/>
      <c r="P87" s="1084"/>
      <c r="Q87" s="1084"/>
      <c r="R87" s="1084"/>
      <c r="S87" s="1084"/>
      <c r="T87" s="1139"/>
      <c r="U87" s="388"/>
      <c r="V87" s="388"/>
      <c r="W87" s="388"/>
      <c r="X87" s="388"/>
      <c r="Y87" s="388"/>
      <c r="Z87" s="388"/>
      <c r="AA87" s="389"/>
      <c r="AB87" s="389"/>
      <c r="AC87" s="389"/>
      <c r="AD87" s="389"/>
      <c r="AE87" s="389"/>
    </row>
    <row r="88" spans="2:31" ht="22.5" customHeight="1" x14ac:dyDescent="0.35">
      <c r="B88" s="1143" t="s">
        <v>590</v>
      </c>
      <c r="C88" s="1181"/>
      <c r="D88" s="1181"/>
      <c r="E88" s="1181"/>
      <c r="F88" s="1182"/>
      <c r="G88" s="1198" t="s">
        <v>727</v>
      </c>
      <c r="H88" s="1199"/>
      <c r="I88" s="1199"/>
      <c r="J88" s="1199"/>
      <c r="K88" s="1199"/>
      <c r="L88" s="1199"/>
      <c r="M88" s="1199"/>
      <c r="N88" s="1200"/>
      <c r="O88" s="1083"/>
      <c r="P88" s="1084"/>
      <c r="Q88" s="1084"/>
      <c r="R88" s="1084"/>
      <c r="S88" s="1084"/>
      <c r="T88" s="1139"/>
      <c r="U88" s="388"/>
      <c r="V88" s="388"/>
      <c r="W88" s="388"/>
      <c r="X88" s="388"/>
      <c r="Y88" s="388"/>
      <c r="Z88" s="388"/>
      <c r="AA88" s="389"/>
      <c r="AB88" s="389"/>
      <c r="AC88" s="389"/>
      <c r="AD88" s="389"/>
      <c r="AE88" s="389"/>
    </row>
    <row r="89" spans="2:31" ht="22.5" customHeight="1" x14ac:dyDescent="0.35">
      <c r="B89" s="1186"/>
      <c r="C89" s="1187"/>
      <c r="D89" s="1187"/>
      <c r="E89" s="1187"/>
      <c r="F89" s="1188"/>
      <c r="G89" s="1198" t="s">
        <v>729</v>
      </c>
      <c r="H89" s="1199"/>
      <c r="I89" s="1199"/>
      <c r="J89" s="1199"/>
      <c r="K89" s="1199"/>
      <c r="L89" s="1199"/>
      <c r="M89" s="1199"/>
      <c r="N89" s="1200"/>
      <c r="O89" s="1083"/>
      <c r="P89" s="1084"/>
      <c r="Q89" s="1084"/>
      <c r="R89" s="1084"/>
      <c r="S89" s="1084"/>
      <c r="T89" s="1139"/>
      <c r="U89" s="388"/>
      <c r="V89" s="388"/>
      <c r="W89" s="388"/>
      <c r="X89" s="388"/>
      <c r="Y89" s="388"/>
      <c r="Z89" s="388"/>
      <c r="AA89" s="389"/>
      <c r="AB89" s="389"/>
      <c r="AC89" s="389"/>
      <c r="AD89" s="389"/>
      <c r="AE89" s="389"/>
    </row>
    <row r="90" spans="2:31" ht="128" customHeight="1" x14ac:dyDescent="0.35">
      <c r="B90" s="1143" t="s">
        <v>593</v>
      </c>
      <c r="C90" s="1181"/>
      <c r="D90" s="1181"/>
      <c r="E90" s="1181"/>
      <c r="F90" s="1182"/>
      <c r="G90" s="1201" t="s">
        <v>761</v>
      </c>
      <c r="H90" s="1202"/>
      <c r="I90" s="1202"/>
      <c r="J90" s="1202"/>
      <c r="K90" s="1202"/>
      <c r="L90" s="1202"/>
      <c r="M90" s="1202"/>
      <c r="N90" s="1203"/>
      <c r="O90" s="1083"/>
      <c r="P90" s="1084"/>
      <c r="Q90" s="1084"/>
      <c r="R90" s="1084"/>
      <c r="S90" s="1084"/>
      <c r="T90" s="1139"/>
      <c r="U90" s="388"/>
      <c r="V90" s="388"/>
      <c r="W90" s="388"/>
      <c r="X90" s="388"/>
      <c r="Y90" s="388"/>
      <c r="Z90" s="388"/>
      <c r="AA90" s="389"/>
      <c r="AB90" s="389"/>
      <c r="AC90" s="389"/>
      <c r="AD90" s="389"/>
      <c r="AE90" s="389"/>
    </row>
    <row r="91" spans="2:31" ht="128" customHeight="1" x14ac:dyDescent="0.35">
      <c r="B91" s="1186"/>
      <c r="C91" s="1187"/>
      <c r="D91" s="1187"/>
      <c r="E91" s="1187"/>
      <c r="F91" s="1188"/>
      <c r="G91" s="1204"/>
      <c r="H91" s="1205"/>
      <c r="I91" s="1205"/>
      <c r="J91" s="1205"/>
      <c r="K91" s="1205"/>
      <c r="L91" s="1205"/>
      <c r="M91" s="1205"/>
      <c r="N91" s="1206"/>
      <c r="O91" s="1083"/>
      <c r="P91" s="1084"/>
      <c r="Q91" s="1084"/>
      <c r="R91" s="1084"/>
      <c r="S91" s="1084"/>
      <c r="T91" s="1139"/>
      <c r="U91" s="388"/>
      <c r="V91" s="388"/>
      <c r="W91" s="388"/>
      <c r="X91" s="388"/>
      <c r="Y91" s="388"/>
      <c r="Z91" s="388"/>
      <c r="AA91" s="389"/>
      <c r="AB91" s="389"/>
      <c r="AC91" s="389"/>
      <c r="AD91" s="389"/>
      <c r="AE91" s="389"/>
    </row>
    <row r="92" spans="2:31" ht="42.5" customHeight="1" x14ac:dyDescent="0.35">
      <c r="B92" s="1090" t="s">
        <v>594</v>
      </c>
      <c r="C92" s="1076"/>
      <c r="D92" s="1076"/>
      <c r="E92" s="1076"/>
      <c r="F92" s="1039"/>
      <c r="G92" s="1171" t="s">
        <v>1167</v>
      </c>
      <c r="H92" s="1172"/>
      <c r="I92" s="1172"/>
      <c r="J92" s="1172"/>
      <c r="K92" s="1172"/>
      <c r="L92" s="1172"/>
      <c r="M92" s="1172"/>
      <c r="N92" s="1173"/>
      <c r="O92" s="1083"/>
      <c r="P92" s="1084"/>
      <c r="Q92" s="1084"/>
      <c r="R92" s="1084"/>
      <c r="S92" s="1084"/>
      <c r="T92" s="1139"/>
      <c r="U92" s="388"/>
      <c r="V92" s="388"/>
      <c r="W92" s="388"/>
      <c r="X92" s="388"/>
      <c r="Y92" s="388"/>
      <c r="Z92" s="388"/>
      <c r="AA92" s="389"/>
      <c r="AB92" s="389"/>
      <c r="AC92" s="389"/>
      <c r="AD92" s="389"/>
      <c r="AE92" s="389"/>
    </row>
    <row r="93" spans="2:31" ht="200.5" customHeight="1" x14ac:dyDescent="0.35">
      <c r="B93" s="1090" t="s">
        <v>595</v>
      </c>
      <c r="C93" s="1076"/>
      <c r="D93" s="1076"/>
      <c r="E93" s="1076"/>
      <c r="F93" s="1039"/>
      <c r="G93" s="1171" t="s">
        <v>1168</v>
      </c>
      <c r="H93" s="1172"/>
      <c r="I93" s="1172"/>
      <c r="J93" s="1172"/>
      <c r="K93" s="1172"/>
      <c r="L93" s="1172"/>
      <c r="M93" s="1172"/>
      <c r="N93" s="1173"/>
      <c r="O93" s="1083"/>
      <c r="P93" s="1084"/>
      <c r="Q93" s="1084"/>
      <c r="R93" s="1084"/>
      <c r="S93" s="1084"/>
      <c r="T93" s="1139"/>
      <c r="U93" s="388"/>
      <c r="V93" s="388"/>
      <c r="W93" s="388"/>
      <c r="X93" s="388"/>
      <c r="Y93" s="388"/>
      <c r="Z93" s="388"/>
      <c r="AA93" s="389"/>
      <c r="AB93" s="389"/>
      <c r="AC93" s="389"/>
      <c r="AD93" s="389"/>
      <c r="AE93" s="389"/>
    </row>
    <row r="94" spans="2:31" ht="34" customHeight="1" x14ac:dyDescent="0.35">
      <c r="B94" s="1174" t="s">
        <v>596</v>
      </c>
      <c r="C94" s="1119"/>
      <c r="D94" s="1120"/>
      <c r="E94" s="1175"/>
      <c r="F94" s="1120"/>
      <c r="G94" s="1174" t="s">
        <v>597</v>
      </c>
      <c r="H94" s="1176"/>
      <c r="I94" s="1176"/>
      <c r="J94" s="1177"/>
      <c r="K94" s="1178"/>
      <c r="L94" s="1179"/>
      <c r="M94" s="1179"/>
      <c r="N94" s="1180"/>
      <c r="O94" s="1083"/>
      <c r="P94" s="1084"/>
      <c r="Q94" s="1084"/>
      <c r="R94" s="1084"/>
      <c r="S94" s="1084"/>
      <c r="T94" s="1139"/>
      <c r="U94" s="388"/>
      <c r="V94" s="388"/>
      <c r="W94" s="388"/>
      <c r="X94" s="388"/>
      <c r="Y94" s="388"/>
      <c r="Z94" s="388"/>
      <c r="AA94" s="389"/>
      <c r="AB94" s="389"/>
      <c r="AC94" s="389"/>
      <c r="AD94" s="389"/>
      <c r="AE94" s="389"/>
    </row>
    <row r="95" spans="2:31" ht="34" customHeight="1" thickBot="1" x14ac:dyDescent="0.4">
      <c r="B95" s="1146" t="s">
        <v>580</v>
      </c>
      <c r="C95" s="1062"/>
      <c r="D95" s="1062"/>
      <c r="E95" s="1062"/>
      <c r="F95" s="1063"/>
      <c r="G95" s="1228"/>
      <c r="H95" s="1229"/>
      <c r="I95" s="1229"/>
      <c r="J95" s="1229"/>
      <c r="K95" s="1229"/>
      <c r="L95" s="1229"/>
      <c r="M95" s="1229"/>
      <c r="N95" s="1230"/>
      <c r="O95" s="1140"/>
      <c r="P95" s="1141"/>
      <c r="Q95" s="1141"/>
      <c r="R95" s="1141"/>
      <c r="S95" s="1141"/>
      <c r="T95" s="1142"/>
      <c r="U95" s="388"/>
      <c r="V95" s="388"/>
      <c r="W95" s="388"/>
      <c r="X95" s="388"/>
      <c r="Y95" s="388"/>
      <c r="Z95" s="388"/>
      <c r="AA95" s="389"/>
      <c r="AB95" s="389"/>
      <c r="AC95" s="389"/>
      <c r="AD95" s="389"/>
      <c r="AE95" s="389"/>
    </row>
    <row r="96" spans="2:31" ht="15" hidden="1" customHeight="1" x14ac:dyDescent="0.35">
      <c r="B96" s="388"/>
      <c r="C96" s="388"/>
      <c r="D96" s="388"/>
      <c r="E96" s="388"/>
      <c r="F96" s="388"/>
      <c r="G96" s="388"/>
      <c r="H96" s="388"/>
      <c r="I96" s="388"/>
      <c r="J96" s="388"/>
      <c r="K96" s="388"/>
      <c r="L96" s="388"/>
      <c r="M96" s="388"/>
      <c r="N96" s="388"/>
      <c r="O96" s="388"/>
      <c r="P96" s="388"/>
      <c r="Q96" s="388"/>
      <c r="R96" s="388"/>
      <c r="S96" s="388"/>
      <c r="T96" s="388"/>
      <c r="U96" s="388"/>
      <c r="V96" s="388"/>
      <c r="W96" s="388"/>
      <c r="X96" s="388"/>
      <c r="Y96" s="388"/>
      <c r="Z96" s="388"/>
      <c r="AA96" s="389"/>
      <c r="AB96" s="389"/>
      <c r="AC96" s="389"/>
      <c r="AD96" s="389"/>
      <c r="AE96" s="389"/>
    </row>
    <row r="97" spans="2:31" ht="24" hidden="1" customHeight="1" thickBot="1" x14ac:dyDescent="0.4">
      <c r="B97" s="1135" t="s">
        <v>598</v>
      </c>
      <c r="C97" s="1160"/>
      <c r="D97" s="1160"/>
      <c r="E97" s="1160"/>
      <c r="F97" s="1160"/>
      <c r="G97" s="1160"/>
      <c r="H97" s="1160"/>
      <c r="I97" s="1160"/>
      <c r="J97" s="1160"/>
      <c r="K97" s="1160"/>
      <c r="L97" s="1160"/>
      <c r="M97" s="1160"/>
      <c r="N97" s="1160"/>
      <c r="O97" s="1160"/>
      <c r="P97" s="1160"/>
      <c r="Q97" s="1160"/>
      <c r="R97" s="1160"/>
      <c r="S97" s="1160"/>
      <c r="T97" s="1161"/>
      <c r="U97" s="388"/>
      <c r="V97" s="388"/>
      <c r="W97" s="388"/>
      <c r="X97" s="388"/>
      <c r="Y97" s="388"/>
      <c r="Z97" s="388"/>
      <c r="AA97" s="389"/>
      <c r="AB97" s="389"/>
      <c r="AC97" s="389"/>
      <c r="AD97" s="389"/>
      <c r="AE97" s="389"/>
    </row>
    <row r="98" spans="2:31" ht="15.5" hidden="1" x14ac:dyDescent="0.35">
      <c r="B98" s="1136"/>
      <c r="C98" s="1162"/>
      <c r="D98" s="1162"/>
      <c r="E98" s="1162"/>
      <c r="F98" s="1162"/>
      <c r="G98" s="1162"/>
      <c r="H98" s="1162"/>
      <c r="I98" s="1162"/>
      <c r="J98" s="1162"/>
      <c r="K98" s="1162"/>
      <c r="L98" s="1162"/>
      <c r="M98" s="1162"/>
      <c r="N98" s="1162"/>
      <c r="O98" s="1162"/>
      <c r="P98" s="1162"/>
      <c r="Q98" s="1162"/>
      <c r="R98" s="1162"/>
      <c r="S98" s="1162"/>
      <c r="T98" s="1163"/>
      <c r="U98" s="388"/>
      <c r="V98" s="388"/>
      <c r="W98" s="388"/>
      <c r="X98" s="388"/>
      <c r="Y98" s="388"/>
      <c r="Z98" s="388"/>
      <c r="AA98" s="389"/>
      <c r="AB98" s="389"/>
      <c r="AC98" s="389"/>
      <c r="AD98" s="389"/>
      <c r="AE98" s="389"/>
    </row>
    <row r="99" spans="2:31" ht="27" hidden="1" customHeight="1" x14ac:dyDescent="0.35">
      <c r="B99" s="1231" t="s">
        <v>587</v>
      </c>
      <c r="C99" s="1076"/>
      <c r="D99" s="1076"/>
      <c r="E99" s="1076"/>
      <c r="F99" s="1039"/>
      <c r="G99" s="1077" t="str">
        <f>'Estudio de Mercados'!$B$226</f>
        <v>Escriba aquì el nombre de su producto ó servicio 2</v>
      </c>
      <c r="H99" s="1164"/>
      <c r="I99" s="1164"/>
      <c r="J99" s="1164"/>
      <c r="K99" s="1164"/>
      <c r="L99" s="1164"/>
      <c r="M99" s="1164"/>
      <c r="N99" s="1165"/>
      <c r="O99" s="1080" t="s">
        <v>588</v>
      </c>
      <c r="P99" s="1126"/>
      <c r="Q99" s="1126"/>
      <c r="R99" s="1126"/>
      <c r="S99" s="1126"/>
      <c r="T99" s="1166"/>
      <c r="U99" s="388"/>
      <c r="V99" s="388"/>
      <c r="W99" s="388"/>
      <c r="X99" s="388"/>
      <c r="Y99" s="388"/>
      <c r="Z99" s="388"/>
      <c r="AA99" s="389"/>
      <c r="AB99" s="389"/>
      <c r="AC99" s="389"/>
      <c r="AD99" s="389"/>
      <c r="AE99" s="389"/>
    </row>
    <row r="100" spans="2:31" ht="27" hidden="1" customHeight="1" x14ac:dyDescent="0.35">
      <c r="B100" s="1231" t="s">
        <v>571</v>
      </c>
      <c r="C100" s="1076"/>
      <c r="D100" s="1076"/>
      <c r="E100" s="1076"/>
      <c r="F100" s="1039"/>
      <c r="G100" s="1089"/>
      <c r="H100" s="1148"/>
      <c r="I100" s="1148"/>
      <c r="J100" s="1148"/>
      <c r="K100" s="1148"/>
      <c r="L100" s="1148"/>
      <c r="M100" s="1148"/>
      <c r="N100" s="1149"/>
      <c r="O100" s="1133"/>
      <c r="P100" s="1129"/>
      <c r="Q100" s="1129"/>
      <c r="R100" s="1129"/>
      <c r="S100" s="1129"/>
      <c r="T100" s="1167"/>
      <c r="U100" s="388"/>
      <c r="V100" s="388"/>
      <c r="W100" s="388"/>
      <c r="X100" s="388"/>
      <c r="Y100" s="388"/>
      <c r="Z100" s="388"/>
      <c r="AA100" s="389"/>
      <c r="AB100" s="389"/>
      <c r="AC100" s="389"/>
      <c r="AD100" s="389"/>
      <c r="AE100" s="389"/>
    </row>
    <row r="101" spans="2:31" ht="15.5" hidden="1" x14ac:dyDescent="0.35">
      <c r="B101" s="1218" t="s">
        <v>589</v>
      </c>
      <c r="C101" s="1126"/>
      <c r="D101" s="1126"/>
      <c r="E101" s="1126"/>
      <c r="F101" s="1127"/>
      <c r="G101" s="1132"/>
      <c r="H101" s="1150"/>
      <c r="I101" s="1150"/>
      <c r="J101" s="1150"/>
      <c r="K101" s="1150"/>
      <c r="L101" s="1150"/>
      <c r="M101" s="1150"/>
      <c r="N101" s="1151"/>
      <c r="O101" s="1133"/>
      <c r="P101" s="1129"/>
      <c r="Q101" s="1129"/>
      <c r="R101" s="1129"/>
      <c r="S101" s="1129"/>
      <c r="T101" s="1167"/>
      <c r="U101" s="388"/>
      <c r="V101" s="388"/>
      <c r="W101" s="388"/>
      <c r="X101" s="388"/>
      <c r="Y101" s="388"/>
      <c r="Z101" s="388"/>
      <c r="AA101" s="389"/>
      <c r="AB101" s="389"/>
      <c r="AC101" s="389"/>
      <c r="AD101" s="389"/>
      <c r="AE101" s="389"/>
    </row>
    <row r="102" spans="2:31" ht="15.5" hidden="1" x14ac:dyDescent="0.35">
      <c r="B102" s="1144"/>
      <c r="C102" s="1129"/>
      <c r="D102" s="1129"/>
      <c r="E102" s="1129"/>
      <c r="F102" s="1130"/>
      <c r="G102" s="1152"/>
      <c r="H102" s="1153"/>
      <c r="I102" s="1153"/>
      <c r="J102" s="1153"/>
      <c r="K102" s="1153"/>
      <c r="L102" s="1153"/>
      <c r="M102" s="1153"/>
      <c r="N102" s="1154"/>
      <c r="O102" s="1133"/>
      <c r="P102" s="1129"/>
      <c r="Q102" s="1129"/>
      <c r="R102" s="1129"/>
      <c r="S102" s="1129"/>
      <c r="T102" s="1167"/>
      <c r="U102" s="388"/>
      <c r="V102" s="388"/>
      <c r="W102" s="388"/>
      <c r="X102" s="388"/>
      <c r="Y102" s="388"/>
      <c r="Z102" s="388"/>
      <c r="AA102" s="389"/>
      <c r="AB102" s="389"/>
      <c r="AC102" s="389"/>
      <c r="AD102" s="389"/>
      <c r="AE102" s="389"/>
    </row>
    <row r="103" spans="2:31" ht="15.5" hidden="1" x14ac:dyDescent="0.35">
      <c r="B103" s="1144"/>
      <c r="C103" s="1129"/>
      <c r="D103" s="1129"/>
      <c r="E103" s="1129"/>
      <c r="F103" s="1130"/>
      <c r="G103" s="1152"/>
      <c r="H103" s="1153"/>
      <c r="I103" s="1153"/>
      <c r="J103" s="1153"/>
      <c r="K103" s="1153"/>
      <c r="L103" s="1153"/>
      <c r="M103" s="1153"/>
      <c r="N103" s="1154"/>
      <c r="O103" s="1133"/>
      <c r="P103" s="1129"/>
      <c r="Q103" s="1129"/>
      <c r="R103" s="1129"/>
      <c r="S103" s="1129"/>
      <c r="T103" s="1167"/>
      <c r="U103" s="388"/>
      <c r="V103" s="388"/>
      <c r="W103" s="388"/>
      <c r="X103" s="388"/>
      <c r="Y103" s="388"/>
      <c r="Z103" s="388"/>
      <c r="AA103" s="389"/>
      <c r="AB103" s="389"/>
      <c r="AC103" s="389"/>
      <c r="AD103" s="389"/>
      <c r="AE103" s="389"/>
    </row>
    <row r="104" spans="2:31" ht="15.5" hidden="1" x14ac:dyDescent="0.35">
      <c r="B104" s="1145"/>
      <c r="C104" s="1108"/>
      <c r="D104" s="1108"/>
      <c r="E104" s="1108"/>
      <c r="F104" s="1109"/>
      <c r="G104" s="1155"/>
      <c r="H104" s="1156"/>
      <c r="I104" s="1156"/>
      <c r="J104" s="1156"/>
      <c r="K104" s="1156"/>
      <c r="L104" s="1156"/>
      <c r="M104" s="1156"/>
      <c r="N104" s="1157"/>
      <c r="O104" s="1133"/>
      <c r="P104" s="1129"/>
      <c r="Q104" s="1129"/>
      <c r="R104" s="1129"/>
      <c r="S104" s="1129"/>
      <c r="T104" s="1167"/>
      <c r="U104" s="388"/>
      <c r="V104" s="388"/>
      <c r="W104" s="388"/>
      <c r="X104" s="388"/>
      <c r="Y104" s="388"/>
      <c r="Z104" s="388"/>
      <c r="AA104" s="389"/>
      <c r="AB104" s="389"/>
      <c r="AC104" s="389"/>
      <c r="AD104" s="389"/>
      <c r="AE104" s="389"/>
    </row>
    <row r="105" spans="2:31" ht="22.5" hidden="1" customHeight="1" x14ac:dyDescent="0.35">
      <c r="B105" s="1218" t="s">
        <v>590</v>
      </c>
      <c r="C105" s="1126"/>
      <c r="D105" s="1126"/>
      <c r="E105" s="1126"/>
      <c r="F105" s="1127"/>
      <c r="G105" s="1219" t="s">
        <v>591</v>
      </c>
      <c r="H105" s="1220"/>
      <c r="I105" s="1220"/>
      <c r="J105" s="1220"/>
      <c r="K105" s="1220"/>
      <c r="L105" s="1220"/>
      <c r="M105" s="1220"/>
      <c r="N105" s="1221"/>
      <c r="O105" s="1133"/>
      <c r="P105" s="1129"/>
      <c r="Q105" s="1129"/>
      <c r="R105" s="1129"/>
      <c r="S105" s="1129"/>
      <c r="T105" s="1167"/>
      <c r="U105" s="388"/>
      <c r="V105" s="388"/>
      <c r="W105" s="388"/>
      <c r="X105" s="388"/>
      <c r="Y105" s="388"/>
      <c r="Z105" s="388"/>
      <c r="AA105" s="389"/>
      <c r="AB105" s="389"/>
      <c r="AC105" s="389"/>
      <c r="AD105" s="389"/>
      <c r="AE105" s="389"/>
    </row>
    <row r="106" spans="2:31" ht="22.5" hidden="1" customHeight="1" x14ac:dyDescent="0.35">
      <c r="B106" s="1145"/>
      <c r="C106" s="1108"/>
      <c r="D106" s="1108"/>
      <c r="E106" s="1108"/>
      <c r="F106" s="1109"/>
      <c r="G106" s="1219" t="s">
        <v>592</v>
      </c>
      <c r="H106" s="1220"/>
      <c r="I106" s="1220"/>
      <c r="J106" s="1220"/>
      <c r="K106" s="1220"/>
      <c r="L106" s="1220"/>
      <c r="M106" s="1220"/>
      <c r="N106" s="1221"/>
      <c r="O106" s="1133"/>
      <c r="P106" s="1129"/>
      <c r="Q106" s="1129"/>
      <c r="R106" s="1129"/>
      <c r="S106" s="1129"/>
      <c r="T106" s="1167"/>
      <c r="U106" s="388"/>
      <c r="V106" s="388"/>
      <c r="W106" s="388"/>
      <c r="X106" s="388"/>
      <c r="Y106" s="388"/>
      <c r="Z106" s="388"/>
      <c r="AA106" s="389"/>
      <c r="AB106" s="389"/>
      <c r="AC106" s="389"/>
      <c r="AD106" s="389"/>
      <c r="AE106" s="389"/>
    </row>
    <row r="107" spans="2:31" ht="27" hidden="1" customHeight="1" x14ac:dyDescent="0.35">
      <c r="B107" s="1218" t="s">
        <v>593</v>
      </c>
      <c r="C107" s="1126"/>
      <c r="D107" s="1126"/>
      <c r="E107" s="1126"/>
      <c r="F107" s="1127"/>
      <c r="G107" s="1222"/>
      <c r="H107" s="1223"/>
      <c r="I107" s="1223"/>
      <c r="J107" s="1223"/>
      <c r="K107" s="1223"/>
      <c r="L107" s="1223"/>
      <c r="M107" s="1223"/>
      <c r="N107" s="1224"/>
      <c r="O107" s="1133"/>
      <c r="P107" s="1129"/>
      <c r="Q107" s="1129"/>
      <c r="R107" s="1129"/>
      <c r="S107" s="1129"/>
      <c r="T107" s="1167"/>
      <c r="U107" s="388"/>
      <c r="V107" s="388"/>
      <c r="W107" s="388"/>
      <c r="X107" s="388"/>
      <c r="Y107" s="388"/>
      <c r="Z107" s="388"/>
      <c r="AA107" s="389"/>
      <c r="AB107" s="389"/>
      <c r="AC107" s="389"/>
      <c r="AD107" s="389"/>
      <c r="AE107" s="389"/>
    </row>
    <row r="108" spans="2:31" ht="51" hidden="1" customHeight="1" x14ac:dyDescent="0.35">
      <c r="B108" s="1145"/>
      <c r="C108" s="1108"/>
      <c r="D108" s="1108"/>
      <c r="E108" s="1108"/>
      <c r="F108" s="1109"/>
      <c r="G108" s="1225"/>
      <c r="H108" s="1226"/>
      <c r="I108" s="1226"/>
      <c r="J108" s="1226"/>
      <c r="K108" s="1226"/>
      <c r="L108" s="1226"/>
      <c r="M108" s="1226"/>
      <c r="N108" s="1227"/>
      <c r="O108" s="1133"/>
      <c r="P108" s="1129"/>
      <c r="Q108" s="1129"/>
      <c r="R108" s="1129"/>
      <c r="S108" s="1129"/>
      <c r="T108" s="1167"/>
      <c r="U108" s="388"/>
      <c r="V108" s="388"/>
      <c r="W108" s="388"/>
      <c r="X108" s="388"/>
      <c r="Y108" s="388"/>
      <c r="Z108" s="388"/>
      <c r="AA108" s="389"/>
      <c r="AB108" s="389"/>
      <c r="AC108" s="389"/>
      <c r="AD108" s="389"/>
      <c r="AE108" s="389"/>
    </row>
    <row r="109" spans="2:31" ht="27" hidden="1" customHeight="1" x14ac:dyDescent="0.35">
      <c r="B109" s="1090" t="s">
        <v>594</v>
      </c>
      <c r="C109" s="1076"/>
      <c r="D109" s="1076"/>
      <c r="E109" s="1076"/>
      <c r="F109" s="1039"/>
      <c r="G109" s="1089"/>
      <c r="H109" s="1148"/>
      <c r="I109" s="1148"/>
      <c r="J109" s="1148"/>
      <c r="K109" s="1148"/>
      <c r="L109" s="1148"/>
      <c r="M109" s="1148"/>
      <c r="N109" s="1149"/>
      <c r="O109" s="1133"/>
      <c r="P109" s="1129"/>
      <c r="Q109" s="1129"/>
      <c r="R109" s="1129"/>
      <c r="S109" s="1129"/>
      <c r="T109" s="1167"/>
      <c r="U109" s="388"/>
      <c r="V109" s="388"/>
      <c r="W109" s="388"/>
      <c r="X109" s="388"/>
      <c r="Y109" s="388"/>
      <c r="Z109" s="388"/>
      <c r="AA109" s="389"/>
      <c r="AB109" s="389"/>
      <c r="AC109" s="389"/>
      <c r="AD109" s="389"/>
      <c r="AE109" s="389"/>
    </row>
    <row r="110" spans="2:31" ht="27" hidden="1" customHeight="1" x14ac:dyDescent="0.35">
      <c r="B110" s="1212" t="s">
        <v>595</v>
      </c>
      <c r="C110" s="1119"/>
      <c r="D110" s="1119"/>
      <c r="E110" s="1119"/>
      <c r="F110" s="1120"/>
      <c r="G110" s="1121"/>
      <c r="H110" s="1213"/>
      <c r="I110" s="1213"/>
      <c r="J110" s="1213"/>
      <c r="K110" s="1213"/>
      <c r="L110" s="1213"/>
      <c r="M110" s="1213"/>
      <c r="N110" s="1214"/>
      <c r="O110" s="1133"/>
      <c r="P110" s="1129"/>
      <c r="Q110" s="1129"/>
      <c r="R110" s="1129"/>
      <c r="S110" s="1129"/>
      <c r="T110" s="1167"/>
      <c r="U110" s="388"/>
      <c r="V110" s="388"/>
      <c r="W110" s="388"/>
      <c r="X110" s="388"/>
      <c r="Y110" s="388"/>
      <c r="Z110" s="388"/>
      <c r="AA110" s="389"/>
      <c r="AB110" s="389"/>
      <c r="AC110" s="389"/>
      <c r="AD110" s="389"/>
      <c r="AE110" s="389"/>
    </row>
    <row r="111" spans="2:31" ht="27" hidden="1" customHeight="1" x14ac:dyDescent="0.35">
      <c r="B111" s="1174" t="s">
        <v>596</v>
      </c>
      <c r="C111" s="1119"/>
      <c r="D111" s="1120"/>
      <c r="E111" s="1175"/>
      <c r="F111" s="1120"/>
      <c r="G111" s="1174" t="s">
        <v>597</v>
      </c>
      <c r="H111" s="1119"/>
      <c r="I111" s="1119"/>
      <c r="J111" s="1120"/>
      <c r="K111" s="1215"/>
      <c r="L111" s="1216"/>
      <c r="M111" s="1216"/>
      <c r="N111" s="1217"/>
      <c r="O111" s="1133"/>
      <c r="P111" s="1129"/>
      <c r="Q111" s="1129"/>
      <c r="R111" s="1129"/>
      <c r="S111" s="1129"/>
      <c r="T111" s="1167"/>
      <c r="U111" s="388"/>
      <c r="V111" s="388"/>
      <c r="W111" s="388"/>
      <c r="X111" s="388"/>
      <c r="Y111" s="388"/>
      <c r="Z111" s="388"/>
      <c r="AA111" s="389"/>
      <c r="AB111" s="389"/>
      <c r="AC111" s="389"/>
      <c r="AD111" s="389"/>
      <c r="AE111" s="389"/>
    </row>
    <row r="112" spans="2:31" ht="27" hidden="1" customHeight="1" thickBot="1" x14ac:dyDescent="0.4">
      <c r="B112" s="1232" t="s">
        <v>580</v>
      </c>
      <c r="C112" s="1233"/>
      <c r="D112" s="1233"/>
      <c r="E112" s="1233"/>
      <c r="F112" s="1234"/>
      <c r="G112" s="1235"/>
      <c r="H112" s="1236"/>
      <c r="I112" s="1236"/>
      <c r="J112" s="1236"/>
      <c r="K112" s="1236"/>
      <c r="L112" s="1236"/>
      <c r="M112" s="1236"/>
      <c r="N112" s="1237"/>
      <c r="O112" s="1168"/>
      <c r="P112" s="1169"/>
      <c r="Q112" s="1169"/>
      <c r="R112" s="1169"/>
      <c r="S112" s="1169"/>
      <c r="T112" s="1170"/>
      <c r="U112" s="388"/>
      <c r="V112" s="388"/>
      <c r="W112" s="388"/>
      <c r="X112" s="388"/>
      <c r="Y112" s="388"/>
      <c r="Z112" s="388"/>
      <c r="AA112" s="389"/>
      <c r="AB112" s="389"/>
      <c r="AC112" s="389"/>
      <c r="AD112" s="389"/>
      <c r="AE112" s="389"/>
    </row>
    <row r="113" spans="2:31" ht="15" hidden="1" customHeight="1" thickBot="1" x14ac:dyDescent="0.4">
      <c r="B113" s="388"/>
      <c r="C113" s="388"/>
      <c r="D113" s="388"/>
      <c r="E113" s="388"/>
      <c r="F113" s="388"/>
      <c r="G113" s="388"/>
      <c r="H113" s="388"/>
      <c r="I113" s="388"/>
      <c r="J113" s="388"/>
      <c r="K113" s="388"/>
      <c r="L113" s="388"/>
      <c r="M113" s="388"/>
      <c r="N113" s="388"/>
      <c r="O113" s="388"/>
      <c r="P113" s="388"/>
      <c r="Q113" s="388"/>
      <c r="R113" s="388"/>
      <c r="S113" s="388"/>
      <c r="T113" s="388"/>
      <c r="U113" s="388"/>
      <c r="V113" s="388"/>
      <c r="W113" s="388"/>
      <c r="X113" s="388"/>
      <c r="Y113" s="388"/>
      <c r="Z113" s="388"/>
      <c r="AA113" s="389"/>
      <c r="AB113" s="389"/>
      <c r="AC113" s="389"/>
      <c r="AD113" s="389"/>
      <c r="AE113" s="389"/>
    </row>
    <row r="114" spans="2:31" ht="24" hidden="1" customHeight="1" thickBot="1" x14ac:dyDescent="0.4">
      <c r="B114" s="1135" t="s">
        <v>599</v>
      </c>
      <c r="C114" s="1160"/>
      <c r="D114" s="1160"/>
      <c r="E114" s="1160"/>
      <c r="F114" s="1160"/>
      <c r="G114" s="1160"/>
      <c r="H114" s="1160"/>
      <c r="I114" s="1160"/>
      <c r="J114" s="1160"/>
      <c r="K114" s="1160"/>
      <c r="L114" s="1160"/>
      <c r="M114" s="1160"/>
      <c r="N114" s="1160"/>
      <c r="O114" s="1160"/>
      <c r="P114" s="1160"/>
      <c r="Q114" s="1160"/>
      <c r="R114" s="1160"/>
      <c r="S114" s="1160"/>
      <c r="T114" s="1161"/>
      <c r="U114" s="388"/>
      <c r="V114" s="388"/>
      <c r="W114" s="388"/>
      <c r="X114" s="388"/>
      <c r="Y114" s="388"/>
      <c r="Z114" s="388"/>
      <c r="AA114" s="389"/>
      <c r="AB114" s="389"/>
      <c r="AC114" s="389"/>
      <c r="AD114" s="389"/>
      <c r="AE114" s="389"/>
    </row>
    <row r="115" spans="2:31" ht="15.5" hidden="1" x14ac:dyDescent="0.35">
      <c r="B115" s="1136"/>
      <c r="C115" s="1162"/>
      <c r="D115" s="1162"/>
      <c r="E115" s="1162"/>
      <c r="F115" s="1162"/>
      <c r="G115" s="1162"/>
      <c r="H115" s="1162"/>
      <c r="I115" s="1162"/>
      <c r="J115" s="1162"/>
      <c r="K115" s="1162"/>
      <c r="L115" s="1162"/>
      <c r="M115" s="1162"/>
      <c r="N115" s="1162"/>
      <c r="O115" s="1162"/>
      <c r="P115" s="1162"/>
      <c r="Q115" s="1162"/>
      <c r="R115" s="1162"/>
      <c r="S115" s="1162"/>
      <c r="T115" s="1163"/>
      <c r="U115" s="388"/>
      <c r="V115" s="388"/>
      <c r="W115" s="388"/>
      <c r="X115" s="388"/>
      <c r="Y115" s="388"/>
      <c r="Z115" s="388"/>
      <c r="AA115" s="389"/>
      <c r="AB115" s="389"/>
      <c r="AC115" s="389"/>
      <c r="AD115" s="389"/>
      <c r="AE115" s="389"/>
    </row>
    <row r="116" spans="2:31" ht="27" hidden="1" customHeight="1" x14ac:dyDescent="0.35">
      <c r="B116" s="1231" t="s">
        <v>587</v>
      </c>
      <c r="C116" s="1076"/>
      <c r="D116" s="1076"/>
      <c r="E116" s="1076"/>
      <c r="F116" s="1039"/>
      <c r="G116" s="1077" t="str">
        <f>'Estudio de Mercados'!$B$232</f>
        <v>Escriba aquì el nombre de su producto ó servicio 3</v>
      </c>
      <c r="H116" s="1164"/>
      <c r="I116" s="1164"/>
      <c r="J116" s="1164"/>
      <c r="K116" s="1164"/>
      <c r="L116" s="1164"/>
      <c r="M116" s="1164"/>
      <c r="N116" s="1165"/>
      <c r="O116" s="1080" t="s">
        <v>588</v>
      </c>
      <c r="P116" s="1126"/>
      <c r="Q116" s="1126"/>
      <c r="R116" s="1126"/>
      <c r="S116" s="1126"/>
      <c r="T116" s="1166"/>
      <c r="U116" s="388"/>
      <c r="V116" s="388"/>
      <c r="W116" s="388"/>
      <c r="X116" s="388"/>
      <c r="Y116" s="388"/>
      <c r="Z116" s="388"/>
      <c r="AA116" s="389"/>
      <c r="AB116" s="389"/>
      <c r="AC116" s="389"/>
      <c r="AD116" s="389"/>
      <c r="AE116" s="389"/>
    </row>
    <row r="117" spans="2:31" ht="27" hidden="1" customHeight="1" x14ac:dyDescent="0.35">
      <c r="B117" s="1231" t="s">
        <v>571</v>
      </c>
      <c r="C117" s="1076"/>
      <c r="D117" s="1076"/>
      <c r="E117" s="1076"/>
      <c r="F117" s="1039"/>
      <c r="G117" s="1089"/>
      <c r="H117" s="1148"/>
      <c r="I117" s="1148"/>
      <c r="J117" s="1148"/>
      <c r="K117" s="1148"/>
      <c r="L117" s="1148"/>
      <c r="M117" s="1148"/>
      <c r="N117" s="1149"/>
      <c r="O117" s="1133"/>
      <c r="P117" s="1129"/>
      <c r="Q117" s="1129"/>
      <c r="R117" s="1129"/>
      <c r="S117" s="1129"/>
      <c r="T117" s="1167"/>
      <c r="U117" s="388"/>
      <c r="V117" s="388"/>
      <c r="W117" s="388"/>
      <c r="X117" s="388"/>
      <c r="Y117" s="388"/>
      <c r="Z117" s="388"/>
      <c r="AA117" s="389"/>
      <c r="AB117" s="389"/>
      <c r="AC117" s="389"/>
      <c r="AD117" s="389"/>
      <c r="AE117" s="389"/>
    </row>
    <row r="118" spans="2:31" ht="15.5" hidden="1" x14ac:dyDescent="0.35">
      <c r="B118" s="1218" t="s">
        <v>589</v>
      </c>
      <c r="C118" s="1126"/>
      <c r="D118" s="1126"/>
      <c r="E118" s="1126"/>
      <c r="F118" s="1127"/>
      <c r="G118" s="1132"/>
      <c r="H118" s="1150"/>
      <c r="I118" s="1150"/>
      <c r="J118" s="1150"/>
      <c r="K118" s="1150"/>
      <c r="L118" s="1150"/>
      <c r="M118" s="1150"/>
      <c r="N118" s="1151"/>
      <c r="O118" s="1133"/>
      <c r="P118" s="1129"/>
      <c r="Q118" s="1129"/>
      <c r="R118" s="1129"/>
      <c r="S118" s="1129"/>
      <c r="T118" s="1167"/>
      <c r="U118" s="388"/>
      <c r="V118" s="388"/>
      <c r="W118" s="388"/>
      <c r="X118" s="388"/>
      <c r="Y118" s="388"/>
      <c r="Z118" s="388"/>
      <c r="AA118" s="389"/>
      <c r="AB118" s="389"/>
      <c r="AC118" s="389"/>
      <c r="AD118" s="389"/>
      <c r="AE118" s="389"/>
    </row>
    <row r="119" spans="2:31" ht="15.5" hidden="1" x14ac:dyDescent="0.35">
      <c r="B119" s="1144"/>
      <c r="C119" s="1129"/>
      <c r="D119" s="1129"/>
      <c r="E119" s="1129"/>
      <c r="F119" s="1130"/>
      <c r="G119" s="1152"/>
      <c r="H119" s="1153"/>
      <c r="I119" s="1153"/>
      <c r="J119" s="1153"/>
      <c r="K119" s="1153"/>
      <c r="L119" s="1153"/>
      <c r="M119" s="1153"/>
      <c r="N119" s="1154"/>
      <c r="O119" s="1133"/>
      <c r="P119" s="1129"/>
      <c r="Q119" s="1129"/>
      <c r="R119" s="1129"/>
      <c r="S119" s="1129"/>
      <c r="T119" s="1167"/>
      <c r="U119" s="388"/>
      <c r="V119" s="388"/>
      <c r="W119" s="388"/>
      <c r="X119" s="388"/>
      <c r="Y119" s="388"/>
      <c r="Z119" s="388"/>
      <c r="AA119" s="389"/>
      <c r="AB119" s="389"/>
      <c r="AC119" s="389"/>
      <c r="AD119" s="389"/>
      <c r="AE119" s="389"/>
    </row>
    <row r="120" spans="2:31" ht="15.5" hidden="1" x14ac:dyDescent="0.35">
      <c r="B120" s="1144"/>
      <c r="C120" s="1129"/>
      <c r="D120" s="1129"/>
      <c r="E120" s="1129"/>
      <c r="F120" s="1130"/>
      <c r="G120" s="1152"/>
      <c r="H120" s="1153"/>
      <c r="I120" s="1153"/>
      <c r="J120" s="1153"/>
      <c r="K120" s="1153"/>
      <c r="L120" s="1153"/>
      <c r="M120" s="1153"/>
      <c r="N120" s="1154"/>
      <c r="O120" s="1133"/>
      <c r="P120" s="1129"/>
      <c r="Q120" s="1129"/>
      <c r="R120" s="1129"/>
      <c r="S120" s="1129"/>
      <c r="T120" s="1167"/>
      <c r="U120" s="388"/>
      <c r="V120" s="388"/>
      <c r="W120" s="388"/>
      <c r="X120" s="388"/>
      <c r="Y120" s="388"/>
      <c r="Z120" s="388"/>
      <c r="AA120" s="389"/>
      <c r="AB120" s="389"/>
      <c r="AC120" s="389"/>
      <c r="AD120" s="389"/>
      <c r="AE120" s="389"/>
    </row>
    <row r="121" spans="2:31" ht="15.5" hidden="1" x14ac:dyDescent="0.35">
      <c r="B121" s="1145"/>
      <c r="C121" s="1108"/>
      <c r="D121" s="1108"/>
      <c r="E121" s="1108"/>
      <c r="F121" s="1109"/>
      <c r="G121" s="1155"/>
      <c r="H121" s="1156"/>
      <c r="I121" s="1156"/>
      <c r="J121" s="1156"/>
      <c r="K121" s="1156"/>
      <c r="L121" s="1156"/>
      <c r="M121" s="1156"/>
      <c r="N121" s="1157"/>
      <c r="O121" s="1133"/>
      <c r="P121" s="1129"/>
      <c r="Q121" s="1129"/>
      <c r="R121" s="1129"/>
      <c r="S121" s="1129"/>
      <c r="T121" s="1167"/>
      <c r="U121" s="388"/>
      <c r="V121" s="388"/>
      <c r="W121" s="388"/>
      <c r="X121" s="388"/>
      <c r="Y121" s="388"/>
      <c r="Z121" s="388"/>
      <c r="AA121" s="389"/>
      <c r="AB121" s="389"/>
      <c r="AC121" s="389"/>
      <c r="AD121" s="389"/>
      <c r="AE121" s="389"/>
    </row>
    <row r="122" spans="2:31" ht="22.5" hidden="1" customHeight="1" x14ac:dyDescent="0.35">
      <c r="B122" s="1218" t="s">
        <v>590</v>
      </c>
      <c r="C122" s="1126"/>
      <c r="D122" s="1126"/>
      <c r="E122" s="1126"/>
      <c r="F122" s="1127"/>
      <c r="G122" s="1219" t="s">
        <v>591</v>
      </c>
      <c r="H122" s="1220"/>
      <c r="I122" s="1220"/>
      <c r="J122" s="1220"/>
      <c r="K122" s="1220"/>
      <c r="L122" s="1220"/>
      <c r="M122" s="1220"/>
      <c r="N122" s="1221"/>
      <c r="O122" s="1133"/>
      <c r="P122" s="1129"/>
      <c r="Q122" s="1129"/>
      <c r="R122" s="1129"/>
      <c r="S122" s="1129"/>
      <c r="T122" s="1167"/>
      <c r="U122" s="388"/>
      <c r="V122" s="388"/>
      <c r="W122" s="388"/>
      <c r="X122" s="388"/>
      <c r="Y122" s="388"/>
      <c r="Z122" s="388"/>
      <c r="AA122" s="389"/>
      <c r="AB122" s="389"/>
      <c r="AC122" s="389"/>
      <c r="AD122" s="389"/>
      <c r="AE122" s="389"/>
    </row>
    <row r="123" spans="2:31" ht="22.5" hidden="1" customHeight="1" x14ac:dyDescent="0.35">
      <c r="B123" s="1145"/>
      <c r="C123" s="1108"/>
      <c r="D123" s="1108"/>
      <c r="E123" s="1108"/>
      <c r="F123" s="1109"/>
      <c r="G123" s="1219" t="s">
        <v>592</v>
      </c>
      <c r="H123" s="1220"/>
      <c r="I123" s="1220"/>
      <c r="J123" s="1220"/>
      <c r="K123" s="1220"/>
      <c r="L123" s="1220"/>
      <c r="M123" s="1220"/>
      <c r="N123" s="1221"/>
      <c r="O123" s="1133"/>
      <c r="P123" s="1129"/>
      <c r="Q123" s="1129"/>
      <c r="R123" s="1129"/>
      <c r="S123" s="1129"/>
      <c r="T123" s="1167"/>
      <c r="U123" s="388"/>
      <c r="V123" s="388"/>
      <c r="W123" s="388"/>
      <c r="X123" s="388"/>
      <c r="Y123" s="388"/>
      <c r="Z123" s="388"/>
      <c r="AA123" s="389"/>
      <c r="AB123" s="389"/>
      <c r="AC123" s="389"/>
      <c r="AD123" s="389"/>
      <c r="AE123" s="389"/>
    </row>
    <row r="124" spans="2:31" ht="27" hidden="1" customHeight="1" x14ac:dyDescent="0.35">
      <c r="B124" s="1218" t="s">
        <v>593</v>
      </c>
      <c r="C124" s="1126"/>
      <c r="D124" s="1126"/>
      <c r="E124" s="1126"/>
      <c r="F124" s="1127"/>
      <c r="G124" s="1222"/>
      <c r="H124" s="1223"/>
      <c r="I124" s="1223"/>
      <c r="J124" s="1223"/>
      <c r="K124" s="1223"/>
      <c r="L124" s="1223"/>
      <c r="M124" s="1223"/>
      <c r="N124" s="1224"/>
      <c r="O124" s="1133"/>
      <c r="P124" s="1129"/>
      <c r="Q124" s="1129"/>
      <c r="R124" s="1129"/>
      <c r="S124" s="1129"/>
      <c r="T124" s="1167"/>
      <c r="U124" s="388"/>
      <c r="V124" s="388"/>
      <c r="W124" s="388"/>
      <c r="X124" s="388"/>
      <c r="Y124" s="388"/>
      <c r="Z124" s="388"/>
      <c r="AA124" s="389"/>
      <c r="AB124" s="389"/>
      <c r="AC124" s="389"/>
      <c r="AD124" s="389"/>
      <c r="AE124" s="389"/>
    </row>
    <row r="125" spans="2:31" ht="51" hidden="1" customHeight="1" x14ac:dyDescent="0.35">
      <c r="B125" s="1145"/>
      <c r="C125" s="1108"/>
      <c r="D125" s="1108"/>
      <c r="E125" s="1108"/>
      <c r="F125" s="1109"/>
      <c r="G125" s="1225"/>
      <c r="H125" s="1226"/>
      <c r="I125" s="1226"/>
      <c r="J125" s="1226"/>
      <c r="K125" s="1226"/>
      <c r="L125" s="1226"/>
      <c r="M125" s="1226"/>
      <c r="N125" s="1227"/>
      <c r="O125" s="1133"/>
      <c r="P125" s="1129"/>
      <c r="Q125" s="1129"/>
      <c r="R125" s="1129"/>
      <c r="S125" s="1129"/>
      <c r="T125" s="1167"/>
      <c r="U125" s="388"/>
      <c r="V125" s="388"/>
      <c r="W125" s="388"/>
      <c r="X125" s="388"/>
      <c r="Y125" s="388"/>
      <c r="Z125" s="388"/>
      <c r="AA125" s="389"/>
      <c r="AB125" s="389"/>
      <c r="AC125" s="389"/>
      <c r="AD125" s="389"/>
      <c r="AE125" s="389"/>
    </row>
    <row r="126" spans="2:31" ht="27" hidden="1" customHeight="1" x14ac:dyDescent="0.35">
      <c r="B126" s="1090" t="s">
        <v>594</v>
      </c>
      <c r="C126" s="1076"/>
      <c r="D126" s="1076"/>
      <c r="E126" s="1076"/>
      <c r="F126" s="1039"/>
      <c r="G126" s="1089"/>
      <c r="H126" s="1148"/>
      <c r="I126" s="1148"/>
      <c r="J126" s="1148"/>
      <c r="K126" s="1148"/>
      <c r="L126" s="1148"/>
      <c r="M126" s="1148"/>
      <c r="N126" s="1149"/>
      <c r="O126" s="1133"/>
      <c r="P126" s="1129"/>
      <c r="Q126" s="1129"/>
      <c r="R126" s="1129"/>
      <c r="S126" s="1129"/>
      <c r="T126" s="1167"/>
      <c r="U126" s="388"/>
      <c r="V126" s="388"/>
      <c r="W126" s="388"/>
      <c r="X126" s="388"/>
      <c r="Y126" s="388"/>
      <c r="Z126" s="388"/>
      <c r="AA126" s="389"/>
      <c r="AB126" s="389"/>
      <c r="AC126" s="389"/>
      <c r="AD126" s="389"/>
      <c r="AE126" s="389"/>
    </row>
    <row r="127" spans="2:31" ht="27" hidden="1" customHeight="1" x14ac:dyDescent="0.35">
      <c r="B127" s="1212" t="s">
        <v>595</v>
      </c>
      <c r="C127" s="1119"/>
      <c r="D127" s="1119"/>
      <c r="E127" s="1119"/>
      <c r="F127" s="1120"/>
      <c r="G127" s="1121"/>
      <c r="H127" s="1213"/>
      <c r="I127" s="1213"/>
      <c r="J127" s="1213"/>
      <c r="K127" s="1213"/>
      <c r="L127" s="1213"/>
      <c r="M127" s="1213"/>
      <c r="N127" s="1214"/>
      <c r="O127" s="1133"/>
      <c r="P127" s="1129"/>
      <c r="Q127" s="1129"/>
      <c r="R127" s="1129"/>
      <c r="S127" s="1129"/>
      <c r="T127" s="1167"/>
      <c r="U127" s="388"/>
      <c r="V127" s="388"/>
      <c r="W127" s="388"/>
      <c r="X127" s="388"/>
      <c r="Y127" s="388"/>
      <c r="Z127" s="388"/>
      <c r="AA127" s="389"/>
      <c r="AB127" s="389"/>
      <c r="AC127" s="389"/>
      <c r="AD127" s="389"/>
      <c r="AE127" s="389"/>
    </row>
    <row r="128" spans="2:31" ht="27" hidden="1" customHeight="1" x14ac:dyDescent="0.35">
      <c r="B128" s="1174" t="s">
        <v>596</v>
      </c>
      <c r="C128" s="1119"/>
      <c r="D128" s="1120"/>
      <c r="E128" s="1175"/>
      <c r="F128" s="1120"/>
      <c r="G128" s="1174" t="s">
        <v>597</v>
      </c>
      <c r="H128" s="1119"/>
      <c r="I128" s="1119"/>
      <c r="J128" s="1120"/>
      <c r="K128" s="1215"/>
      <c r="L128" s="1216"/>
      <c r="M128" s="1216"/>
      <c r="N128" s="1217"/>
      <c r="O128" s="1133"/>
      <c r="P128" s="1129"/>
      <c r="Q128" s="1129"/>
      <c r="R128" s="1129"/>
      <c r="S128" s="1129"/>
      <c r="T128" s="1167"/>
      <c r="U128" s="388"/>
      <c r="V128" s="388"/>
      <c r="W128" s="388"/>
      <c r="X128" s="388"/>
      <c r="Y128" s="388"/>
      <c r="Z128" s="388"/>
      <c r="AA128" s="389"/>
      <c r="AB128" s="389"/>
      <c r="AC128" s="389"/>
      <c r="AD128" s="389"/>
      <c r="AE128" s="389"/>
    </row>
    <row r="129" spans="2:31" ht="27" hidden="1" customHeight="1" thickBot="1" x14ac:dyDescent="0.4">
      <c r="B129" s="1232" t="s">
        <v>580</v>
      </c>
      <c r="C129" s="1233"/>
      <c r="D129" s="1233"/>
      <c r="E129" s="1233"/>
      <c r="F129" s="1234"/>
      <c r="G129" s="1235"/>
      <c r="H129" s="1236"/>
      <c r="I129" s="1236"/>
      <c r="J129" s="1236"/>
      <c r="K129" s="1236"/>
      <c r="L129" s="1236"/>
      <c r="M129" s="1236"/>
      <c r="N129" s="1237"/>
      <c r="O129" s="1168"/>
      <c r="P129" s="1169"/>
      <c r="Q129" s="1169"/>
      <c r="R129" s="1169"/>
      <c r="S129" s="1169"/>
      <c r="T129" s="1170"/>
      <c r="U129" s="388"/>
      <c r="V129" s="388"/>
      <c r="W129" s="388"/>
      <c r="X129" s="388"/>
      <c r="Y129" s="388"/>
      <c r="Z129" s="388"/>
      <c r="AA129" s="389"/>
      <c r="AB129" s="389"/>
      <c r="AC129" s="389"/>
      <c r="AD129" s="389"/>
      <c r="AE129" s="389"/>
    </row>
    <row r="130" spans="2:31" ht="15" hidden="1" customHeight="1" thickBot="1" x14ac:dyDescent="0.4">
      <c r="B130" s="388"/>
      <c r="C130" s="388"/>
      <c r="D130" s="388"/>
      <c r="E130" s="388"/>
      <c r="F130" s="388"/>
      <c r="G130" s="388"/>
      <c r="H130" s="388"/>
      <c r="I130" s="388"/>
      <c r="J130" s="388"/>
      <c r="K130" s="388"/>
      <c r="L130" s="388"/>
      <c r="M130" s="388"/>
      <c r="N130" s="388"/>
      <c r="O130" s="388"/>
      <c r="P130" s="388"/>
      <c r="Q130" s="388"/>
      <c r="R130" s="388"/>
      <c r="S130" s="388"/>
      <c r="T130" s="388"/>
      <c r="U130" s="388"/>
      <c r="V130" s="388"/>
      <c r="W130" s="388"/>
      <c r="X130" s="388"/>
      <c r="Y130" s="388"/>
      <c r="Z130" s="388"/>
      <c r="AA130" s="389"/>
      <c r="AB130" s="389"/>
      <c r="AC130" s="389"/>
      <c r="AD130" s="389"/>
      <c r="AE130" s="389"/>
    </row>
    <row r="131" spans="2:31" ht="24" hidden="1" customHeight="1" thickBot="1" x14ac:dyDescent="0.4">
      <c r="B131" s="1135" t="s">
        <v>600</v>
      </c>
      <c r="C131" s="1160"/>
      <c r="D131" s="1160"/>
      <c r="E131" s="1160"/>
      <c r="F131" s="1160"/>
      <c r="G131" s="1160"/>
      <c r="H131" s="1160"/>
      <c r="I131" s="1160"/>
      <c r="J131" s="1160"/>
      <c r="K131" s="1160"/>
      <c r="L131" s="1160"/>
      <c r="M131" s="1160"/>
      <c r="N131" s="1160"/>
      <c r="O131" s="1160"/>
      <c r="P131" s="1160"/>
      <c r="Q131" s="1160"/>
      <c r="R131" s="1160"/>
      <c r="S131" s="1160"/>
      <c r="T131" s="1161"/>
      <c r="U131" s="388"/>
      <c r="V131" s="388"/>
      <c r="W131" s="388"/>
      <c r="X131" s="388"/>
      <c r="Y131" s="388"/>
      <c r="Z131" s="388"/>
      <c r="AA131" s="389"/>
      <c r="AB131" s="389"/>
      <c r="AC131" s="389"/>
      <c r="AD131" s="389"/>
      <c r="AE131" s="389"/>
    </row>
    <row r="132" spans="2:31" ht="15.5" hidden="1" x14ac:dyDescent="0.35">
      <c r="B132" s="1136"/>
      <c r="C132" s="1162"/>
      <c r="D132" s="1162"/>
      <c r="E132" s="1162"/>
      <c r="F132" s="1162"/>
      <c r="G132" s="1162"/>
      <c r="H132" s="1162"/>
      <c r="I132" s="1162"/>
      <c r="J132" s="1162"/>
      <c r="K132" s="1162"/>
      <c r="L132" s="1162"/>
      <c r="M132" s="1162"/>
      <c r="N132" s="1162"/>
      <c r="O132" s="1162"/>
      <c r="P132" s="1162"/>
      <c r="Q132" s="1162"/>
      <c r="R132" s="1162"/>
      <c r="S132" s="1162"/>
      <c r="T132" s="1163"/>
      <c r="U132" s="388"/>
      <c r="V132" s="388"/>
      <c r="W132" s="388"/>
      <c r="X132" s="388"/>
      <c r="Y132" s="388"/>
      <c r="Z132" s="388"/>
      <c r="AA132" s="389"/>
      <c r="AB132" s="389"/>
      <c r="AC132" s="389"/>
      <c r="AD132" s="389"/>
      <c r="AE132" s="389"/>
    </row>
    <row r="133" spans="2:31" ht="27" hidden="1" customHeight="1" x14ac:dyDescent="0.35">
      <c r="B133" s="1231" t="s">
        <v>587</v>
      </c>
      <c r="C133" s="1076"/>
      <c r="D133" s="1076"/>
      <c r="E133" s="1076"/>
      <c r="F133" s="1039"/>
      <c r="G133" s="1077" t="str">
        <f>'Estudio de Mercados'!$B$238</f>
        <v>Escriba aquì el nombre de su producto ó servicio 4</v>
      </c>
      <c r="H133" s="1164"/>
      <c r="I133" s="1164"/>
      <c r="J133" s="1164"/>
      <c r="K133" s="1164"/>
      <c r="L133" s="1164"/>
      <c r="M133" s="1164"/>
      <c r="N133" s="1165"/>
      <c r="O133" s="1080" t="s">
        <v>588</v>
      </c>
      <c r="P133" s="1126"/>
      <c r="Q133" s="1126"/>
      <c r="R133" s="1126"/>
      <c r="S133" s="1126"/>
      <c r="T133" s="1166"/>
      <c r="U133" s="388"/>
      <c r="V133" s="388"/>
      <c r="W133" s="388"/>
      <c r="X133" s="388"/>
      <c r="Y133" s="388"/>
      <c r="Z133" s="388"/>
      <c r="AA133" s="389"/>
      <c r="AB133" s="389"/>
      <c r="AC133" s="389"/>
      <c r="AD133" s="389"/>
      <c r="AE133" s="389"/>
    </row>
    <row r="134" spans="2:31" ht="27" hidden="1" customHeight="1" x14ac:dyDescent="0.35">
      <c r="B134" s="1231" t="s">
        <v>571</v>
      </c>
      <c r="C134" s="1076"/>
      <c r="D134" s="1076"/>
      <c r="E134" s="1076"/>
      <c r="F134" s="1039"/>
      <c r="G134" s="1089"/>
      <c r="H134" s="1148"/>
      <c r="I134" s="1148"/>
      <c r="J134" s="1148"/>
      <c r="K134" s="1148"/>
      <c r="L134" s="1148"/>
      <c r="M134" s="1148"/>
      <c r="N134" s="1149"/>
      <c r="O134" s="1133"/>
      <c r="P134" s="1129"/>
      <c r="Q134" s="1129"/>
      <c r="R134" s="1129"/>
      <c r="S134" s="1129"/>
      <c r="T134" s="1167"/>
      <c r="U134" s="388"/>
      <c r="V134" s="388"/>
      <c r="W134" s="388"/>
      <c r="X134" s="388"/>
      <c r="Y134" s="388"/>
      <c r="Z134" s="388"/>
      <c r="AA134" s="389"/>
      <c r="AB134" s="389"/>
      <c r="AC134" s="389"/>
      <c r="AD134" s="389"/>
      <c r="AE134" s="389"/>
    </row>
    <row r="135" spans="2:31" ht="15.5" hidden="1" x14ac:dyDescent="0.35">
      <c r="B135" s="1218" t="s">
        <v>589</v>
      </c>
      <c r="C135" s="1126"/>
      <c r="D135" s="1126"/>
      <c r="E135" s="1126"/>
      <c r="F135" s="1127"/>
      <c r="G135" s="1132"/>
      <c r="H135" s="1150"/>
      <c r="I135" s="1150"/>
      <c r="J135" s="1150"/>
      <c r="K135" s="1150"/>
      <c r="L135" s="1150"/>
      <c r="M135" s="1150"/>
      <c r="N135" s="1151"/>
      <c r="O135" s="1133"/>
      <c r="P135" s="1129"/>
      <c r="Q135" s="1129"/>
      <c r="R135" s="1129"/>
      <c r="S135" s="1129"/>
      <c r="T135" s="1167"/>
      <c r="U135" s="388"/>
      <c r="V135" s="388"/>
      <c r="W135" s="388"/>
      <c r="X135" s="388"/>
      <c r="Y135" s="388"/>
      <c r="Z135" s="388"/>
      <c r="AA135" s="389"/>
      <c r="AB135" s="389"/>
      <c r="AC135" s="389"/>
      <c r="AD135" s="389"/>
      <c r="AE135" s="389"/>
    </row>
    <row r="136" spans="2:31" ht="15.5" hidden="1" x14ac:dyDescent="0.35">
      <c r="B136" s="1144"/>
      <c r="C136" s="1129"/>
      <c r="D136" s="1129"/>
      <c r="E136" s="1129"/>
      <c r="F136" s="1130"/>
      <c r="G136" s="1152"/>
      <c r="H136" s="1153"/>
      <c r="I136" s="1153"/>
      <c r="J136" s="1153"/>
      <c r="K136" s="1153"/>
      <c r="L136" s="1153"/>
      <c r="M136" s="1153"/>
      <c r="N136" s="1154"/>
      <c r="O136" s="1133"/>
      <c r="P136" s="1129"/>
      <c r="Q136" s="1129"/>
      <c r="R136" s="1129"/>
      <c r="S136" s="1129"/>
      <c r="T136" s="1167"/>
      <c r="U136" s="388"/>
      <c r="V136" s="388"/>
      <c r="W136" s="388"/>
      <c r="X136" s="388"/>
      <c r="Y136" s="388"/>
      <c r="Z136" s="388"/>
      <c r="AA136" s="389"/>
      <c r="AB136" s="389"/>
      <c r="AC136" s="389"/>
      <c r="AD136" s="389"/>
      <c r="AE136" s="389"/>
    </row>
    <row r="137" spans="2:31" ht="15.5" hidden="1" x14ac:dyDescent="0.35">
      <c r="B137" s="1144"/>
      <c r="C137" s="1129"/>
      <c r="D137" s="1129"/>
      <c r="E137" s="1129"/>
      <c r="F137" s="1130"/>
      <c r="G137" s="1152"/>
      <c r="H137" s="1153"/>
      <c r="I137" s="1153"/>
      <c r="J137" s="1153"/>
      <c r="K137" s="1153"/>
      <c r="L137" s="1153"/>
      <c r="M137" s="1153"/>
      <c r="N137" s="1154"/>
      <c r="O137" s="1133"/>
      <c r="P137" s="1129"/>
      <c r="Q137" s="1129"/>
      <c r="R137" s="1129"/>
      <c r="S137" s="1129"/>
      <c r="T137" s="1167"/>
      <c r="U137" s="388"/>
      <c r="V137" s="388"/>
      <c r="W137" s="388"/>
      <c r="X137" s="388"/>
      <c r="Y137" s="388"/>
      <c r="Z137" s="388"/>
      <c r="AA137" s="389"/>
      <c r="AB137" s="389"/>
      <c r="AC137" s="389"/>
      <c r="AD137" s="389"/>
      <c r="AE137" s="389"/>
    </row>
    <row r="138" spans="2:31" ht="15.5" hidden="1" x14ac:dyDescent="0.35">
      <c r="B138" s="1145"/>
      <c r="C138" s="1108"/>
      <c r="D138" s="1108"/>
      <c r="E138" s="1108"/>
      <c r="F138" s="1109"/>
      <c r="G138" s="1155"/>
      <c r="H138" s="1156"/>
      <c r="I138" s="1156"/>
      <c r="J138" s="1156"/>
      <c r="K138" s="1156"/>
      <c r="L138" s="1156"/>
      <c r="M138" s="1156"/>
      <c r="N138" s="1157"/>
      <c r="O138" s="1133"/>
      <c r="P138" s="1129"/>
      <c r="Q138" s="1129"/>
      <c r="R138" s="1129"/>
      <c r="S138" s="1129"/>
      <c r="T138" s="1167"/>
      <c r="U138" s="388"/>
      <c r="V138" s="388"/>
      <c r="W138" s="388"/>
      <c r="X138" s="388"/>
      <c r="Y138" s="388"/>
      <c r="Z138" s="388"/>
      <c r="AA138" s="389"/>
      <c r="AB138" s="389"/>
      <c r="AC138" s="389"/>
      <c r="AD138" s="389"/>
      <c r="AE138" s="389"/>
    </row>
    <row r="139" spans="2:31" ht="22.5" hidden="1" customHeight="1" x14ac:dyDescent="0.35">
      <c r="B139" s="1218" t="s">
        <v>590</v>
      </c>
      <c r="C139" s="1126"/>
      <c r="D139" s="1126"/>
      <c r="E139" s="1126"/>
      <c r="F139" s="1127"/>
      <c r="G139" s="1219" t="s">
        <v>591</v>
      </c>
      <c r="H139" s="1220"/>
      <c r="I139" s="1220"/>
      <c r="J139" s="1220"/>
      <c r="K139" s="1220"/>
      <c r="L139" s="1220"/>
      <c r="M139" s="1220"/>
      <c r="N139" s="1221"/>
      <c r="O139" s="1133"/>
      <c r="P139" s="1129"/>
      <c r="Q139" s="1129"/>
      <c r="R139" s="1129"/>
      <c r="S139" s="1129"/>
      <c r="T139" s="1167"/>
      <c r="U139" s="388"/>
      <c r="V139" s="388"/>
      <c r="W139" s="388"/>
      <c r="X139" s="388"/>
      <c r="Y139" s="388"/>
      <c r="Z139" s="388"/>
      <c r="AA139" s="389"/>
      <c r="AB139" s="389"/>
      <c r="AC139" s="389"/>
      <c r="AD139" s="389"/>
      <c r="AE139" s="389"/>
    </row>
    <row r="140" spans="2:31" ht="22.5" hidden="1" customHeight="1" x14ac:dyDescent="0.35">
      <c r="B140" s="1145"/>
      <c r="C140" s="1108"/>
      <c r="D140" s="1108"/>
      <c r="E140" s="1108"/>
      <c r="F140" s="1109"/>
      <c r="G140" s="1219" t="s">
        <v>592</v>
      </c>
      <c r="H140" s="1220"/>
      <c r="I140" s="1220"/>
      <c r="J140" s="1220"/>
      <c r="K140" s="1220"/>
      <c r="L140" s="1220"/>
      <c r="M140" s="1220"/>
      <c r="N140" s="1221"/>
      <c r="O140" s="1133"/>
      <c r="P140" s="1129"/>
      <c r="Q140" s="1129"/>
      <c r="R140" s="1129"/>
      <c r="S140" s="1129"/>
      <c r="T140" s="1167"/>
      <c r="U140" s="388"/>
      <c r="V140" s="388"/>
      <c r="W140" s="388"/>
      <c r="X140" s="388"/>
      <c r="Y140" s="388"/>
      <c r="Z140" s="388"/>
      <c r="AA140" s="389"/>
      <c r="AB140" s="389"/>
      <c r="AC140" s="389"/>
      <c r="AD140" s="389"/>
      <c r="AE140" s="389"/>
    </row>
    <row r="141" spans="2:31" ht="27" hidden="1" customHeight="1" x14ac:dyDescent="0.35">
      <c r="B141" s="1218" t="s">
        <v>593</v>
      </c>
      <c r="C141" s="1126"/>
      <c r="D141" s="1126"/>
      <c r="E141" s="1126"/>
      <c r="F141" s="1127"/>
      <c r="G141" s="1222"/>
      <c r="H141" s="1223"/>
      <c r="I141" s="1223"/>
      <c r="J141" s="1223"/>
      <c r="K141" s="1223"/>
      <c r="L141" s="1223"/>
      <c r="M141" s="1223"/>
      <c r="N141" s="1224"/>
      <c r="O141" s="1133"/>
      <c r="P141" s="1129"/>
      <c r="Q141" s="1129"/>
      <c r="R141" s="1129"/>
      <c r="S141" s="1129"/>
      <c r="T141" s="1167"/>
      <c r="U141" s="388"/>
      <c r="V141" s="388"/>
      <c r="W141" s="388"/>
      <c r="X141" s="388"/>
      <c r="Y141" s="388"/>
      <c r="Z141" s="388"/>
      <c r="AA141" s="389"/>
      <c r="AB141" s="389"/>
      <c r="AC141" s="389"/>
      <c r="AD141" s="389"/>
      <c r="AE141" s="389"/>
    </row>
    <row r="142" spans="2:31" ht="51" hidden="1" customHeight="1" x14ac:dyDescent="0.35">
      <c r="B142" s="1145"/>
      <c r="C142" s="1108"/>
      <c r="D142" s="1108"/>
      <c r="E142" s="1108"/>
      <c r="F142" s="1109"/>
      <c r="G142" s="1225"/>
      <c r="H142" s="1226"/>
      <c r="I142" s="1226"/>
      <c r="J142" s="1226"/>
      <c r="K142" s="1226"/>
      <c r="L142" s="1226"/>
      <c r="M142" s="1226"/>
      <c r="N142" s="1227"/>
      <c r="O142" s="1133"/>
      <c r="P142" s="1129"/>
      <c r="Q142" s="1129"/>
      <c r="R142" s="1129"/>
      <c r="S142" s="1129"/>
      <c r="T142" s="1167"/>
      <c r="U142" s="388"/>
      <c r="V142" s="388"/>
      <c r="W142" s="388"/>
      <c r="X142" s="388"/>
      <c r="Y142" s="388"/>
      <c r="Z142" s="388"/>
      <c r="AA142" s="389"/>
      <c r="AB142" s="389"/>
      <c r="AC142" s="389"/>
      <c r="AD142" s="389"/>
      <c r="AE142" s="389"/>
    </row>
    <row r="143" spans="2:31" ht="27" hidden="1" customHeight="1" x14ac:dyDescent="0.35">
      <c r="B143" s="1090" t="s">
        <v>594</v>
      </c>
      <c r="C143" s="1076"/>
      <c r="D143" s="1076"/>
      <c r="E143" s="1076"/>
      <c r="F143" s="1039"/>
      <c r="G143" s="1089"/>
      <c r="H143" s="1148"/>
      <c r="I143" s="1148"/>
      <c r="J143" s="1148"/>
      <c r="K143" s="1148"/>
      <c r="L143" s="1148"/>
      <c r="M143" s="1148"/>
      <c r="N143" s="1149"/>
      <c r="O143" s="1133"/>
      <c r="P143" s="1129"/>
      <c r="Q143" s="1129"/>
      <c r="R143" s="1129"/>
      <c r="S143" s="1129"/>
      <c r="T143" s="1167"/>
      <c r="U143" s="388"/>
      <c r="V143" s="388"/>
      <c r="W143" s="388"/>
      <c r="X143" s="388"/>
      <c r="Y143" s="388"/>
      <c r="Z143" s="388"/>
      <c r="AA143" s="389"/>
      <c r="AB143" s="389"/>
      <c r="AC143" s="389"/>
      <c r="AD143" s="389"/>
      <c r="AE143" s="389"/>
    </row>
    <row r="144" spans="2:31" ht="27" hidden="1" customHeight="1" x14ac:dyDescent="0.35">
      <c r="B144" s="1090" t="s">
        <v>595</v>
      </c>
      <c r="C144" s="1076"/>
      <c r="D144" s="1076"/>
      <c r="E144" s="1076"/>
      <c r="F144" s="1039"/>
      <c r="G144" s="1089"/>
      <c r="H144" s="1148"/>
      <c r="I144" s="1148"/>
      <c r="J144" s="1148"/>
      <c r="K144" s="1148"/>
      <c r="L144" s="1148"/>
      <c r="M144" s="1148"/>
      <c r="N144" s="1149"/>
      <c r="O144" s="1133"/>
      <c r="P144" s="1129"/>
      <c r="Q144" s="1129"/>
      <c r="R144" s="1129"/>
      <c r="S144" s="1129"/>
      <c r="T144" s="1167"/>
      <c r="U144" s="388"/>
      <c r="V144" s="388"/>
      <c r="W144" s="388"/>
      <c r="X144" s="388"/>
      <c r="Y144" s="388"/>
      <c r="Z144" s="388"/>
      <c r="AA144" s="389"/>
      <c r="AB144" s="389"/>
      <c r="AC144" s="389"/>
      <c r="AD144" s="389"/>
      <c r="AE144" s="389"/>
    </row>
    <row r="145" spans="2:31" ht="27" hidden="1" customHeight="1" x14ac:dyDescent="0.35">
      <c r="B145" s="1174" t="s">
        <v>596</v>
      </c>
      <c r="C145" s="1119"/>
      <c r="D145" s="1120"/>
      <c r="E145" s="1175"/>
      <c r="F145" s="1120"/>
      <c r="G145" s="1174" t="s">
        <v>597</v>
      </c>
      <c r="H145" s="1119"/>
      <c r="I145" s="1119"/>
      <c r="J145" s="1120"/>
      <c r="K145" s="1215"/>
      <c r="L145" s="1216"/>
      <c r="M145" s="1216"/>
      <c r="N145" s="1217"/>
      <c r="O145" s="1133"/>
      <c r="P145" s="1129"/>
      <c r="Q145" s="1129"/>
      <c r="R145" s="1129"/>
      <c r="S145" s="1129"/>
      <c r="T145" s="1167"/>
      <c r="U145" s="388"/>
      <c r="V145" s="388"/>
      <c r="W145" s="388"/>
      <c r="X145" s="388"/>
      <c r="Y145" s="388"/>
      <c r="Z145" s="388"/>
      <c r="AA145" s="389"/>
      <c r="AB145" s="389"/>
      <c r="AC145" s="389"/>
      <c r="AD145" s="389"/>
      <c r="AE145" s="389"/>
    </row>
    <row r="146" spans="2:31" ht="27" hidden="1" customHeight="1" thickBot="1" x14ac:dyDescent="0.4">
      <c r="B146" s="1146" t="s">
        <v>580</v>
      </c>
      <c r="C146" s="1062"/>
      <c r="D146" s="1062"/>
      <c r="E146" s="1062"/>
      <c r="F146" s="1063"/>
      <c r="G146" s="1147"/>
      <c r="H146" s="1158"/>
      <c r="I146" s="1158"/>
      <c r="J146" s="1158"/>
      <c r="K146" s="1158"/>
      <c r="L146" s="1158"/>
      <c r="M146" s="1158"/>
      <c r="N146" s="1159"/>
      <c r="O146" s="1168"/>
      <c r="P146" s="1169"/>
      <c r="Q146" s="1169"/>
      <c r="R146" s="1169"/>
      <c r="S146" s="1169"/>
      <c r="T146" s="1170"/>
      <c r="U146" s="388"/>
      <c r="V146" s="388"/>
      <c r="W146" s="388"/>
      <c r="X146" s="388"/>
      <c r="Y146" s="388"/>
      <c r="Z146" s="388"/>
      <c r="AA146" s="389"/>
      <c r="AB146" s="389"/>
      <c r="AC146" s="389"/>
      <c r="AD146" s="389"/>
      <c r="AE146" s="389"/>
    </row>
    <row r="147" spans="2:31" ht="15" customHeight="1" x14ac:dyDescent="0.35">
      <c r="B147" s="388"/>
      <c r="C147" s="388"/>
      <c r="D147" s="388"/>
      <c r="E147" s="388"/>
      <c r="F147" s="388"/>
      <c r="G147" s="388"/>
      <c r="H147" s="388"/>
      <c r="I147" s="388"/>
      <c r="J147" s="388"/>
      <c r="K147" s="388"/>
      <c r="L147" s="388"/>
      <c r="M147" s="388"/>
      <c r="N147" s="388"/>
      <c r="O147" s="388"/>
      <c r="P147" s="388"/>
      <c r="Q147" s="388"/>
      <c r="R147" s="388"/>
      <c r="S147" s="388"/>
      <c r="T147" s="388"/>
      <c r="U147" s="388"/>
      <c r="V147" s="388"/>
      <c r="W147" s="388"/>
      <c r="X147" s="388"/>
      <c r="Y147" s="388"/>
      <c r="Z147" s="388"/>
      <c r="AA147" s="389"/>
      <c r="AB147" s="389"/>
      <c r="AC147" s="389"/>
      <c r="AD147" s="389"/>
      <c r="AE147" s="389"/>
    </row>
    <row r="148" spans="2:31" ht="15" customHeight="1" x14ac:dyDescent="0.35">
      <c r="B148" s="388"/>
      <c r="C148" s="388"/>
      <c r="D148" s="388"/>
      <c r="E148" s="388"/>
      <c r="F148" s="388"/>
      <c r="G148" s="388"/>
      <c r="H148" s="388"/>
      <c r="I148" s="388"/>
      <c r="J148" s="388"/>
      <c r="K148" s="388"/>
      <c r="L148" s="388"/>
      <c r="M148" s="388"/>
      <c r="N148" s="388"/>
      <c r="O148" s="388"/>
      <c r="P148" s="388"/>
      <c r="Q148" s="388"/>
      <c r="R148" s="388"/>
      <c r="S148" s="388"/>
      <c r="T148" s="388"/>
      <c r="U148" s="388"/>
      <c r="V148" s="388"/>
      <c r="W148" s="388"/>
      <c r="X148" s="388"/>
      <c r="Y148" s="388"/>
      <c r="Z148" s="388"/>
      <c r="AA148" s="389"/>
      <c r="AB148" s="389"/>
      <c r="AC148" s="389"/>
      <c r="AD148" s="389"/>
      <c r="AE148" s="389"/>
    </row>
    <row r="149" spans="2:31" ht="24" customHeight="1" x14ac:dyDescent="0.35">
      <c r="B149" s="1067" t="s">
        <v>601</v>
      </c>
      <c r="C149" s="1067"/>
      <c r="D149" s="1067"/>
      <c r="E149" s="1067"/>
      <c r="F149" s="1067"/>
      <c r="G149" s="1067"/>
      <c r="H149" s="1067"/>
      <c r="I149" s="1067"/>
      <c r="J149" s="1067"/>
      <c r="K149" s="1067"/>
      <c r="L149" s="1067"/>
      <c r="M149" s="1067"/>
      <c r="N149" s="1067"/>
      <c r="O149" s="1067"/>
      <c r="P149" s="1067"/>
      <c r="Q149" s="1067"/>
      <c r="R149" s="1067"/>
      <c r="S149" s="1067"/>
      <c r="T149" s="1067"/>
      <c r="U149" s="392"/>
      <c r="V149" s="392"/>
      <c r="W149" s="392"/>
      <c r="X149" s="392"/>
      <c r="Y149" s="392"/>
      <c r="Z149" s="392"/>
      <c r="AA149" s="393"/>
      <c r="AB149" s="393"/>
      <c r="AC149" s="393"/>
      <c r="AD149" s="393"/>
      <c r="AE149" s="393"/>
    </row>
    <row r="150" spans="2:31" ht="15" customHeight="1" thickBot="1" x14ac:dyDescent="0.4">
      <c r="B150" s="388"/>
      <c r="C150" s="388"/>
      <c r="D150" s="388"/>
      <c r="E150" s="388"/>
      <c r="F150" s="388"/>
      <c r="G150" s="388"/>
      <c r="H150" s="388"/>
      <c r="I150" s="388"/>
      <c r="J150" s="388"/>
      <c r="K150" s="388"/>
      <c r="L150" s="388"/>
      <c r="M150" s="388"/>
      <c r="N150" s="388"/>
      <c r="O150" s="388"/>
      <c r="P150" s="388"/>
      <c r="Q150" s="388"/>
      <c r="R150" s="388"/>
      <c r="S150" s="388"/>
      <c r="T150" s="388"/>
      <c r="U150" s="388"/>
      <c r="V150" s="388"/>
      <c r="W150" s="388"/>
      <c r="X150" s="388"/>
      <c r="Y150" s="388"/>
      <c r="Z150" s="388"/>
      <c r="AA150" s="389"/>
      <c r="AB150" s="389"/>
      <c r="AC150" s="389"/>
      <c r="AD150" s="389"/>
      <c r="AE150" s="389"/>
    </row>
    <row r="151" spans="2:31" ht="26.25" customHeight="1" thickBot="1" x14ac:dyDescent="0.4">
      <c r="B151" s="1257" t="s">
        <v>747</v>
      </c>
      <c r="C151" s="1258"/>
      <c r="D151" s="1258"/>
      <c r="E151" s="1259" t="str">
        <f>'Estudio de Mercados'!$B$220</f>
        <v>Gestión integral de Cartera y Cobranza</v>
      </c>
      <c r="F151" s="1259"/>
      <c r="G151" s="1259"/>
      <c r="H151" s="1259"/>
      <c r="I151" s="1259"/>
      <c r="J151" s="1259"/>
      <c r="K151" s="1259"/>
      <c r="L151" s="1259"/>
      <c r="M151" s="1259"/>
      <c r="N151" s="1259"/>
      <c r="O151" s="1259"/>
      <c r="P151" s="1259"/>
      <c r="Q151" s="1259"/>
      <c r="R151" s="1259"/>
      <c r="S151" s="1259"/>
      <c r="T151" s="1260"/>
      <c r="U151" s="388"/>
      <c r="V151" s="388"/>
      <c r="W151" s="388"/>
      <c r="X151" s="388"/>
      <c r="Y151" s="388"/>
      <c r="Z151" s="388"/>
      <c r="AA151" s="389"/>
      <c r="AB151" s="389"/>
      <c r="AC151" s="389"/>
      <c r="AD151" s="389"/>
      <c r="AE151" s="389"/>
    </row>
    <row r="152" spans="2:31" ht="14.25" customHeight="1" x14ac:dyDescent="0.35">
      <c r="B152" s="1261" t="s">
        <v>602</v>
      </c>
      <c r="C152" s="1130"/>
      <c r="D152" s="1264" t="s">
        <v>603</v>
      </c>
      <c r="E152" s="1129"/>
      <c r="F152" s="1129"/>
      <c r="G152" s="1129"/>
      <c r="H152" s="1130"/>
      <c r="I152" s="1264" t="s">
        <v>131</v>
      </c>
      <c r="J152" s="1129"/>
      <c r="K152" s="1129"/>
      <c r="L152" s="1129"/>
      <c r="M152" s="1130"/>
      <c r="N152" s="1265" t="s">
        <v>604</v>
      </c>
      <c r="O152" s="1108"/>
      <c r="P152" s="1108"/>
      <c r="Q152" s="1108"/>
      <c r="R152" s="1108"/>
      <c r="S152" s="1109"/>
      <c r="T152" s="1266" t="s">
        <v>605</v>
      </c>
      <c r="U152" s="388"/>
      <c r="V152" s="388"/>
      <c r="W152" s="388"/>
      <c r="X152" s="388"/>
      <c r="Y152" s="388"/>
      <c r="Z152" s="388"/>
      <c r="AA152" s="389"/>
      <c r="AB152" s="389"/>
      <c r="AC152" s="389"/>
      <c r="AD152" s="389"/>
      <c r="AE152" s="389"/>
    </row>
    <row r="153" spans="2:31" ht="67.5" customHeight="1" thickBot="1" x14ac:dyDescent="0.4">
      <c r="B153" s="1262"/>
      <c r="C153" s="1263"/>
      <c r="D153" s="1168"/>
      <c r="E153" s="1169"/>
      <c r="F153" s="1169"/>
      <c r="G153" s="1169"/>
      <c r="H153" s="1263"/>
      <c r="I153" s="1168"/>
      <c r="J153" s="1169"/>
      <c r="K153" s="1169"/>
      <c r="L153" s="1169"/>
      <c r="M153" s="1263"/>
      <c r="N153" s="1246" t="s">
        <v>606</v>
      </c>
      <c r="O153" s="1063"/>
      <c r="P153" s="1246" t="s">
        <v>607</v>
      </c>
      <c r="Q153" s="1063"/>
      <c r="R153" s="1246" t="s">
        <v>608</v>
      </c>
      <c r="S153" s="1063"/>
      <c r="T153" s="1267"/>
      <c r="U153" s="388"/>
      <c r="V153" s="388"/>
      <c r="W153" s="388"/>
      <c r="X153" s="388"/>
      <c r="Y153" s="388"/>
      <c r="Z153" s="388"/>
      <c r="AA153" s="389"/>
      <c r="AB153" s="389"/>
      <c r="AC153" s="389"/>
      <c r="AD153" s="389"/>
      <c r="AE153" s="389"/>
    </row>
    <row r="154" spans="2:31" ht="56.5" customHeight="1" x14ac:dyDescent="0.35">
      <c r="B154" s="1247">
        <v>1</v>
      </c>
      <c r="C154" s="1248"/>
      <c r="D154" s="1249" t="s">
        <v>730</v>
      </c>
      <c r="E154" s="1250"/>
      <c r="F154" s="1250"/>
      <c r="G154" s="1250"/>
      <c r="H154" s="1251"/>
      <c r="I154" s="1252" t="s">
        <v>748</v>
      </c>
      <c r="J154" s="1253"/>
      <c r="K154" s="1253"/>
      <c r="L154" s="1253"/>
      <c r="M154" s="1254"/>
      <c r="N154" s="1255" t="s">
        <v>764</v>
      </c>
      <c r="O154" s="1256"/>
      <c r="P154" s="1255" t="s">
        <v>768</v>
      </c>
      <c r="Q154" s="1256"/>
      <c r="R154" s="1049" t="s">
        <v>777</v>
      </c>
      <c r="S154" s="1050"/>
      <c r="T154" s="467" t="s">
        <v>778</v>
      </c>
      <c r="U154" s="392"/>
      <c r="V154" s="392"/>
      <c r="W154" s="392"/>
      <c r="X154" s="392"/>
      <c r="Y154" s="392"/>
      <c r="Z154" s="392"/>
      <c r="AA154" s="393"/>
      <c r="AB154" s="393"/>
      <c r="AC154" s="393"/>
      <c r="AD154" s="393"/>
      <c r="AE154" s="393"/>
    </row>
    <row r="155" spans="2:31" ht="56.5" customHeight="1" x14ac:dyDescent="0.35">
      <c r="B155" s="1238">
        <f t="shared" ref="B155:B159" si="0">B154+1</f>
        <v>2</v>
      </c>
      <c r="C155" s="1239"/>
      <c r="D155" s="1240" t="s">
        <v>1169</v>
      </c>
      <c r="E155" s="1241"/>
      <c r="F155" s="1241"/>
      <c r="G155" s="1241"/>
      <c r="H155" s="1242"/>
      <c r="I155" s="1057" t="s">
        <v>762</v>
      </c>
      <c r="J155" s="1243"/>
      <c r="K155" s="1243"/>
      <c r="L155" s="1243"/>
      <c r="M155" s="1244"/>
      <c r="N155" s="1245" t="s">
        <v>765</v>
      </c>
      <c r="O155" s="1039"/>
      <c r="P155" s="1049" t="s">
        <v>1170</v>
      </c>
      <c r="Q155" s="1050"/>
      <c r="R155" s="1049" t="s">
        <v>777</v>
      </c>
      <c r="S155" s="1050"/>
      <c r="T155" s="467" t="s">
        <v>778</v>
      </c>
      <c r="U155" s="392"/>
      <c r="V155" s="392"/>
      <c r="W155" s="392"/>
      <c r="X155" s="392"/>
      <c r="Y155" s="392"/>
      <c r="Z155" s="392"/>
      <c r="AA155" s="393"/>
      <c r="AB155" s="393"/>
      <c r="AC155" s="393"/>
      <c r="AD155" s="393"/>
      <c r="AE155" s="393"/>
    </row>
    <row r="156" spans="2:31" ht="56.5" customHeight="1" x14ac:dyDescent="0.35">
      <c r="B156" s="1238">
        <f t="shared" si="0"/>
        <v>3</v>
      </c>
      <c r="C156" s="1239"/>
      <c r="D156" s="1240" t="s">
        <v>731</v>
      </c>
      <c r="E156" s="1241"/>
      <c r="F156" s="1241"/>
      <c r="G156" s="1241"/>
      <c r="H156" s="1242"/>
      <c r="I156" s="1057" t="s">
        <v>749</v>
      </c>
      <c r="J156" s="1243"/>
      <c r="K156" s="1243"/>
      <c r="L156" s="1243"/>
      <c r="M156" s="1244"/>
      <c r="N156" s="1245" t="s">
        <v>765</v>
      </c>
      <c r="O156" s="1039"/>
      <c r="P156" s="1049" t="s">
        <v>769</v>
      </c>
      <c r="Q156" s="1050"/>
      <c r="R156" s="1049" t="s">
        <v>775</v>
      </c>
      <c r="S156" s="1050"/>
      <c r="T156" s="467" t="str">
        <f>ROUND(((15*4)/60),2)&amp;" horas/mes"</f>
        <v>1 horas/mes</v>
      </c>
      <c r="U156" s="392"/>
      <c r="V156" s="392"/>
      <c r="W156" s="392"/>
      <c r="X156" s="392"/>
      <c r="Y156" s="392"/>
      <c r="Z156" s="392"/>
      <c r="AA156" s="393"/>
      <c r="AB156" s="393"/>
      <c r="AC156" s="393"/>
      <c r="AD156" s="393"/>
      <c r="AE156" s="393"/>
    </row>
    <row r="157" spans="2:31" ht="56.5" customHeight="1" x14ac:dyDescent="0.35">
      <c r="B157" s="1238">
        <f t="shared" si="0"/>
        <v>4</v>
      </c>
      <c r="C157" s="1239"/>
      <c r="D157" s="1240" t="s">
        <v>732</v>
      </c>
      <c r="E157" s="1241"/>
      <c r="F157" s="1241"/>
      <c r="G157" s="1241"/>
      <c r="H157" s="1242"/>
      <c r="I157" s="1057" t="s">
        <v>750</v>
      </c>
      <c r="J157" s="1243"/>
      <c r="K157" s="1243"/>
      <c r="L157" s="1243"/>
      <c r="M157" s="1244"/>
      <c r="N157" s="1245" t="s">
        <v>765</v>
      </c>
      <c r="O157" s="1039"/>
      <c r="P157" s="1049" t="s">
        <v>769</v>
      </c>
      <c r="Q157" s="1050"/>
      <c r="R157" s="1049" t="s">
        <v>775</v>
      </c>
      <c r="S157" s="1050"/>
      <c r="T157" s="467" t="str">
        <f>ROUND(((30*4)/60),2)&amp;" horas/mes"</f>
        <v>2 horas/mes</v>
      </c>
      <c r="U157" s="392"/>
      <c r="V157" s="392"/>
      <c r="W157" s="392"/>
      <c r="X157" s="392"/>
      <c r="Y157" s="392"/>
      <c r="Z157" s="392"/>
      <c r="AA157" s="393"/>
      <c r="AB157" s="393"/>
      <c r="AC157" s="393"/>
      <c r="AD157" s="393"/>
      <c r="AE157" s="393"/>
    </row>
    <row r="158" spans="2:31" ht="56.5" customHeight="1" x14ac:dyDescent="0.35">
      <c r="B158" s="1238">
        <f t="shared" si="0"/>
        <v>5</v>
      </c>
      <c r="C158" s="1239"/>
      <c r="D158" s="1240" t="s">
        <v>733</v>
      </c>
      <c r="E158" s="1241"/>
      <c r="F158" s="1241"/>
      <c r="G158" s="1241"/>
      <c r="H158" s="1242"/>
      <c r="I158" s="1057" t="s">
        <v>751</v>
      </c>
      <c r="J158" s="1243"/>
      <c r="K158" s="1243"/>
      <c r="L158" s="1243"/>
      <c r="M158" s="1244"/>
      <c r="N158" s="1245" t="s">
        <v>765</v>
      </c>
      <c r="O158" s="1039"/>
      <c r="P158" s="1049" t="s">
        <v>769</v>
      </c>
      <c r="Q158" s="1050"/>
      <c r="R158" s="1049" t="s">
        <v>775</v>
      </c>
      <c r="S158" s="1050"/>
      <c r="T158" s="467" t="str">
        <f>ROUND(((15*4)/60),2)&amp;" horas/mes"</f>
        <v>1 horas/mes</v>
      </c>
      <c r="U158" s="392"/>
      <c r="V158" s="392"/>
      <c r="W158" s="392"/>
      <c r="X158" s="392"/>
      <c r="Y158" s="392"/>
      <c r="Z158" s="392"/>
      <c r="AA158" s="393"/>
      <c r="AB158" s="393"/>
      <c r="AC158" s="393"/>
      <c r="AD158" s="393"/>
      <c r="AE158" s="393"/>
    </row>
    <row r="159" spans="2:31" ht="56.5" customHeight="1" x14ac:dyDescent="0.35">
      <c r="B159" s="1238">
        <f t="shared" si="0"/>
        <v>6</v>
      </c>
      <c r="C159" s="1239"/>
      <c r="D159" s="1240" t="s">
        <v>734</v>
      </c>
      <c r="E159" s="1241"/>
      <c r="F159" s="1241"/>
      <c r="G159" s="1241"/>
      <c r="H159" s="1242"/>
      <c r="I159" s="1057" t="s">
        <v>766</v>
      </c>
      <c r="J159" s="1243"/>
      <c r="K159" s="1243"/>
      <c r="L159" s="1243"/>
      <c r="M159" s="1244"/>
      <c r="N159" s="1245" t="s">
        <v>767</v>
      </c>
      <c r="O159" s="1039"/>
      <c r="P159" s="1049" t="s">
        <v>1171</v>
      </c>
      <c r="Q159" s="1050"/>
      <c r="R159" s="1049" t="s">
        <v>775</v>
      </c>
      <c r="S159" s="1050"/>
      <c r="T159" s="467" t="str">
        <f>ROUND(((60*4*4)/60),2)&amp;" horas/mes"</f>
        <v>16 horas/mes</v>
      </c>
      <c r="U159" s="392"/>
      <c r="V159" s="392"/>
      <c r="W159" s="392"/>
      <c r="X159" s="392"/>
      <c r="Y159" s="392"/>
      <c r="Z159" s="392"/>
      <c r="AA159" s="393"/>
      <c r="AB159" s="393"/>
      <c r="AC159" s="393"/>
      <c r="AD159" s="393"/>
      <c r="AE159" s="393"/>
    </row>
    <row r="160" spans="2:31" ht="56.5" customHeight="1" x14ac:dyDescent="0.35">
      <c r="B160" s="1287">
        <f t="shared" ref="B160:B171" si="1">B159+1</f>
        <v>7</v>
      </c>
      <c r="C160" s="1288"/>
      <c r="D160" s="1289" t="s">
        <v>735</v>
      </c>
      <c r="E160" s="1290"/>
      <c r="F160" s="1290"/>
      <c r="G160" s="1290"/>
      <c r="H160" s="1291"/>
      <c r="I160" s="1057" t="s">
        <v>752</v>
      </c>
      <c r="J160" s="1058"/>
      <c r="K160" s="1058"/>
      <c r="L160" s="1058"/>
      <c r="M160" s="1059"/>
      <c r="N160" s="1049" t="s">
        <v>765</v>
      </c>
      <c r="O160" s="1051"/>
      <c r="P160" s="1049" t="s">
        <v>769</v>
      </c>
      <c r="Q160" s="1050"/>
      <c r="R160" s="1049" t="s">
        <v>775</v>
      </c>
      <c r="S160" s="1050"/>
      <c r="T160" s="467" t="str">
        <f>ROUND(((60*1*2)/60),2)&amp;" horas/mes"</f>
        <v>2 horas/mes</v>
      </c>
      <c r="U160" s="392"/>
      <c r="V160" s="392"/>
      <c r="W160" s="392"/>
      <c r="X160" s="392"/>
      <c r="Y160" s="392"/>
      <c r="Z160" s="392"/>
      <c r="AA160" s="393"/>
      <c r="AB160" s="393"/>
      <c r="AC160" s="393"/>
      <c r="AD160" s="393"/>
      <c r="AE160" s="393"/>
    </row>
    <row r="161" spans="2:31" ht="56.5" customHeight="1" x14ac:dyDescent="0.35">
      <c r="B161" s="1052">
        <f t="shared" si="1"/>
        <v>8</v>
      </c>
      <c r="C161" s="1053"/>
      <c r="D161" s="1054" t="s">
        <v>746</v>
      </c>
      <c r="E161" s="1055"/>
      <c r="F161" s="1055"/>
      <c r="G161" s="1055"/>
      <c r="H161" s="1056"/>
      <c r="I161" s="1060" t="s">
        <v>753</v>
      </c>
      <c r="J161" s="1058"/>
      <c r="K161" s="1058"/>
      <c r="L161" s="1058"/>
      <c r="M161" s="1059"/>
      <c r="N161" s="1049" t="s">
        <v>765</v>
      </c>
      <c r="O161" s="1051"/>
      <c r="P161" s="1049" t="s">
        <v>769</v>
      </c>
      <c r="Q161" s="1050"/>
      <c r="R161" s="1049" t="s">
        <v>775</v>
      </c>
      <c r="S161" s="1050"/>
      <c r="T161" s="467" t="str">
        <f>ROUND(((50*3*5*4)/60),2)&amp;" horas/mes"</f>
        <v>50 horas/mes</v>
      </c>
      <c r="U161" s="392"/>
      <c r="V161" s="392"/>
      <c r="W161" s="392"/>
      <c r="X161" s="392"/>
      <c r="Y161" s="392"/>
      <c r="Z161" s="392"/>
      <c r="AA161" s="393"/>
      <c r="AB161" s="393"/>
      <c r="AC161" s="393"/>
      <c r="AD161" s="393"/>
      <c r="AE161" s="393"/>
    </row>
    <row r="162" spans="2:31" ht="56.5" customHeight="1" x14ac:dyDescent="0.35">
      <c r="B162" s="1052">
        <f t="shared" si="1"/>
        <v>9</v>
      </c>
      <c r="C162" s="1053"/>
      <c r="D162" s="1054" t="s">
        <v>736</v>
      </c>
      <c r="E162" s="1055"/>
      <c r="F162" s="1055"/>
      <c r="G162" s="1055"/>
      <c r="H162" s="1056"/>
      <c r="I162" s="1060" t="s">
        <v>754</v>
      </c>
      <c r="J162" s="1058"/>
      <c r="K162" s="1058"/>
      <c r="L162" s="1058"/>
      <c r="M162" s="1059"/>
      <c r="N162" s="1049" t="s">
        <v>765</v>
      </c>
      <c r="O162" s="1051"/>
      <c r="P162" s="1049" t="s">
        <v>770</v>
      </c>
      <c r="Q162" s="1050"/>
      <c r="R162" s="1049" t="s">
        <v>1172</v>
      </c>
      <c r="S162" s="1050"/>
      <c r="T162" s="467" t="str">
        <f>ROUND(((50*3*5*4)/60),2)&amp;" horas/mes"</f>
        <v>50 horas/mes</v>
      </c>
      <c r="U162" s="392"/>
      <c r="V162" s="392"/>
      <c r="W162" s="392"/>
      <c r="X162" s="392"/>
      <c r="Y162" s="392"/>
      <c r="Z162" s="392"/>
      <c r="AA162" s="393"/>
      <c r="AB162" s="393"/>
      <c r="AC162" s="393"/>
      <c r="AD162" s="393"/>
      <c r="AE162" s="393"/>
    </row>
    <row r="163" spans="2:31" ht="56.5" customHeight="1" x14ac:dyDescent="0.35">
      <c r="B163" s="1052">
        <f t="shared" si="1"/>
        <v>10</v>
      </c>
      <c r="C163" s="1053"/>
      <c r="D163" s="1054" t="s">
        <v>737</v>
      </c>
      <c r="E163" s="1055"/>
      <c r="F163" s="1055"/>
      <c r="G163" s="1055"/>
      <c r="H163" s="1056"/>
      <c r="I163" s="1060" t="s">
        <v>755</v>
      </c>
      <c r="J163" s="1058"/>
      <c r="K163" s="1058"/>
      <c r="L163" s="1058"/>
      <c r="M163" s="1059"/>
      <c r="N163" s="1049" t="s">
        <v>765</v>
      </c>
      <c r="O163" s="1051"/>
      <c r="P163" s="1049" t="s">
        <v>771</v>
      </c>
      <c r="Q163" s="1050"/>
      <c r="R163" s="1049" t="s">
        <v>775</v>
      </c>
      <c r="S163" s="1050"/>
      <c r="T163" s="467" t="str">
        <f>ROUND(((15*2*5*4)/60),2)&amp;" horas/mes"</f>
        <v>10 horas/mes</v>
      </c>
      <c r="U163" s="392"/>
      <c r="V163" s="392"/>
      <c r="W163" s="392"/>
      <c r="X163" s="392"/>
      <c r="Y163" s="392"/>
      <c r="Z163" s="392"/>
      <c r="AA163" s="393"/>
      <c r="AB163" s="393"/>
      <c r="AC163" s="393"/>
      <c r="AD163" s="393"/>
      <c r="AE163" s="393"/>
    </row>
    <row r="164" spans="2:31" ht="56.5" customHeight="1" x14ac:dyDescent="0.35">
      <c r="B164" s="1052">
        <f t="shared" si="1"/>
        <v>11</v>
      </c>
      <c r="C164" s="1053"/>
      <c r="D164" s="1054" t="s">
        <v>738</v>
      </c>
      <c r="E164" s="1055"/>
      <c r="F164" s="1055"/>
      <c r="G164" s="1055"/>
      <c r="H164" s="1056"/>
      <c r="I164" s="1060" t="s">
        <v>756</v>
      </c>
      <c r="J164" s="1058"/>
      <c r="K164" s="1058"/>
      <c r="L164" s="1058"/>
      <c r="M164" s="1059"/>
      <c r="N164" s="1049" t="s">
        <v>765</v>
      </c>
      <c r="O164" s="1051"/>
      <c r="P164" s="1049" t="s">
        <v>769</v>
      </c>
      <c r="Q164" s="1050"/>
      <c r="R164" s="1049" t="s">
        <v>775</v>
      </c>
      <c r="S164" s="1050"/>
      <c r="T164" s="467" t="str">
        <f>ROUND(((30*1*5*4)/60),2)&amp;" horas/mes"</f>
        <v>10 horas/mes</v>
      </c>
      <c r="U164" s="392"/>
      <c r="V164" s="392"/>
      <c r="W164" s="392"/>
      <c r="X164" s="392"/>
      <c r="Y164" s="392"/>
      <c r="Z164" s="392"/>
      <c r="AA164" s="393"/>
      <c r="AB164" s="393"/>
      <c r="AC164" s="393"/>
      <c r="AD164" s="393"/>
      <c r="AE164" s="393"/>
    </row>
    <row r="165" spans="2:31" ht="56.5" customHeight="1" x14ac:dyDescent="0.35">
      <c r="B165" s="1052">
        <f t="shared" si="1"/>
        <v>12</v>
      </c>
      <c r="C165" s="1053"/>
      <c r="D165" s="1054" t="s">
        <v>739</v>
      </c>
      <c r="E165" s="1055"/>
      <c r="F165" s="1055"/>
      <c r="G165" s="1055"/>
      <c r="H165" s="1056"/>
      <c r="I165" s="1060" t="s">
        <v>757</v>
      </c>
      <c r="J165" s="1058"/>
      <c r="K165" s="1058"/>
      <c r="L165" s="1058"/>
      <c r="M165" s="1059"/>
      <c r="N165" s="1049" t="s">
        <v>765</v>
      </c>
      <c r="O165" s="1051"/>
      <c r="P165" s="1049" t="s">
        <v>769</v>
      </c>
      <c r="Q165" s="1050"/>
      <c r="R165" s="1049" t="s">
        <v>775</v>
      </c>
      <c r="S165" s="1050"/>
      <c r="T165" s="467" t="str">
        <f>ROUND(((15*1*5*4)/60),2)&amp;" horas/mes"</f>
        <v>5 horas/mes</v>
      </c>
      <c r="U165" s="392"/>
      <c r="V165" s="392"/>
      <c r="W165" s="392"/>
      <c r="X165" s="392"/>
      <c r="Y165" s="392"/>
      <c r="Z165" s="392"/>
      <c r="AA165" s="393"/>
      <c r="AB165" s="393"/>
      <c r="AC165" s="393"/>
      <c r="AD165" s="393"/>
      <c r="AE165" s="393"/>
    </row>
    <row r="166" spans="2:31" ht="56.5" customHeight="1" x14ac:dyDescent="0.35">
      <c r="B166" s="1052">
        <f t="shared" si="1"/>
        <v>13</v>
      </c>
      <c r="C166" s="1053"/>
      <c r="D166" s="1054" t="s">
        <v>740</v>
      </c>
      <c r="E166" s="1055"/>
      <c r="F166" s="1055"/>
      <c r="G166" s="1055"/>
      <c r="H166" s="1056"/>
      <c r="I166" s="1060" t="s">
        <v>758</v>
      </c>
      <c r="J166" s="1058"/>
      <c r="K166" s="1058"/>
      <c r="L166" s="1058"/>
      <c r="M166" s="1059"/>
      <c r="N166" s="1049" t="s">
        <v>765</v>
      </c>
      <c r="O166" s="1051"/>
      <c r="P166" s="1049" t="s">
        <v>769</v>
      </c>
      <c r="Q166" s="1050"/>
      <c r="R166" s="1049" t="s">
        <v>775</v>
      </c>
      <c r="S166" s="1050"/>
      <c r="T166" s="467" t="str">
        <f>ROUND(((15*2*5*4)/60),2)&amp;" horas/mes"</f>
        <v>10 horas/mes</v>
      </c>
      <c r="U166" s="392"/>
      <c r="V166" s="392"/>
      <c r="W166" s="392"/>
      <c r="X166" s="392"/>
      <c r="Y166" s="392"/>
      <c r="Z166" s="392"/>
      <c r="AA166" s="393"/>
      <c r="AB166" s="393"/>
      <c r="AC166" s="393"/>
      <c r="AD166" s="393"/>
      <c r="AE166" s="393"/>
    </row>
    <row r="167" spans="2:31" ht="56.5" customHeight="1" x14ac:dyDescent="0.35">
      <c r="B167" s="1052">
        <f t="shared" si="1"/>
        <v>14</v>
      </c>
      <c r="C167" s="1053"/>
      <c r="D167" s="1054" t="s">
        <v>741</v>
      </c>
      <c r="E167" s="1055"/>
      <c r="F167" s="1055"/>
      <c r="G167" s="1055"/>
      <c r="H167" s="1056"/>
      <c r="I167" s="1060" t="s">
        <v>759</v>
      </c>
      <c r="J167" s="1058"/>
      <c r="K167" s="1058"/>
      <c r="L167" s="1058"/>
      <c r="M167" s="1059"/>
      <c r="N167" s="1049" t="s">
        <v>765</v>
      </c>
      <c r="O167" s="1051"/>
      <c r="P167" s="1049" t="s">
        <v>774</v>
      </c>
      <c r="Q167" s="1050"/>
      <c r="R167" s="1049" t="s">
        <v>776</v>
      </c>
      <c r="S167" s="1050"/>
      <c r="T167" s="467" t="str">
        <f>ROUND(((60*2*5*4)/60),2)&amp;" horas/mes"</f>
        <v>40 horas/mes</v>
      </c>
      <c r="U167" s="392"/>
      <c r="V167" s="392"/>
      <c r="W167" s="392"/>
      <c r="X167" s="392"/>
      <c r="Y167" s="392"/>
      <c r="Z167" s="392"/>
      <c r="AA167" s="393"/>
      <c r="AB167" s="393"/>
      <c r="AC167" s="393"/>
      <c r="AD167" s="393"/>
      <c r="AE167" s="393"/>
    </row>
    <row r="168" spans="2:31" ht="56.5" customHeight="1" x14ac:dyDescent="0.35">
      <c r="B168" s="1052">
        <f t="shared" si="1"/>
        <v>15</v>
      </c>
      <c r="C168" s="1053"/>
      <c r="D168" s="1054" t="s">
        <v>742</v>
      </c>
      <c r="E168" s="1055"/>
      <c r="F168" s="1055"/>
      <c r="G168" s="1055"/>
      <c r="H168" s="1056"/>
      <c r="I168" s="1060" t="s">
        <v>779</v>
      </c>
      <c r="J168" s="1058"/>
      <c r="K168" s="1058"/>
      <c r="L168" s="1058"/>
      <c r="M168" s="1059"/>
      <c r="N168" s="1049" t="s">
        <v>765</v>
      </c>
      <c r="O168" s="1051"/>
      <c r="P168" s="1049" t="s">
        <v>771</v>
      </c>
      <c r="Q168" s="1050"/>
      <c r="R168" s="1049" t="s">
        <v>775</v>
      </c>
      <c r="S168" s="1050"/>
      <c r="T168" s="467" t="str">
        <f>ROUND(((12*2*5*4)/60),2)&amp;" horas/mes"</f>
        <v>8 horas/mes</v>
      </c>
      <c r="U168" s="392"/>
      <c r="V168" s="392"/>
      <c r="W168" s="392"/>
      <c r="X168" s="392"/>
      <c r="Y168" s="392"/>
      <c r="Z168" s="392"/>
      <c r="AA168" s="393"/>
      <c r="AB168" s="393"/>
      <c r="AC168" s="393"/>
      <c r="AD168" s="393"/>
      <c r="AE168" s="393"/>
    </row>
    <row r="169" spans="2:31" ht="56.5" customHeight="1" x14ac:dyDescent="0.35">
      <c r="B169" s="1052">
        <f t="shared" si="1"/>
        <v>16</v>
      </c>
      <c r="C169" s="1053"/>
      <c r="D169" s="1054" t="s">
        <v>743</v>
      </c>
      <c r="E169" s="1055"/>
      <c r="F169" s="1055"/>
      <c r="G169" s="1055"/>
      <c r="H169" s="1056"/>
      <c r="I169" s="1060" t="s">
        <v>760</v>
      </c>
      <c r="J169" s="1058"/>
      <c r="K169" s="1058"/>
      <c r="L169" s="1058"/>
      <c r="M169" s="1059"/>
      <c r="N169" s="1049" t="s">
        <v>767</v>
      </c>
      <c r="O169" s="1051"/>
      <c r="P169" s="1049" t="s">
        <v>772</v>
      </c>
      <c r="Q169" s="1050"/>
      <c r="R169" s="1049" t="s">
        <v>775</v>
      </c>
      <c r="S169" s="1050"/>
      <c r="T169" s="467" t="str">
        <f>ROUND(((60*3*5*1)/60),2)&amp;" horas/mes"</f>
        <v>15 horas/mes</v>
      </c>
      <c r="U169" s="392"/>
      <c r="V169" s="392"/>
      <c r="W169" s="392"/>
      <c r="X169" s="392"/>
      <c r="Y169" s="392"/>
      <c r="Z169" s="392"/>
      <c r="AA169" s="393"/>
      <c r="AB169" s="393"/>
      <c r="AC169" s="393"/>
      <c r="AD169" s="393"/>
      <c r="AE169" s="393"/>
    </row>
    <row r="170" spans="2:31" ht="56.5" customHeight="1" x14ac:dyDescent="0.35">
      <c r="B170" s="1052">
        <f t="shared" si="1"/>
        <v>17</v>
      </c>
      <c r="C170" s="1053"/>
      <c r="D170" s="1054" t="s">
        <v>744</v>
      </c>
      <c r="E170" s="1055"/>
      <c r="F170" s="1055"/>
      <c r="G170" s="1055"/>
      <c r="H170" s="1056"/>
      <c r="I170" s="1060" t="s">
        <v>1173</v>
      </c>
      <c r="J170" s="1058"/>
      <c r="K170" s="1058"/>
      <c r="L170" s="1058"/>
      <c r="M170" s="1059"/>
      <c r="N170" s="1049" t="s">
        <v>764</v>
      </c>
      <c r="O170" s="1051"/>
      <c r="P170" s="1049" t="s">
        <v>773</v>
      </c>
      <c r="Q170" s="1050"/>
      <c r="R170" s="1049" t="s">
        <v>775</v>
      </c>
      <c r="S170" s="1050"/>
      <c r="T170" s="467" t="str">
        <f>ROUND(((60*3*2*4)/60),2)&amp;" horas/mes"</f>
        <v>24 horas/mes</v>
      </c>
      <c r="U170" s="392"/>
      <c r="V170" s="392"/>
      <c r="W170" s="392"/>
      <c r="X170" s="392"/>
      <c r="Y170" s="392"/>
      <c r="Z170" s="392"/>
      <c r="AA170" s="393"/>
      <c r="AB170" s="393"/>
      <c r="AC170" s="393"/>
      <c r="AD170" s="393"/>
      <c r="AE170" s="393"/>
    </row>
    <row r="171" spans="2:31" ht="56.5" customHeight="1" thickBot="1" x14ac:dyDescent="0.4">
      <c r="B171" s="1276">
        <f t="shared" si="1"/>
        <v>18</v>
      </c>
      <c r="C171" s="1277"/>
      <c r="D171" s="1278" t="s">
        <v>745</v>
      </c>
      <c r="E171" s="1279"/>
      <c r="F171" s="1279"/>
      <c r="G171" s="1279"/>
      <c r="H171" s="1279"/>
      <c r="I171" s="1280" t="s">
        <v>763</v>
      </c>
      <c r="J171" s="1281"/>
      <c r="K171" s="1281"/>
      <c r="L171" s="1281"/>
      <c r="M171" s="1282"/>
      <c r="N171" s="1283" t="s">
        <v>767</v>
      </c>
      <c r="O171" s="1284"/>
      <c r="P171" s="1285" t="s">
        <v>772</v>
      </c>
      <c r="Q171" s="1286"/>
      <c r="R171" s="1285" t="s">
        <v>775</v>
      </c>
      <c r="S171" s="1286"/>
      <c r="T171" s="468" t="str">
        <f>ROUND(((60*2*5*4)/60),2)&amp;" horas/mes"</f>
        <v>40 horas/mes</v>
      </c>
      <c r="U171" s="392"/>
      <c r="V171" s="392"/>
      <c r="W171" s="392"/>
      <c r="X171" s="392"/>
      <c r="Y171" s="392"/>
      <c r="Z171" s="392"/>
      <c r="AA171" s="393"/>
      <c r="AB171" s="393"/>
      <c r="AC171" s="393"/>
      <c r="AD171" s="393"/>
      <c r="AE171" s="393"/>
    </row>
    <row r="172" spans="2:31" ht="15" hidden="1" customHeight="1" x14ac:dyDescent="0.35">
      <c r="B172" s="388"/>
      <c r="C172" s="388"/>
      <c r="D172" s="388"/>
      <c r="E172" s="388"/>
      <c r="F172" s="388"/>
      <c r="G172" s="388"/>
      <c r="H172" s="388"/>
      <c r="I172" s="388"/>
      <c r="J172" s="388"/>
      <c r="K172" s="388"/>
      <c r="L172" s="388"/>
      <c r="M172" s="388"/>
      <c r="N172" s="388"/>
      <c r="O172" s="388"/>
      <c r="P172" s="388"/>
      <c r="Q172" s="388"/>
      <c r="R172" s="388"/>
      <c r="S172" s="388"/>
      <c r="T172" s="388"/>
      <c r="U172" s="388"/>
      <c r="V172" s="388"/>
      <c r="W172" s="388"/>
      <c r="X172" s="388"/>
      <c r="Y172" s="388"/>
      <c r="Z172" s="388"/>
      <c r="AA172" s="389"/>
      <c r="AB172" s="389"/>
      <c r="AC172" s="389"/>
      <c r="AD172" s="389"/>
      <c r="AE172" s="389"/>
    </row>
    <row r="173" spans="2:31" ht="26.25" hidden="1" customHeight="1" thickBot="1" x14ac:dyDescent="0.4">
      <c r="B173" s="1268" t="s">
        <v>609</v>
      </c>
      <c r="C173" s="1269"/>
      <c r="D173" s="1269"/>
      <c r="E173" s="1270" t="str">
        <f>'Estudio de Mercados'!$B$226</f>
        <v>Escriba aquì el nombre de su producto ó servicio 2</v>
      </c>
      <c r="F173" s="1270"/>
      <c r="G173" s="1270"/>
      <c r="H173" s="1270"/>
      <c r="I173" s="1270"/>
      <c r="J173" s="1270"/>
      <c r="K173" s="1270"/>
      <c r="L173" s="1270"/>
      <c r="M173" s="1270"/>
      <c r="N173" s="1270"/>
      <c r="O173" s="1270"/>
      <c r="P173" s="1270"/>
      <c r="Q173" s="1270"/>
      <c r="R173" s="1270"/>
      <c r="S173" s="1270"/>
      <c r="T173" s="1271"/>
      <c r="U173" s="388"/>
      <c r="V173" s="388"/>
      <c r="W173" s="388"/>
      <c r="X173" s="388"/>
      <c r="Y173" s="388"/>
      <c r="Z173" s="388"/>
      <c r="AA173" s="389"/>
      <c r="AB173" s="389"/>
      <c r="AC173" s="389"/>
      <c r="AD173" s="389"/>
      <c r="AE173" s="389"/>
    </row>
    <row r="174" spans="2:31" ht="14.25" hidden="1" customHeight="1" x14ac:dyDescent="0.35">
      <c r="B174" s="1272" t="s">
        <v>602</v>
      </c>
      <c r="C174" s="1130"/>
      <c r="D174" s="1264" t="s">
        <v>603</v>
      </c>
      <c r="E174" s="1129"/>
      <c r="F174" s="1129"/>
      <c r="G174" s="1129"/>
      <c r="H174" s="1130"/>
      <c r="I174" s="1264" t="s">
        <v>131</v>
      </c>
      <c r="J174" s="1129"/>
      <c r="K174" s="1129"/>
      <c r="L174" s="1129"/>
      <c r="M174" s="1130"/>
      <c r="N174" s="1265" t="s">
        <v>604</v>
      </c>
      <c r="O174" s="1108"/>
      <c r="P174" s="1108"/>
      <c r="Q174" s="1108"/>
      <c r="R174" s="1108"/>
      <c r="S174" s="1109"/>
      <c r="T174" s="1274" t="s">
        <v>605</v>
      </c>
      <c r="U174" s="388"/>
      <c r="V174" s="388"/>
      <c r="W174" s="388"/>
      <c r="X174" s="388"/>
      <c r="Y174" s="388"/>
      <c r="Z174" s="388"/>
      <c r="AA174" s="389"/>
      <c r="AB174" s="389"/>
      <c r="AC174" s="389"/>
      <c r="AD174" s="389"/>
      <c r="AE174" s="389"/>
    </row>
    <row r="175" spans="2:31" ht="67.5" hidden="1" customHeight="1" thickBot="1" x14ac:dyDescent="0.4">
      <c r="B175" s="1273"/>
      <c r="C175" s="1263"/>
      <c r="D175" s="1168"/>
      <c r="E175" s="1169"/>
      <c r="F175" s="1169"/>
      <c r="G175" s="1169"/>
      <c r="H175" s="1263"/>
      <c r="I175" s="1168"/>
      <c r="J175" s="1169"/>
      <c r="K175" s="1169"/>
      <c r="L175" s="1169"/>
      <c r="M175" s="1263"/>
      <c r="N175" s="1246" t="s">
        <v>606</v>
      </c>
      <c r="O175" s="1063"/>
      <c r="P175" s="1246" t="s">
        <v>607</v>
      </c>
      <c r="Q175" s="1063"/>
      <c r="R175" s="1246" t="s">
        <v>608</v>
      </c>
      <c r="S175" s="1063"/>
      <c r="T175" s="1275"/>
      <c r="U175" s="388"/>
      <c r="V175" s="388"/>
      <c r="W175" s="388"/>
      <c r="X175" s="388"/>
      <c r="Y175" s="388"/>
      <c r="Z175" s="388"/>
      <c r="AA175" s="389"/>
      <c r="AB175" s="389"/>
      <c r="AC175" s="389"/>
      <c r="AD175" s="389"/>
      <c r="AE175" s="389"/>
    </row>
    <row r="176" spans="2:31" ht="30" hidden="1" customHeight="1" x14ac:dyDescent="0.35">
      <c r="B176" s="1293">
        <v>1</v>
      </c>
      <c r="C176" s="1256"/>
      <c r="D176" s="1255"/>
      <c r="E176" s="1073"/>
      <c r="F176" s="1073"/>
      <c r="G176" s="1073"/>
      <c r="H176" s="1256"/>
      <c r="I176" s="1255"/>
      <c r="J176" s="1073"/>
      <c r="K176" s="1073"/>
      <c r="L176" s="1073"/>
      <c r="M176" s="1256"/>
      <c r="N176" s="1255"/>
      <c r="O176" s="1256"/>
      <c r="P176" s="1255"/>
      <c r="Q176" s="1256"/>
      <c r="R176" s="1255"/>
      <c r="S176" s="1256"/>
      <c r="T176" s="396"/>
      <c r="U176" s="392"/>
      <c r="V176" s="392"/>
      <c r="W176" s="392"/>
      <c r="X176" s="392"/>
      <c r="Y176" s="392"/>
      <c r="Z176" s="392"/>
      <c r="AA176" s="393"/>
      <c r="AB176" s="393"/>
      <c r="AC176" s="393"/>
      <c r="AD176" s="393"/>
      <c r="AE176" s="393"/>
    </row>
    <row r="177" spans="2:31" ht="30" hidden="1" customHeight="1" x14ac:dyDescent="0.35">
      <c r="B177" s="1292">
        <f t="shared" ref="B177:B182" si="2">B176+1</f>
        <v>2</v>
      </c>
      <c r="C177" s="1039"/>
      <c r="D177" s="1245"/>
      <c r="E177" s="1076"/>
      <c r="F177" s="1076"/>
      <c r="G177" s="1076"/>
      <c r="H177" s="1039"/>
      <c r="I177" s="1245"/>
      <c r="J177" s="1076"/>
      <c r="K177" s="1076"/>
      <c r="L177" s="1076"/>
      <c r="M177" s="1039"/>
      <c r="N177" s="1245"/>
      <c r="O177" s="1039"/>
      <c r="P177" s="1245"/>
      <c r="Q177" s="1039"/>
      <c r="R177" s="1245"/>
      <c r="S177" s="1039"/>
      <c r="T177" s="397"/>
      <c r="U177" s="392"/>
      <c r="V177" s="392"/>
      <c r="W177" s="392"/>
      <c r="X177" s="392"/>
      <c r="Y177" s="392"/>
      <c r="Z177" s="392"/>
      <c r="AA177" s="393"/>
      <c r="AB177" s="393"/>
      <c r="AC177" s="393"/>
      <c r="AD177" s="393"/>
      <c r="AE177" s="393"/>
    </row>
    <row r="178" spans="2:31" ht="30" hidden="1" customHeight="1" x14ac:dyDescent="0.35">
      <c r="B178" s="1292">
        <f t="shared" si="2"/>
        <v>3</v>
      </c>
      <c r="C178" s="1039"/>
      <c r="D178" s="1245"/>
      <c r="E178" s="1076"/>
      <c r="F178" s="1076"/>
      <c r="G178" s="1076"/>
      <c r="H178" s="1039"/>
      <c r="I178" s="1245"/>
      <c r="J178" s="1076"/>
      <c r="K178" s="1076"/>
      <c r="L178" s="1076"/>
      <c r="M178" s="1039"/>
      <c r="N178" s="1245"/>
      <c r="O178" s="1039"/>
      <c r="P178" s="1245"/>
      <c r="Q178" s="1039"/>
      <c r="R178" s="1245"/>
      <c r="S178" s="1039"/>
      <c r="T178" s="397"/>
      <c r="U178" s="392"/>
      <c r="V178" s="392"/>
      <c r="W178" s="392"/>
      <c r="X178" s="392"/>
      <c r="Y178" s="392"/>
      <c r="Z178" s="392"/>
      <c r="AA178" s="393"/>
      <c r="AB178" s="393"/>
      <c r="AC178" s="393"/>
      <c r="AD178" s="393"/>
      <c r="AE178" s="393"/>
    </row>
    <row r="179" spans="2:31" ht="30" hidden="1" customHeight="1" x14ac:dyDescent="0.35">
      <c r="B179" s="1292">
        <f t="shared" si="2"/>
        <v>4</v>
      </c>
      <c r="C179" s="1039"/>
      <c r="D179" s="1245"/>
      <c r="E179" s="1076"/>
      <c r="F179" s="1076"/>
      <c r="G179" s="1076"/>
      <c r="H179" s="1039"/>
      <c r="I179" s="1245"/>
      <c r="J179" s="1076"/>
      <c r="K179" s="1076"/>
      <c r="L179" s="1076"/>
      <c r="M179" s="1039"/>
      <c r="N179" s="1245"/>
      <c r="O179" s="1039"/>
      <c r="P179" s="1245"/>
      <c r="Q179" s="1039"/>
      <c r="R179" s="1245"/>
      <c r="S179" s="1039"/>
      <c r="T179" s="397"/>
      <c r="U179" s="392"/>
      <c r="V179" s="392"/>
      <c r="W179" s="392"/>
      <c r="X179" s="392"/>
      <c r="Y179" s="392"/>
      <c r="Z179" s="392"/>
      <c r="AA179" s="393"/>
      <c r="AB179" s="393"/>
      <c r="AC179" s="393"/>
      <c r="AD179" s="393"/>
      <c r="AE179" s="393"/>
    </row>
    <row r="180" spans="2:31" ht="30" hidden="1" customHeight="1" x14ac:dyDescent="0.35">
      <c r="B180" s="1292">
        <f t="shared" si="2"/>
        <v>5</v>
      </c>
      <c r="C180" s="1039"/>
      <c r="D180" s="1245"/>
      <c r="E180" s="1076"/>
      <c r="F180" s="1076"/>
      <c r="G180" s="1076"/>
      <c r="H180" s="1039"/>
      <c r="I180" s="1245"/>
      <c r="J180" s="1076"/>
      <c r="K180" s="1076"/>
      <c r="L180" s="1076"/>
      <c r="M180" s="1039"/>
      <c r="N180" s="1245"/>
      <c r="O180" s="1039"/>
      <c r="P180" s="1245"/>
      <c r="Q180" s="1039"/>
      <c r="R180" s="1245"/>
      <c r="S180" s="1039"/>
      <c r="T180" s="397"/>
      <c r="U180" s="392"/>
      <c r="V180" s="392"/>
      <c r="W180" s="392"/>
      <c r="X180" s="392"/>
      <c r="Y180" s="392"/>
      <c r="Z180" s="392"/>
      <c r="AA180" s="393"/>
      <c r="AB180" s="393"/>
      <c r="AC180" s="393"/>
      <c r="AD180" s="393"/>
      <c r="AE180" s="393"/>
    </row>
    <row r="181" spans="2:31" ht="30" hidden="1" customHeight="1" x14ac:dyDescent="0.35">
      <c r="B181" s="1292">
        <f t="shared" si="2"/>
        <v>6</v>
      </c>
      <c r="C181" s="1039"/>
      <c r="D181" s="1245"/>
      <c r="E181" s="1076"/>
      <c r="F181" s="1076"/>
      <c r="G181" s="1076"/>
      <c r="H181" s="1039"/>
      <c r="I181" s="1245"/>
      <c r="J181" s="1076"/>
      <c r="K181" s="1076"/>
      <c r="L181" s="1076"/>
      <c r="M181" s="1039"/>
      <c r="N181" s="1245"/>
      <c r="O181" s="1039"/>
      <c r="P181" s="1245"/>
      <c r="Q181" s="1039"/>
      <c r="R181" s="1245"/>
      <c r="S181" s="1039"/>
      <c r="T181" s="397"/>
      <c r="U181" s="392"/>
      <c r="V181" s="392"/>
      <c r="W181" s="392"/>
      <c r="X181" s="392"/>
      <c r="Y181" s="392"/>
      <c r="Z181" s="392"/>
      <c r="AA181" s="393"/>
      <c r="AB181" s="393"/>
      <c r="AC181" s="393"/>
      <c r="AD181" s="393"/>
      <c r="AE181" s="393"/>
    </row>
    <row r="182" spans="2:31" ht="30" hidden="1" customHeight="1" thickBot="1" x14ac:dyDescent="0.4">
      <c r="B182" s="1294">
        <f t="shared" si="2"/>
        <v>7</v>
      </c>
      <c r="C182" s="1063"/>
      <c r="D182" s="1295"/>
      <c r="E182" s="1062"/>
      <c r="F182" s="1062"/>
      <c r="G182" s="1062"/>
      <c r="H182" s="1063"/>
      <c r="I182" s="1295"/>
      <c r="J182" s="1062"/>
      <c r="K182" s="1062"/>
      <c r="L182" s="1062"/>
      <c r="M182" s="1063"/>
      <c r="N182" s="1295"/>
      <c r="O182" s="1063"/>
      <c r="P182" s="1295"/>
      <c r="Q182" s="1063"/>
      <c r="R182" s="1295"/>
      <c r="S182" s="1063"/>
      <c r="T182" s="398"/>
      <c r="U182" s="392"/>
      <c r="V182" s="392"/>
      <c r="W182" s="392"/>
      <c r="X182" s="392"/>
      <c r="Y182" s="392"/>
      <c r="Z182" s="392"/>
      <c r="AA182" s="393"/>
      <c r="AB182" s="393"/>
      <c r="AC182" s="393"/>
      <c r="AD182" s="393"/>
      <c r="AE182" s="393"/>
    </row>
    <row r="183" spans="2:31" ht="15" hidden="1" customHeight="1" thickBot="1" x14ac:dyDescent="0.4">
      <c r="B183" s="388"/>
      <c r="C183" s="388"/>
      <c r="D183" s="388"/>
      <c r="E183" s="388"/>
      <c r="F183" s="388"/>
      <c r="G183" s="388"/>
      <c r="H183" s="388"/>
      <c r="I183" s="388"/>
      <c r="J183" s="388"/>
      <c r="K183" s="388"/>
      <c r="L183" s="388"/>
      <c r="M183" s="388"/>
      <c r="N183" s="388"/>
      <c r="O183" s="388"/>
      <c r="P183" s="388"/>
      <c r="Q183" s="388"/>
      <c r="R183" s="388"/>
      <c r="S183" s="388"/>
      <c r="T183" s="388"/>
      <c r="U183" s="388"/>
      <c r="V183" s="388"/>
      <c r="W183" s="388"/>
      <c r="X183" s="388"/>
      <c r="Y183" s="388"/>
      <c r="Z183" s="388"/>
      <c r="AA183" s="389"/>
      <c r="AB183" s="389"/>
      <c r="AC183" s="389"/>
      <c r="AD183" s="389"/>
      <c r="AE183" s="389"/>
    </row>
    <row r="184" spans="2:31" ht="26.25" hidden="1" customHeight="1" thickBot="1" x14ac:dyDescent="0.4">
      <c r="B184" s="1268" t="s">
        <v>610</v>
      </c>
      <c r="C184" s="1269"/>
      <c r="D184" s="1269"/>
      <c r="E184" s="1270" t="str">
        <f>'Estudio de Mercados'!$B$232</f>
        <v>Escriba aquì el nombre de su producto ó servicio 3</v>
      </c>
      <c r="F184" s="1270"/>
      <c r="G184" s="1270"/>
      <c r="H184" s="1270"/>
      <c r="I184" s="1270"/>
      <c r="J184" s="1270"/>
      <c r="K184" s="1270"/>
      <c r="L184" s="1270"/>
      <c r="M184" s="1270"/>
      <c r="N184" s="1270"/>
      <c r="O184" s="1270"/>
      <c r="P184" s="1270"/>
      <c r="Q184" s="1270"/>
      <c r="R184" s="1270"/>
      <c r="S184" s="1270"/>
      <c r="T184" s="1271"/>
      <c r="U184" s="388"/>
      <c r="V184" s="388"/>
      <c r="W184" s="388"/>
      <c r="X184" s="388"/>
      <c r="Y184" s="388"/>
      <c r="Z184" s="388"/>
      <c r="AA184" s="389"/>
      <c r="AB184" s="389"/>
      <c r="AC184" s="389"/>
      <c r="AD184" s="389"/>
      <c r="AE184" s="389"/>
    </row>
    <row r="185" spans="2:31" ht="14.25" hidden="1" customHeight="1" x14ac:dyDescent="0.35">
      <c r="B185" s="1272" t="s">
        <v>602</v>
      </c>
      <c r="C185" s="1130"/>
      <c r="D185" s="1264" t="s">
        <v>603</v>
      </c>
      <c r="E185" s="1129"/>
      <c r="F185" s="1129"/>
      <c r="G185" s="1129"/>
      <c r="H185" s="1130"/>
      <c r="I185" s="1264" t="s">
        <v>131</v>
      </c>
      <c r="J185" s="1129"/>
      <c r="K185" s="1129"/>
      <c r="L185" s="1129"/>
      <c r="M185" s="1130"/>
      <c r="N185" s="1265" t="s">
        <v>604</v>
      </c>
      <c r="O185" s="1108"/>
      <c r="P185" s="1108"/>
      <c r="Q185" s="1108"/>
      <c r="R185" s="1108"/>
      <c r="S185" s="1109"/>
      <c r="T185" s="1274" t="s">
        <v>605</v>
      </c>
      <c r="U185" s="388"/>
      <c r="V185" s="388"/>
      <c r="W185" s="388"/>
      <c r="X185" s="388"/>
      <c r="Y185" s="388"/>
      <c r="Z185" s="388"/>
      <c r="AA185" s="389"/>
      <c r="AB185" s="389"/>
      <c r="AC185" s="389"/>
      <c r="AD185" s="389"/>
      <c r="AE185" s="389"/>
    </row>
    <row r="186" spans="2:31" ht="67.5" hidden="1" customHeight="1" thickBot="1" x14ac:dyDescent="0.4">
      <c r="B186" s="1273"/>
      <c r="C186" s="1263"/>
      <c r="D186" s="1168"/>
      <c r="E186" s="1169"/>
      <c r="F186" s="1169"/>
      <c r="G186" s="1169"/>
      <c r="H186" s="1263"/>
      <c r="I186" s="1168"/>
      <c r="J186" s="1169"/>
      <c r="K186" s="1169"/>
      <c r="L186" s="1169"/>
      <c r="M186" s="1263"/>
      <c r="N186" s="1246" t="s">
        <v>606</v>
      </c>
      <c r="O186" s="1063"/>
      <c r="P186" s="1246" t="s">
        <v>607</v>
      </c>
      <c r="Q186" s="1063"/>
      <c r="R186" s="1246" t="s">
        <v>608</v>
      </c>
      <c r="S186" s="1063"/>
      <c r="T186" s="1275"/>
      <c r="U186" s="388"/>
      <c r="V186" s="388"/>
      <c r="W186" s="388"/>
      <c r="X186" s="388"/>
      <c r="Y186" s="388"/>
      <c r="Z186" s="388"/>
      <c r="AA186" s="389"/>
      <c r="AB186" s="389"/>
      <c r="AC186" s="389"/>
      <c r="AD186" s="389"/>
      <c r="AE186" s="389"/>
    </row>
    <row r="187" spans="2:31" ht="30" hidden="1" customHeight="1" x14ac:dyDescent="0.35">
      <c r="B187" s="1293">
        <v>1</v>
      </c>
      <c r="C187" s="1256"/>
      <c r="D187" s="1255"/>
      <c r="E187" s="1073"/>
      <c r="F187" s="1073"/>
      <c r="G187" s="1073"/>
      <c r="H187" s="1256"/>
      <c r="I187" s="1255"/>
      <c r="J187" s="1073"/>
      <c r="K187" s="1073"/>
      <c r="L187" s="1073"/>
      <c r="M187" s="1256"/>
      <c r="N187" s="1255"/>
      <c r="O187" s="1256"/>
      <c r="P187" s="1255"/>
      <c r="Q187" s="1256"/>
      <c r="R187" s="1255"/>
      <c r="S187" s="1256"/>
      <c r="T187" s="396"/>
      <c r="U187" s="392"/>
      <c r="V187" s="392"/>
      <c r="W187" s="392"/>
      <c r="X187" s="392"/>
      <c r="Y187" s="392"/>
      <c r="Z187" s="392"/>
      <c r="AA187" s="393"/>
      <c r="AB187" s="393"/>
      <c r="AC187" s="393"/>
      <c r="AD187" s="393"/>
      <c r="AE187" s="393"/>
    </row>
    <row r="188" spans="2:31" ht="30" hidden="1" customHeight="1" x14ac:dyDescent="0.35">
      <c r="B188" s="1292">
        <f t="shared" ref="B188:B193" si="3">B187+1</f>
        <v>2</v>
      </c>
      <c r="C188" s="1039"/>
      <c r="D188" s="1245"/>
      <c r="E188" s="1076"/>
      <c r="F188" s="1076"/>
      <c r="G188" s="1076"/>
      <c r="H188" s="1039"/>
      <c r="I188" s="1245"/>
      <c r="J188" s="1076"/>
      <c r="K188" s="1076"/>
      <c r="L188" s="1076"/>
      <c r="M188" s="1039"/>
      <c r="N188" s="1245"/>
      <c r="O188" s="1039"/>
      <c r="P188" s="1245"/>
      <c r="Q188" s="1039"/>
      <c r="R188" s="1245"/>
      <c r="S188" s="1039"/>
      <c r="T188" s="397"/>
      <c r="U188" s="392"/>
      <c r="V188" s="392"/>
      <c r="W188" s="392"/>
      <c r="X188" s="392"/>
      <c r="Y188" s="392"/>
      <c r="Z188" s="392"/>
      <c r="AA188" s="393"/>
      <c r="AB188" s="393"/>
      <c r="AC188" s="393"/>
      <c r="AD188" s="393"/>
      <c r="AE188" s="393"/>
    </row>
    <row r="189" spans="2:31" ht="30" hidden="1" customHeight="1" x14ac:dyDescent="0.35">
      <c r="B189" s="1292">
        <f t="shared" si="3"/>
        <v>3</v>
      </c>
      <c r="C189" s="1039"/>
      <c r="D189" s="1245"/>
      <c r="E189" s="1076"/>
      <c r="F189" s="1076"/>
      <c r="G189" s="1076"/>
      <c r="H189" s="1039"/>
      <c r="I189" s="1245"/>
      <c r="J189" s="1076"/>
      <c r="K189" s="1076"/>
      <c r="L189" s="1076"/>
      <c r="M189" s="1039"/>
      <c r="N189" s="1245"/>
      <c r="O189" s="1039"/>
      <c r="P189" s="1245"/>
      <c r="Q189" s="1039"/>
      <c r="R189" s="1245"/>
      <c r="S189" s="1039"/>
      <c r="T189" s="397"/>
      <c r="U189" s="392"/>
      <c r="V189" s="392"/>
      <c r="W189" s="392"/>
      <c r="X189" s="392"/>
      <c r="Y189" s="392"/>
      <c r="Z189" s="392"/>
      <c r="AA189" s="393"/>
      <c r="AB189" s="393"/>
      <c r="AC189" s="393"/>
      <c r="AD189" s="393"/>
      <c r="AE189" s="393"/>
    </row>
    <row r="190" spans="2:31" ht="30" hidden="1" customHeight="1" x14ac:dyDescent="0.35">
      <c r="B190" s="1292">
        <f t="shared" si="3"/>
        <v>4</v>
      </c>
      <c r="C190" s="1039"/>
      <c r="D190" s="1245"/>
      <c r="E190" s="1076"/>
      <c r="F190" s="1076"/>
      <c r="G190" s="1076"/>
      <c r="H190" s="1039"/>
      <c r="I190" s="1245"/>
      <c r="J190" s="1076"/>
      <c r="K190" s="1076"/>
      <c r="L190" s="1076"/>
      <c r="M190" s="1039"/>
      <c r="N190" s="1245"/>
      <c r="O190" s="1039"/>
      <c r="P190" s="1245"/>
      <c r="Q190" s="1039"/>
      <c r="R190" s="1245"/>
      <c r="S190" s="1039"/>
      <c r="T190" s="397"/>
      <c r="U190" s="392"/>
      <c r="V190" s="392"/>
      <c r="W190" s="392"/>
      <c r="X190" s="392"/>
      <c r="Y190" s="392"/>
      <c r="Z190" s="392"/>
      <c r="AA190" s="393"/>
      <c r="AB190" s="393"/>
      <c r="AC190" s="393"/>
      <c r="AD190" s="393"/>
      <c r="AE190" s="393"/>
    </row>
    <row r="191" spans="2:31" ht="30" hidden="1" customHeight="1" x14ac:dyDescent="0.35">
      <c r="B191" s="1292">
        <f t="shared" si="3"/>
        <v>5</v>
      </c>
      <c r="C191" s="1039"/>
      <c r="D191" s="1245"/>
      <c r="E191" s="1076"/>
      <c r="F191" s="1076"/>
      <c r="G191" s="1076"/>
      <c r="H191" s="1039"/>
      <c r="I191" s="1245"/>
      <c r="J191" s="1076"/>
      <c r="K191" s="1076"/>
      <c r="L191" s="1076"/>
      <c r="M191" s="1039"/>
      <c r="N191" s="1245"/>
      <c r="O191" s="1039"/>
      <c r="P191" s="1245"/>
      <c r="Q191" s="1039"/>
      <c r="R191" s="1245"/>
      <c r="S191" s="1039"/>
      <c r="T191" s="397"/>
      <c r="U191" s="392"/>
      <c r="V191" s="392"/>
      <c r="W191" s="392"/>
      <c r="X191" s="392"/>
      <c r="Y191" s="392"/>
      <c r="Z191" s="392"/>
      <c r="AA191" s="393"/>
      <c r="AB191" s="393"/>
      <c r="AC191" s="393"/>
      <c r="AD191" s="393"/>
      <c r="AE191" s="393"/>
    </row>
    <row r="192" spans="2:31" ht="30" hidden="1" customHeight="1" x14ac:dyDescent="0.35">
      <c r="B192" s="1292">
        <f t="shared" si="3"/>
        <v>6</v>
      </c>
      <c r="C192" s="1039"/>
      <c r="D192" s="1245"/>
      <c r="E192" s="1076"/>
      <c r="F192" s="1076"/>
      <c r="G192" s="1076"/>
      <c r="H192" s="1039"/>
      <c r="I192" s="1245"/>
      <c r="J192" s="1076"/>
      <c r="K192" s="1076"/>
      <c r="L192" s="1076"/>
      <c r="M192" s="1039"/>
      <c r="N192" s="1245"/>
      <c r="O192" s="1039"/>
      <c r="P192" s="1245"/>
      <c r="Q192" s="1039"/>
      <c r="R192" s="1245"/>
      <c r="S192" s="1039"/>
      <c r="T192" s="397"/>
      <c r="U192" s="392"/>
      <c r="V192" s="392"/>
      <c r="W192" s="392"/>
      <c r="X192" s="392"/>
      <c r="Y192" s="392"/>
      <c r="Z192" s="392"/>
      <c r="AA192" s="393"/>
      <c r="AB192" s="393"/>
      <c r="AC192" s="393"/>
      <c r="AD192" s="393"/>
      <c r="AE192" s="393"/>
    </row>
    <row r="193" spans="2:31" ht="30" hidden="1" customHeight="1" thickBot="1" x14ac:dyDescent="0.4">
      <c r="B193" s="1294">
        <f t="shared" si="3"/>
        <v>7</v>
      </c>
      <c r="C193" s="1063"/>
      <c r="D193" s="1295"/>
      <c r="E193" s="1062"/>
      <c r="F193" s="1062"/>
      <c r="G193" s="1062"/>
      <c r="H193" s="1063"/>
      <c r="I193" s="1295"/>
      <c r="J193" s="1062"/>
      <c r="K193" s="1062"/>
      <c r="L193" s="1062"/>
      <c r="M193" s="1063"/>
      <c r="N193" s="1295"/>
      <c r="O193" s="1063"/>
      <c r="P193" s="1295"/>
      <c r="Q193" s="1063"/>
      <c r="R193" s="1295"/>
      <c r="S193" s="1063"/>
      <c r="T193" s="398"/>
      <c r="U193" s="392"/>
      <c r="V193" s="392"/>
      <c r="W193" s="392"/>
      <c r="X193" s="392"/>
      <c r="Y193" s="392"/>
      <c r="Z193" s="392"/>
      <c r="AA193" s="393"/>
      <c r="AB193" s="393"/>
      <c r="AC193" s="393"/>
      <c r="AD193" s="393"/>
      <c r="AE193" s="393"/>
    </row>
    <row r="194" spans="2:31" ht="15" hidden="1" customHeight="1" thickBot="1" x14ac:dyDescent="0.4">
      <c r="B194" s="388"/>
      <c r="C194" s="388"/>
      <c r="D194" s="388"/>
      <c r="E194" s="388"/>
      <c r="F194" s="388"/>
      <c r="G194" s="388"/>
      <c r="H194" s="388"/>
      <c r="I194" s="388"/>
      <c r="J194" s="388"/>
      <c r="K194" s="388"/>
      <c r="L194" s="388"/>
      <c r="M194" s="388"/>
      <c r="N194" s="388"/>
      <c r="O194" s="388"/>
      <c r="P194" s="388"/>
      <c r="Q194" s="388"/>
      <c r="R194" s="388"/>
      <c r="S194" s="388"/>
      <c r="T194" s="388"/>
      <c r="U194" s="388"/>
      <c r="V194" s="388"/>
      <c r="W194" s="388"/>
      <c r="X194" s="388"/>
      <c r="Y194" s="388"/>
      <c r="Z194" s="388"/>
      <c r="AA194" s="389"/>
      <c r="AB194" s="389"/>
      <c r="AC194" s="389"/>
      <c r="AD194" s="389"/>
      <c r="AE194" s="389"/>
    </row>
    <row r="195" spans="2:31" ht="26.25" hidden="1" customHeight="1" thickBot="1" x14ac:dyDescent="0.4">
      <c r="B195" s="1268" t="s">
        <v>611</v>
      </c>
      <c r="C195" s="1269"/>
      <c r="D195" s="1269"/>
      <c r="E195" s="1270" t="str">
        <f>'Estudio de Mercados'!$B$238</f>
        <v>Escriba aquì el nombre de su producto ó servicio 4</v>
      </c>
      <c r="F195" s="1270"/>
      <c r="G195" s="1270"/>
      <c r="H195" s="1270"/>
      <c r="I195" s="1270"/>
      <c r="J195" s="1270"/>
      <c r="K195" s="1270"/>
      <c r="L195" s="1270"/>
      <c r="M195" s="1270"/>
      <c r="N195" s="1270"/>
      <c r="O195" s="1270"/>
      <c r="P195" s="1270"/>
      <c r="Q195" s="1270"/>
      <c r="R195" s="1270"/>
      <c r="S195" s="1270"/>
      <c r="T195" s="1271"/>
      <c r="U195" s="388"/>
      <c r="V195" s="388"/>
      <c r="W195" s="388"/>
      <c r="X195" s="388"/>
      <c r="Y195" s="388"/>
      <c r="Z195" s="388"/>
      <c r="AA195" s="389"/>
      <c r="AB195" s="389"/>
      <c r="AC195" s="389"/>
      <c r="AD195" s="389"/>
      <c r="AE195" s="389"/>
    </row>
    <row r="196" spans="2:31" ht="14.25" hidden="1" customHeight="1" x14ac:dyDescent="0.35">
      <c r="B196" s="1272" t="s">
        <v>602</v>
      </c>
      <c r="C196" s="1130"/>
      <c r="D196" s="1264" t="s">
        <v>603</v>
      </c>
      <c r="E196" s="1129"/>
      <c r="F196" s="1129"/>
      <c r="G196" s="1129"/>
      <c r="H196" s="1130"/>
      <c r="I196" s="1264" t="s">
        <v>131</v>
      </c>
      <c r="J196" s="1129"/>
      <c r="K196" s="1129"/>
      <c r="L196" s="1129"/>
      <c r="M196" s="1130"/>
      <c r="N196" s="1265" t="s">
        <v>604</v>
      </c>
      <c r="O196" s="1108"/>
      <c r="P196" s="1108"/>
      <c r="Q196" s="1108"/>
      <c r="R196" s="1108"/>
      <c r="S196" s="1109"/>
      <c r="T196" s="1274" t="s">
        <v>605</v>
      </c>
      <c r="U196" s="388"/>
      <c r="V196" s="388"/>
      <c r="W196" s="388"/>
      <c r="X196" s="388"/>
      <c r="Y196" s="388"/>
      <c r="Z196" s="388"/>
      <c r="AA196" s="389"/>
      <c r="AB196" s="389"/>
      <c r="AC196" s="389"/>
      <c r="AD196" s="389"/>
      <c r="AE196" s="389"/>
    </row>
    <row r="197" spans="2:31" ht="67.5" hidden="1" customHeight="1" thickBot="1" x14ac:dyDescent="0.4">
      <c r="B197" s="1273"/>
      <c r="C197" s="1263"/>
      <c r="D197" s="1168"/>
      <c r="E197" s="1169"/>
      <c r="F197" s="1169"/>
      <c r="G197" s="1169"/>
      <c r="H197" s="1263"/>
      <c r="I197" s="1168"/>
      <c r="J197" s="1169"/>
      <c r="K197" s="1169"/>
      <c r="L197" s="1169"/>
      <c r="M197" s="1263"/>
      <c r="N197" s="1246" t="s">
        <v>606</v>
      </c>
      <c r="O197" s="1063"/>
      <c r="P197" s="1246" t="s">
        <v>607</v>
      </c>
      <c r="Q197" s="1063"/>
      <c r="R197" s="1246" t="s">
        <v>608</v>
      </c>
      <c r="S197" s="1063"/>
      <c r="T197" s="1275"/>
      <c r="U197" s="388"/>
      <c r="V197" s="388"/>
      <c r="W197" s="388"/>
      <c r="X197" s="388"/>
      <c r="Y197" s="388"/>
      <c r="Z197" s="388"/>
      <c r="AA197" s="389"/>
      <c r="AB197" s="389"/>
      <c r="AC197" s="389"/>
      <c r="AD197" s="389"/>
      <c r="AE197" s="389"/>
    </row>
    <row r="198" spans="2:31" ht="30" hidden="1" customHeight="1" x14ac:dyDescent="0.35">
      <c r="B198" s="1293">
        <v>1</v>
      </c>
      <c r="C198" s="1256"/>
      <c r="D198" s="1255"/>
      <c r="E198" s="1073"/>
      <c r="F198" s="1073"/>
      <c r="G198" s="1073"/>
      <c r="H198" s="1256"/>
      <c r="I198" s="1255"/>
      <c r="J198" s="1073"/>
      <c r="K198" s="1073"/>
      <c r="L198" s="1073"/>
      <c r="M198" s="1256"/>
      <c r="N198" s="1255"/>
      <c r="O198" s="1256"/>
      <c r="P198" s="1255"/>
      <c r="Q198" s="1256"/>
      <c r="R198" s="1255"/>
      <c r="S198" s="1256"/>
      <c r="T198" s="396"/>
      <c r="U198" s="392"/>
      <c r="V198" s="392"/>
      <c r="W198" s="392"/>
      <c r="X198" s="392"/>
      <c r="Y198" s="392"/>
      <c r="Z198" s="392"/>
      <c r="AA198" s="393"/>
      <c r="AB198" s="393"/>
      <c r="AC198" s="393"/>
      <c r="AD198" s="393"/>
      <c r="AE198" s="393"/>
    </row>
    <row r="199" spans="2:31" ht="30" hidden="1" customHeight="1" x14ac:dyDescent="0.35">
      <c r="B199" s="1292">
        <f t="shared" ref="B199:B204" si="4">B198+1</f>
        <v>2</v>
      </c>
      <c r="C199" s="1039"/>
      <c r="D199" s="1245"/>
      <c r="E199" s="1076"/>
      <c r="F199" s="1076"/>
      <c r="G199" s="1076"/>
      <c r="H199" s="1039"/>
      <c r="I199" s="1245"/>
      <c r="J199" s="1076"/>
      <c r="K199" s="1076"/>
      <c r="L199" s="1076"/>
      <c r="M199" s="1039"/>
      <c r="N199" s="1245"/>
      <c r="O199" s="1039"/>
      <c r="P199" s="1245"/>
      <c r="Q199" s="1039"/>
      <c r="R199" s="1245"/>
      <c r="S199" s="1039"/>
      <c r="T199" s="397"/>
      <c r="U199" s="392"/>
      <c r="V199" s="392"/>
      <c r="W199" s="392"/>
      <c r="X199" s="392"/>
      <c r="Y199" s="392"/>
      <c r="Z199" s="392"/>
      <c r="AA199" s="393"/>
      <c r="AB199" s="393"/>
      <c r="AC199" s="393"/>
      <c r="AD199" s="393"/>
      <c r="AE199" s="393"/>
    </row>
    <row r="200" spans="2:31" ht="30" hidden="1" customHeight="1" x14ac:dyDescent="0.35">
      <c r="B200" s="1292">
        <f t="shared" si="4"/>
        <v>3</v>
      </c>
      <c r="C200" s="1039"/>
      <c r="D200" s="1245"/>
      <c r="E200" s="1076"/>
      <c r="F200" s="1076"/>
      <c r="G200" s="1076"/>
      <c r="H200" s="1039"/>
      <c r="I200" s="1245"/>
      <c r="J200" s="1076"/>
      <c r="K200" s="1076"/>
      <c r="L200" s="1076"/>
      <c r="M200" s="1039"/>
      <c r="N200" s="1245"/>
      <c r="O200" s="1039"/>
      <c r="P200" s="1245"/>
      <c r="Q200" s="1039"/>
      <c r="R200" s="1245"/>
      <c r="S200" s="1039"/>
      <c r="T200" s="397"/>
      <c r="U200" s="392"/>
      <c r="V200" s="392"/>
      <c r="W200" s="392"/>
      <c r="X200" s="392"/>
      <c r="Y200" s="392"/>
      <c r="Z200" s="392"/>
      <c r="AA200" s="393"/>
      <c r="AB200" s="393"/>
      <c r="AC200" s="393"/>
      <c r="AD200" s="393"/>
      <c r="AE200" s="393"/>
    </row>
    <row r="201" spans="2:31" ht="30" hidden="1" customHeight="1" x14ac:dyDescent="0.35">
      <c r="B201" s="1292">
        <f t="shared" si="4"/>
        <v>4</v>
      </c>
      <c r="C201" s="1039"/>
      <c r="D201" s="1245"/>
      <c r="E201" s="1076"/>
      <c r="F201" s="1076"/>
      <c r="G201" s="1076"/>
      <c r="H201" s="1039"/>
      <c r="I201" s="1245"/>
      <c r="J201" s="1076"/>
      <c r="K201" s="1076"/>
      <c r="L201" s="1076"/>
      <c r="M201" s="1039"/>
      <c r="N201" s="1245"/>
      <c r="O201" s="1039"/>
      <c r="P201" s="1245"/>
      <c r="Q201" s="1039"/>
      <c r="R201" s="1245"/>
      <c r="S201" s="1039"/>
      <c r="T201" s="397"/>
      <c r="U201" s="392"/>
      <c r="V201" s="392"/>
      <c r="W201" s="392"/>
      <c r="X201" s="392"/>
      <c r="Y201" s="392"/>
      <c r="Z201" s="392"/>
      <c r="AA201" s="393"/>
      <c r="AB201" s="393"/>
      <c r="AC201" s="393"/>
      <c r="AD201" s="393"/>
      <c r="AE201" s="393"/>
    </row>
    <row r="202" spans="2:31" ht="30" hidden="1" customHeight="1" x14ac:dyDescent="0.35">
      <c r="B202" s="1292">
        <f t="shared" si="4"/>
        <v>5</v>
      </c>
      <c r="C202" s="1039"/>
      <c r="D202" s="1245"/>
      <c r="E202" s="1076"/>
      <c r="F202" s="1076"/>
      <c r="G202" s="1076"/>
      <c r="H202" s="1039"/>
      <c r="I202" s="1245"/>
      <c r="J202" s="1076"/>
      <c r="K202" s="1076"/>
      <c r="L202" s="1076"/>
      <c r="M202" s="1039"/>
      <c r="N202" s="1245"/>
      <c r="O202" s="1039"/>
      <c r="P202" s="1245"/>
      <c r="Q202" s="1039"/>
      <c r="R202" s="1245"/>
      <c r="S202" s="1039"/>
      <c r="T202" s="397"/>
      <c r="U202" s="392"/>
      <c r="V202" s="392"/>
      <c r="W202" s="392"/>
      <c r="X202" s="392"/>
      <c r="Y202" s="392"/>
      <c r="Z202" s="392"/>
      <c r="AA202" s="393"/>
      <c r="AB202" s="393"/>
      <c r="AC202" s="393"/>
      <c r="AD202" s="393"/>
      <c r="AE202" s="393"/>
    </row>
    <row r="203" spans="2:31" ht="30" hidden="1" customHeight="1" x14ac:dyDescent="0.35">
      <c r="B203" s="1292">
        <f t="shared" si="4"/>
        <v>6</v>
      </c>
      <c r="C203" s="1039"/>
      <c r="D203" s="1245"/>
      <c r="E203" s="1076"/>
      <c r="F203" s="1076"/>
      <c r="G203" s="1076"/>
      <c r="H203" s="1039"/>
      <c r="I203" s="1245"/>
      <c r="J203" s="1076"/>
      <c r="K203" s="1076"/>
      <c r="L203" s="1076"/>
      <c r="M203" s="1039"/>
      <c r="N203" s="1245"/>
      <c r="O203" s="1039"/>
      <c r="P203" s="1245"/>
      <c r="Q203" s="1039"/>
      <c r="R203" s="1245"/>
      <c r="S203" s="1039"/>
      <c r="T203" s="397"/>
      <c r="U203" s="392"/>
      <c r="V203" s="392"/>
      <c r="W203" s="392"/>
      <c r="X203" s="392"/>
      <c r="Y203" s="392"/>
      <c r="Z203" s="392"/>
      <c r="AA203" s="393"/>
      <c r="AB203" s="393"/>
      <c r="AC203" s="393"/>
      <c r="AD203" s="393"/>
      <c r="AE203" s="393"/>
    </row>
    <row r="204" spans="2:31" ht="30" hidden="1" customHeight="1" thickBot="1" x14ac:dyDescent="0.4">
      <c r="B204" s="1294">
        <f t="shared" si="4"/>
        <v>7</v>
      </c>
      <c r="C204" s="1063"/>
      <c r="D204" s="1295"/>
      <c r="E204" s="1062"/>
      <c r="F204" s="1062"/>
      <c r="G204" s="1062"/>
      <c r="H204" s="1063"/>
      <c r="I204" s="1295"/>
      <c r="J204" s="1062"/>
      <c r="K204" s="1062"/>
      <c r="L204" s="1062"/>
      <c r="M204" s="1063"/>
      <c r="N204" s="1295"/>
      <c r="O204" s="1063"/>
      <c r="P204" s="1295"/>
      <c r="Q204" s="1063"/>
      <c r="R204" s="1295"/>
      <c r="S204" s="1063"/>
      <c r="T204" s="398"/>
      <c r="U204" s="392"/>
      <c r="V204" s="392"/>
      <c r="W204" s="392"/>
      <c r="X204" s="392"/>
      <c r="Y204" s="392"/>
      <c r="Z204" s="392"/>
      <c r="AA204" s="393"/>
      <c r="AB204" s="393"/>
      <c r="AC204" s="393"/>
      <c r="AD204" s="393"/>
      <c r="AE204" s="393"/>
    </row>
    <row r="205" spans="2:31" ht="15" customHeight="1" x14ac:dyDescent="0.35">
      <c r="B205" s="388"/>
      <c r="C205" s="388"/>
      <c r="D205" s="388"/>
      <c r="E205" s="388"/>
      <c r="F205" s="388"/>
      <c r="G205" s="388"/>
      <c r="H205" s="388"/>
      <c r="I205" s="388"/>
      <c r="J205" s="388"/>
      <c r="K205" s="388"/>
      <c r="L205" s="388"/>
      <c r="M205" s="388"/>
      <c r="N205" s="388"/>
      <c r="O205" s="388"/>
      <c r="P205" s="388"/>
      <c r="Q205" s="388"/>
      <c r="R205" s="388"/>
      <c r="S205" s="388"/>
      <c r="T205" s="388"/>
      <c r="U205" s="388"/>
      <c r="V205" s="388"/>
      <c r="W205" s="388"/>
      <c r="X205" s="388"/>
      <c r="Y205" s="388"/>
      <c r="Z205" s="388"/>
      <c r="AA205" s="389"/>
      <c r="AB205" s="389"/>
      <c r="AC205" s="389"/>
      <c r="AD205" s="389"/>
      <c r="AE205" s="389"/>
    </row>
    <row r="206" spans="2:31" ht="15" customHeight="1" x14ac:dyDescent="0.35">
      <c r="B206" s="388"/>
      <c r="C206" s="388"/>
      <c r="D206" s="388"/>
      <c r="E206" s="388"/>
      <c r="F206" s="388"/>
      <c r="G206" s="388"/>
      <c r="H206" s="388"/>
      <c r="I206" s="388"/>
      <c r="J206" s="388"/>
      <c r="K206" s="388"/>
      <c r="L206" s="388"/>
      <c r="M206" s="388"/>
      <c r="N206" s="388"/>
      <c r="O206" s="388"/>
      <c r="P206" s="388"/>
      <c r="Q206" s="388"/>
      <c r="R206" s="388"/>
      <c r="S206" s="388"/>
      <c r="T206" s="388"/>
      <c r="U206" s="388"/>
      <c r="V206" s="388"/>
      <c r="W206" s="388"/>
      <c r="X206" s="388"/>
      <c r="Y206" s="388"/>
      <c r="Z206" s="388"/>
      <c r="AA206" s="389"/>
      <c r="AB206" s="389"/>
      <c r="AC206" s="389"/>
      <c r="AD206" s="389"/>
      <c r="AE206" s="389"/>
    </row>
    <row r="207" spans="2:31" ht="24" customHeight="1" x14ac:dyDescent="0.35">
      <c r="B207" s="1067" t="s">
        <v>612</v>
      </c>
      <c r="C207" s="1067"/>
      <c r="D207" s="1067"/>
      <c r="E207" s="1067"/>
      <c r="F207" s="1067"/>
      <c r="G207" s="1067"/>
      <c r="H207" s="1067"/>
      <c r="I207" s="1067"/>
      <c r="J207" s="1067"/>
      <c r="K207" s="1067"/>
      <c r="L207" s="1067"/>
      <c r="M207" s="1067"/>
      <c r="N207" s="1067"/>
      <c r="O207" s="1067"/>
      <c r="P207" s="1067"/>
      <c r="Q207" s="1067"/>
      <c r="R207" s="1067"/>
      <c r="S207" s="1067"/>
      <c r="T207" s="1067"/>
      <c r="U207" s="392"/>
      <c r="V207" s="392"/>
      <c r="W207" s="392"/>
      <c r="X207" s="392"/>
      <c r="Y207" s="392"/>
      <c r="Z207" s="392"/>
      <c r="AA207" s="393"/>
      <c r="AB207" s="393"/>
      <c r="AC207" s="393"/>
      <c r="AD207" s="393"/>
      <c r="AE207" s="393"/>
    </row>
    <row r="208" spans="2:31" ht="15" customHeight="1" thickBot="1" x14ac:dyDescent="0.4">
      <c r="B208" s="388"/>
      <c r="C208" s="388"/>
      <c r="D208" s="388"/>
      <c r="E208" s="388"/>
      <c r="F208" s="388"/>
      <c r="G208" s="388"/>
      <c r="H208" s="388"/>
      <c r="I208" s="388"/>
      <c r="J208" s="388"/>
      <c r="K208" s="388"/>
      <c r="L208" s="388"/>
      <c r="M208" s="388"/>
      <c r="N208" s="388"/>
      <c r="O208" s="388"/>
      <c r="P208" s="388"/>
      <c r="Q208" s="388"/>
      <c r="R208" s="388"/>
      <c r="S208" s="388"/>
      <c r="T208" s="388"/>
      <c r="U208" s="388"/>
      <c r="V208" s="388"/>
      <c r="W208" s="388"/>
      <c r="X208" s="388"/>
      <c r="Y208" s="388"/>
      <c r="Z208" s="388"/>
      <c r="AA208" s="389"/>
      <c r="AB208" s="389"/>
      <c r="AC208" s="389"/>
      <c r="AD208" s="389"/>
      <c r="AE208" s="389"/>
    </row>
    <row r="209" spans="2:31" ht="24" customHeight="1" thickBot="1" x14ac:dyDescent="0.4">
      <c r="B209" s="1102" t="s">
        <v>613</v>
      </c>
      <c r="C209" s="1103"/>
      <c r="D209" s="1103"/>
      <c r="E209" s="1104"/>
      <c r="F209" s="1105" t="s">
        <v>614</v>
      </c>
      <c r="G209" s="1103"/>
      <c r="H209" s="1103"/>
      <c r="I209" s="1104"/>
      <c r="J209" s="1105" t="s">
        <v>615</v>
      </c>
      <c r="K209" s="1302"/>
      <c r="L209" s="1302"/>
      <c r="M209" s="1302"/>
      <c r="N209" s="1302"/>
      <c r="O209" s="1303"/>
      <c r="P209" s="1105" t="s">
        <v>616</v>
      </c>
      <c r="Q209" s="1104"/>
      <c r="R209" s="1105" t="s">
        <v>617</v>
      </c>
      <c r="S209" s="1104"/>
      <c r="T209" s="399" t="s">
        <v>618</v>
      </c>
      <c r="U209" s="392"/>
      <c r="V209" s="392"/>
      <c r="W209" s="392"/>
      <c r="X209" s="392"/>
      <c r="Y209" s="392"/>
      <c r="Z209" s="392"/>
      <c r="AA209" s="393"/>
      <c r="AB209" s="393"/>
      <c r="AC209" s="393"/>
      <c r="AD209" s="393"/>
      <c r="AE209" s="393"/>
    </row>
    <row r="210" spans="2:31" ht="15.5" x14ac:dyDescent="0.35">
      <c r="B210" s="1306" t="s">
        <v>619</v>
      </c>
      <c r="C210" s="1307"/>
      <c r="D210" s="1307"/>
      <c r="E210" s="1316"/>
      <c r="F210" s="1309" t="s">
        <v>783</v>
      </c>
      <c r="G210" s="1310"/>
      <c r="H210" s="1310"/>
      <c r="I210" s="1311"/>
      <c r="J210" s="1309" t="s">
        <v>818</v>
      </c>
      <c r="K210" s="1312"/>
      <c r="L210" s="1312"/>
      <c r="M210" s="1312"/>
      <c r="N210" s="1312"/>
      <c r="O210" s="1313"/>
      <c r="P210" s="1309">
        <v>7</v>
      </c>
      <c r="Q210" s="1311"/>
      <c r="R210" s="1314">
        <v>1090000</v>
      </c>
      <c r="S210" s="1315"/>
      <c r="T210" s="400">
        <f t="shared" ref="T210:T258" si="5">(P210*R210)</f>
        <v>7630000</v>
      </c>
      <c r="U210" s="401"/>
      <c r="V210" s="401"/>
      <c r="W210" s="388"/>
      <c r="X210" s="388"/>
      <c r="Y210" s="388"/>
      <c r="Z210" s="388"/>
      <c r="AA210" s="389"/>
      <c r="AB210" s="389"/>
      <c r="AC210" s="389"/>
      <c r="AD210" s="389"/>
      <c r="AE210" s="389"/>
    </row>
    <row r="211" spans="2:31" ht="15.5" x14ac:dyDescent="0.35">
      <c r="B211" s="1144"/>
      <c r="C211" s="1129"/>
      <c r="D211" s="1129"/>
      <c r="E211" s="1130"/>
      <c r="F211" s="1040" t="s">
        <v>786</v>
      </c>
      <c r="G211" s="1031"/>
      <c r="H211" s="1031"/>
      <c r="I211" s="1032"/>
      <c r="J211" s="1040" t="s">
        <v>820</v>
      </c>
      <c r="K211" s="1041"/>
      <c r="L211" s="1041"/>
      <c r="M211" s="1041"/>
      <c r="N211" s="1041"/>
      <c r="O211" s="1042"/>
      <c r="P211" s="1040">
        <v>1</v>
      </c>
      <c r="Q211" s="1032"/>
      <c r="R211" s="1030">
        <v>430000</v>
      </c>
      <c r="S211" s="1043"/>
      <c r="T211" s="402">
        <f>(P211*R211)</f>
        <v>430000</v>
      </c>
      <c r="U211" s="401"/>
      <c r="V211" s="401"/>
      <c r="W211" s="388"/>
      <c r="X211" s="388"/>
      <c r="Y211" s="388"/>
      <c r="Z211" s="388"/>
      <c r="AA211" s="389"/>
      <c r="AB211" s="389"/>
      <c r="AC211" s="389"/>
      <c r="AD211" s="389"/>
      <c r="AE211" s="389"/>
    </row>
    <row r="212" spans="2:31" ht="15.5" x14ac:dyDescent="0.35">
      <c r="B212" s="1144"/>
      <c r="C212" s="1129"/>
      <c r="D212" s="1129"/>
      <c r="E212" s="1130"/>
      <c r="F212" s="1040" t="s">
        <v>787</v>
      </c>
      <c r="G212" s="1031"/>
      <c r="H212" s="1031"/>
      <c r="I212" s="1032"/>
      <c r="J212" s="1040" t="s">
        <v>819</v>
      </c>
      <c r="K212" s="1041"/>
      <c r="L212" s="1041"/>
      <c r="M212" s="1041"/>
      <c r="N212" s="1041"/>
      <c r="O212" s="1042"/>
      <c r="P212" s="1040">
        <v>1</v>
      </c>
      <c r="Q212" s="1032"/>
      <c r="R212" s="1030">
        <v>390000</v>
      </c>
      <c r="S212" s="1043"/>
      <c r="T212" s="402">
        <f t="shared" si="5"/>
        <v>390000</v>
      </c>
      <c r="U212" s="401"/>
      <c r="V212" s="401"/>
      <c r="W212" s="388"/>
      <c r="X212" s="388"/>
      <c r="Y212" s="388"/>
      <c r="Z212" s="388"/>
      <c r="AA212" s="389"/>
      <c r="AB212" s="389"/>
      <c r="AC212" s="389"/>
      <c r="AD212" s="389"/>
      <c r="AE212" s="389"/>
    </row>
    <row r="213" spans="2:31" ht="16" thickBot="1" x14ac:dyDescent="0.4">
      <c r="B213" s="1144"/>
      <c r="C213" s="1129"/>
      <c r="D213" s="1129"/>
      <c r="E213" s="1130"/>
      <c r="F213" s="1040" t="s">
        <v>788</v>
      </c>
      <c r="G213" s="1031"/>
      <c r="H213" s="1031"/>
      <c r="I213" s="1032"/>
      <c r="J213" s="1040" t="s">
        <v>827</v>
      </c>
      <c r="K213" s="1041"/>
      <c r="L213" s="1041"/>
      <c r="M213" s="1041"/>
      <c r="N213" s="1041"/>
      <c r="O213" s="1042"/>
      <c r="P213" s="1040">
        <v>1</v>
      </c>
      <c r="Q213" s="1032"/>
      <c r="R213" s="1030">
        <v>270000</v>
      </c>
      <c r="S213" s="1043"/>
      <c r="T213" s="402">
        <f t="shared" si="5"/>
        <v>270000</v>
      </c>
      <c r="U213" s="401"/>
      <c r="V213" s="401"/>
      <c r="W213" s="388"/>
      <c r="X213" s="388"/>
      <c r="Y213" s="388"/>
      <c r="Z213" s="388"/>
      <c r="AA213" s="389"/>
      <c r="AB213" s="389"/>
      <c r="AC213" s="389"/>
      <c r="AD213" s="389"/>
      <c r="AE213" s="389"/>
    </row>
    <row r="214" spans="2:31" ht="16" thickBot="1" x14ac:dyDescent="0.4">
      <c r="B214" s="1273"/>
      <c r="C214" s="1169"/>
      <c r="D214" s="1169"/>
      <c r="E214" s="1263"/>
      <c r="F214" s="1296"/>
      <c r="G214" s="1319"/>
      <c r="H214" s="1319"/>
      <c r="I214" s="1299"/>
      <c r="J214" s="1296"/>
      <c r="K214" s="1297"/>
      <c r="L214" s="1297"/>
      <c r="M214" s="1297"/>
      <c r="N214" s="1297"/>
      <c r="O214" s="1298"/>
      <c r="P214" s="1296"/>
      <c r="Q214" s="1299"/>
      <c r="R214" s="1300">
        <v>0</v>
      </c>
      <c r="S214" s="1301"/>
      <c r="T214" s="403">
        <f t="shared" si="5"/>
        <v>0</v>
      </c>
      <c r="U214" s="1317">
        <f>SUM(T210:T214)</f>
        <v>8720000</v>
      </c>
      <c r="V214" s="1318"/>
      <c r="W214" s="388"/>
      <c r="X214" s="388"/>
      <c r="Y214" s="388"/>
      <c r="Z214" s="388"/>
      <c r="AA214" s="389"/>
      <c r="AB214" s="389"/>
      <c r="AC214" s="389"/>
      <c r="AD214" s="389"/>
      <c r="AE214" s="389"/>
    </row>
    <row r="215" spans="2:31" ht="7.5" customHeight="1" thickBot="1" x14ac:dyDescent="0.4">
      <c r="B215" s="388"/>
      <c r="C215" s="388"/>
      <c r="D215" s="388"/>
      <c r="E215" s="388"/>
      <c r="F215" s="388"/>
      <c r="G215" s="388"/>
      <c r="H215" s="388"/>
      <c r="I215" s="388"/>
      <c r="J215" s="388"/>
      <c r="K215" s="388"/>
      <c r="L215" s="388"/>
      <c r="M215" s="388"/>
      <c r="N215" s="388"/>
      <c r="O215" s="388"/>
      <c r="P215" s="388"/>
      <c r="Q215" s="388"/>
      <c r="R215" s="401"/>
      <c r="S215" s="401"/>
      <c r="T215" s="401"/>
      <c r="U215" s="401"/>
      <c r="V215" s="401"/>
      <c r="W215" s="388"/>
      <c r="X215" s="388"/>
      <c r="Y215" s="388"/>
      <c r="Z215" s="388"/>
      <c r="AA215" s="389"/>
      <c r="AB215" s="389"/>
      <c r="AC215" s="389"/>
      <c r="AD215" s="389"/>
      <c r="AE215" s="389"/>
    </row>
    <row r="216" spans="2:31" ht="15.5" x14ac:dyDescent="0.35">
      <c r="B216" s="1306" t="s">
        <v>620</v>
      </c>
      <c r="C216" s="1307"/>
      <c r="D216" s="1307"/>
      <c r="E216" s="1307"/>
      <c r="F216" s="1309" t="s">
        <v>792</v>
      </c>
      <c r="G216" s="1310"/>
      <c r="H216" s="1310"/>
      <c r="I216" s="1311"/>
      <c r="J216" s="1309" t="s">
        <v>821</v>
      </c>
      <c r="K216" s="1312"/>
      <c r="L216" s="1312"/>
      <c r="M216" s="1312"/>
      <c r="N216" s="1312"/>
      <c r="O216" s="1313"/>
      <c r="P216" s="1309">
        <v>1</v>
      </c>
      <c r="Q216" s="1311"/>
      <c r="R216" s="1314">
        <v>800000</v>
      </c>
      <c r="S216" s="1315"/>
      <c r="T216" s="400">
        <f t="shared" si="5"/>
        <v>800000</v>
      </c>
      <c r="U216" s="401"/>
      <c r="V216" s="401"/>
      <c r="W216" s="388"/>
      <c r="X216" s="388"/>
      <c r="Y216" s="388"/>
      <c r="Z216" s="388"/>
      <c r="AA216" s="389"/>
      <c r="AB216" s="389"/>
      <c r="AC216" s="389"/>
      <c r="AD216" s="389"/>
      <c r="AE216" s="389"/>
    </row>
    <row r="217" spans="2:31" ht="15.5" x14ac:dyDescent="0.35">
      <c r="B217" s="1144"/>
      <c r="C217" s="1129"/>
      <c r="D217" s="1129"/>
      <c r="E217" s="1308"/>
      <c r="F217" s="1040" t="s">
        <v>797</v>
      </c>
      <c r="G217" s="1031"/>
      <c r="H217" s="1031"/>
      <c r="I217" s="1032"/>
      <c r="J217" s="1040" t="s">
        <v>822</v>
      </c>
      <c r="K217" s="1041"/>
      <c r="L217" s="1041"/>
      <c r="M217" s="1041"/>
      <c r="N217" s="1041"/>
      <c r="O217" s="1042"/>
      <c r="P217" s="1040">
        <v>1</v>
      </c>
      <c r="Q217" s="1032"/>
      <c r="R217" s="1030">
        <v>5750000</v>
      </c>
      <c r="S217" s="1043"/>
      <c r="T217" s="402">
        <f t="shared" si="5"/>
        <v>5750000</v>
      </c>
      <c r="U217" s="401"/>
      <c r="V217" s="401"/>
      <c r="W217" s="388"/>
      <c r="X217" s="388"/>
      <c r="Y217" s="388"/>
      <c r="Z217" s="388"/>
      <c r="AA217" s="389"/>
      <c r="AB217" s="389"/>
      <c r="AC217" s="389"/>
      <c r="AD217" s="389"/>
      <c r="AE217" s="389"/>
    </row>
    <row r="218" spans="2:31" ht="15.5" x14ac:dyDescent="0.35">
      <c r="B218" s="1144"/>
      <c r="C218" s="1129"/>
      <c r="D218" s="1129"/>
      <c r="E218" s="1308"/>
      <c r="F218" s="1040" t="s">
        <v>798</v>
      </c>
      <c r="G218" s="1031"/>
      <c r="H218" s="1031"/>
      <c r="I218" s="1032"/>
      <c r="J218" s="1040" t="s">
        <v>823</v>
      </c>
      <c r="K218" s="1041"/>
      <c r="L218" s="1041"/>
      <c r="M218" s="1041"/>
      <c r="N218" s="1041"/>
      <c r="O218" s="1042"/>
      <c r="P218" s="1040">
        <v>10</v>
      </c>
      <c r="Q218" s="1032"/>
      <c r="R218" s="1030">
        <v>2300000</v>
      </c>
      <c r="S218" s="1043"/>
      <c r="T218" s="402">
        <f t="shared" si="5"/>
        <v>23000000</v>
      </c>
      <c r="U218" s="401"/>
      <c r="V218" s="401"/>
      <c r="W218" s="388"/>
      <c r="X218" s="388"/>
      <c r="Y218" s="388"/>
      <c r="Z218" s="388"/>
      <c r="AA218" s="389"/>
      <c r="AB218" s="389"/>
      <c r="AC218" s="389"/>
      <c r="AD218" s="389"/>
      <c r="AE218" s="389"/>
    </row>
    <row r="219" spans="2:31" ht="15.5" x14ac:dyDescent="0.35">
      <c r="B219" s="1144"/>
      <c r="C219" s="1129"/>
      <c r="D219" s="1129"/>
      <c r="E219" s="1308"/>
      <c r="F219" s="1040" t="s">
        <v>801</v>
      </c>
      <c r="G219" s="1031"/>
      <c r="H219" s="1031"/>
      <c r="I219" s="1032"/>
      <c r="J219" s="1040" t="s">
        <v>824</v>
      </c>
      <c r="K219" s="1041"/>
      <c r="L219" s="1041"/>
      <c r="M219" s="1041"/>
      <c r="N219" s="1041"/>
      <c r="O219" s="1042"/>
      <c r="P219" s="1040">
        <v>4</v>
      </c>
      <c r="Q219" s="1032"/>
      <c r="R219" s="1030">
        <v>85000</v>
      </c>
      <c r="S219" s="1043"/>
      <c r="T219" s="402">
        <f t="shared" si="5"/>
        <v>340000</v>
      </c>
      <c r="U219" s="401"/>
      <c r="V219" s="401"/>
      <c r="W219" s="388"/>
      <c r="X219" s="388"/>
      <c r="Y219" s="388"/>
      <c r="Z219" s="388"/>
      <c r="AA219" s="389"/>
      <c r="AB219" s="389"/>
      <c r="AC219" s="389"/>
      <c r="AD219" s="389"/>
      <c r="AE219" s="389"/>
    </row>
    <row r="220" spans="2:31" ht="15.5" x14ac:dyDescent="0.35">
      <c r="B220" s="1144"/>
      <c r="C220" s="1129"/>
      <c r="D220" s="1129"/>
      <c r="E220" s="1308"/>
      <c r="F220" s="1040" t="s">
        <v>802</v>
      </c>
      <c r="G220" s="1031"/>
      <c r="H220" s="1031"/>
      <c r="I220" s="1032"/>
      <c r="J220" s="1040" t="s">
        <v>825</v>
      </c>
      <c r="K220" s="1041"/>
      <c r="L220" s="1041"/>
      <c r="M220" s="1041"/>
      <c r="N220" s="1041"/>
      <c r="O220" s="1042"/>
      <c r="P220" s="1040">
        <v>5</v>
      </c>
      <c r="Q220" s="1032"/>
      <c r="R220" s="1030">
        <v>400000</v>
      </c>
      <c r="S220" s="1043"/>
      <c r="T220" s="402">
        <f t="shared" si="5"/>
        <v>2000000</v>
      </c>
      <c r="U220" s="401"/>
      <c r="V220" s="401"/>
      <c r="W220" s="388"/>
      <c r="X220" s="388"/>
      <c r="Y220" s="388"/>
      <c r="Z220" s="388"/>
      <c r="AA220" s="389"/>
      <c r="AB220" s="389"/>
      <c r="AC220" s="389"/>
      <c r="AD220" s="389"/>
      <c r="AE220" s="389"/>
    </row>
    <row r="221" spans="2:31" ht="15.5" x14ac:dyDescent="0.35">
      <c r="B221" s="1144"/>
      <c r="C221" s="1129"/>
      <c r="D221" s="1129"/>
      <c r="E221" s="1308"/>
      <c r="F221" s="1040" t="s">
        <v>805</v>
      </c>
      <c r="G221" s="1031"/>
      <c r="H221" s="1031"/>
      <c r="I221" s="1032"/>
      <c r="J221" s="1040" t="s">
        <v>826</v>
      </c>
      <c r="K221" s="1041"/>
      <c r="L221" s="1041"/>
      <c r="M221" s="1041"/>
      <c r="N221" s="1041"/>
      <c r="O221" s="1042"/>
      <c r="P221" s="1040">
        <v>4</v>
      </c>
      <c r="Q221" s="1032"/>
      <c r="R221" s="1030">
        <v>500000</v>
      </c>
      <c r="S221" s="1043"/>
      <c r="T221" s="402">
        <f t="shared" si="5"/>
        <v>2000000</v>
      </c>
      <c r="U221" s="401"/>
      <c r="V221" s="401"/>
      <c r="W221" s="388"/>
      <c r="X221" s="388"/>
      <c r="Y221" s="388"/>
      <c r="Z221" s="388"/>
      <c r="AA221" s="389"/>
      <c r="AB221" s="389"/>
      <c r="AC221" s="389"/>
      <c r="AD221" s="389"/>
      <c r="AE221" s="389"/>
    </row>
    <row r="222" spans="2:31" ht="15.5" x14ac:dyDescent="0.35">
      <c r="B222" s="1144"/>
      <c r="C222" s="1129"/>
      <c r="D222" s="1129"/>
      <c r="E222" s="1308"/>
      <c r="F222" s="1040" t="s">
        <v>866</v>
      </c>
      <c r="G222" s="1031"/>
      <c r="H222" s="1031"/>
      <c r="I222" s="1032"/>
      <c r="J222" s="1040" t="s">
        <v>867</v>
      </c>
      <c r="K222" s="1041"/>
      <c r="L222" s="1041"/>
      <c r="M222" s="1041"/>
      <c r="N222" s="1041"/>
      <c r="O222" s="1042"/>
      <c r="P222" s="1040">
        <v>1</v>
      </c>
      <c r="Q222" s="1032"/>
      <c r="R222" s="1030">
        <v>1900000</v>
      </c>
      <c r="S222" s="1043"/>
      <c r="T222" s="402">
        <f t="shared" si="5"/>
        <v>1900000</v>
      </c>
      <c r="U222" s="401"/>
      <c r="V222" s="401"/>
      <c r="W222" s="388"/>
      <c r="X222" s="388"/>
      <c r="Y222" s="388"/>
      <c r="Z222" s="388"/>
      <c r="AA222" s="389"/>
      <c r="AB222" s="389"/>
      <c r="AC222" s="389"/>
      <c r="AD222" s="389"/>
      <c r="AE222" s="389"/>
    </row>
    <row r="223" spans="2:31" ht="16" thickBot="1" x14ac:dyDescent="0.4">
      <c r="B223" s="1144"/>
      <c r="C223" s="1129"/>
      <c r="D223" s="1129"/>
      <c r="E223" s="1308"/>
      <c r="F223" s="1040" t="s">
        <v>807</v>
      </c>
      <c r="G223" s="1031"/>
      <c r="H223" s="1031"/>
      <c r="I223" s="1032"/>
      <c r="J223" s="1040" t="s">
        <v>828</v>
      </c>
      <c r="K223" s="1041"/>
      <c r="L223" s="1041"/>
      <c r="M223" s="1041"/>
      <c r="N223" s="1041"/>
      <c r="O223" s="1042"/>
      <c r="P223" s="1040">
        <v>10</v>
      </c>
      <c r="Q223" s="1032"/>
      <c r="R223" s="1030">
        <v>85000</v>
      </c>
      <c r="S223" s="1043"/>
      <c r="T223" s="402">
        <f t="shared" si="5"/>
        <v>850000</v>
      </c>
      <c r="U223" s="401"/>
      <c r="V223" s="401"/>
      <c r="W223" s="388"/>
      <c r="X223" s="388"/>
      <c r="Y223" s="388"/>
      <c r="Z223" s="388"/>
      <c r="AA223" s="389"/>
      <c r="AB223" s="389"/>
      <c r="AC223" s="389"/>
      <c r="AD223" s="389"/>
      <c r="AE223" s="389"/>
    </row>
    <row r="224" spans="2:31" ht="16" thickBot="1" x14ac:dyDescent="0.4">
      <c r="B224" s="1273"/>
      <c r="C224" s="1169"/>
      <c r="D224" s="1169"/>
      <c r="E224" s="1169"/>
      <c r="F224" s="1296" t="s">
        <v>799</v>
      </c>
      <c r="G224" s="1319"/>
      <c r="H224" s="1319"/>
      <c r="I224" s="1299"/>
      <c r="J224" s="1296" t="s">
        <v>829</v>
      </c>
      <c r="K224" s="1297"/>
      <c r="L224" s="1297"/>
      <c r="M224" s="1297"/>
      <c r="N224" s="1297"/>
      <c r="O224" s="1298"/>
      <c r="P224" s="1296">
        <v>10</v>
      </c>
      <c r="Q224" s="1299"/>
      <c r="R224" s="1300">
        <v>100000</v>
      </c>
      <c r="S224" s="1301"/>
      <c r="T224" s="404">
        <f t="shared" si="5"/>
        <v>1000000</v>
      </c>
      <c r="U224" s="1304">
        <f>SUM(T216:T224)</f>
        <v>37640000</v>
      </c>
      <c r="V224" s="1305"/>
      <c r="W224" s="388"/>
      <c r="X224" s="388"/>
      <c r="Y224" s="388"/>
      <c r="Z224" s="388"/>
      <c r="AA224" s="389"/>
      <c r="AB224" s="389"/>
      <c r="AC224" s="389"/>
      <c r="AD224" s="389"/>
      <c r="AE224" s="389"/>
    </row>
    <row r="225" spans="2:31" ht="7.5" customHeight="1" thickBot="1" x14ac:dyDescent="0.4">
      <c r="B225" s="388"/>
      <c r="C225" s="388"/>
      <c r="D225" s="388"/>
      <c r="E225" s="388"/>
      <c r="F225" s="388"/>
      <c r="G225" s="388"/>
      <c r="H225" s="388"/>
      <c r="I225" s="388"/>
      <c r="J225" s="388"/>
      <c r="K225" s="388"/>
      <c r="L225" s="388"/>
      <c r="M225" s="388"/>
      <c r="N225" s="388"/>
      <c r="O225" s="388"/>
      <c r="P225" s="388"/>
      <c r="Q225" s="388"/>
      <c r="R225" s="401"/>
      <c r="S225" s="401"/>
      <c r="T225" s="401"/>
      <c r="U225" s="401"/>
      <c r="V225" s="401"/>
      <c r="W225" s="388"/>
      <c r="X225" s="388"/>
      <c r="Y225" s="388"/>
      <c r="Z225" s="388"/>
      <c r="AA225" s="389"/>
      <c r="AB225" s="389"/>
      <c r="AC225" s="389"/>
      <c r="AD225" s="389"/>
      <c r="AE225" s="389"/>
    </row>
    <row r="226" spans="2:31" ht="15.5" x14ac:dyDescent="0.35">
      <c r="B226" s="1306" t="s">
        <v>621</v>
      </c>
      <c r="C226" s="1307"/>
      <c r="D226" s="1307"/>
      <c r="E226" s="1307"/>
      <c r="F226" s="1309" t="s">
        <v>790</v>
      </c>
      <c r="G226" s="1310"/>
      <c r="H226" s="1310"/>
      <c r="I226" s="1311"/>
      <c r="J226" s="1309" t="s">
        <v>833</v>
      </c>
      <c r="K226" s="1312"/>
      <c r="L226" s="1312"/>
      <c r="M226" s="1312"/>
      <c r="N226" s="1312"/>
      <c r="O226" s="1313"/>
      <c r="P226" s="1309">
        <v>4</v>
      </c>
      <c r="Q226" s="1311"/>
      <c r="R226" s="1314">
        <v>1000000</v>
      </c>
      <c r="S226" s="1315"/>
      <c r="T226" s="400">
        <f t="shared" si="5"/>
        <v>4000000</v>
      </c>
      <c r="U226" s="401"/>
      <c r="V226" s="401"/>
      <c r="W226" s="388"/>
      <c r="X226" s="388"/>
      <c r="Y226" s="388"/>
      <c r="Z226" s="388"/>
      <c r="AA226" s="389"/>
      <c r="AB226" s="389"/>
      <c r="AC226" s="389"/>
      <c r="AD226" s="389"/>
      <c r="AE226" s="389"/>
    </row>
    <row r="227" spans="2:31" ht="15.5" x14ac:dyDescent="0.35">
      <c r="B227" s="1144"/>
      <c r="C227" s="1129"/>
      <c r="D227" s="1129"/>
      <c r="E227" s="1308"/>
      <c r="F227" s="1040" t="s">
        <v>782</v>
      </c>
      <c r="G227" s="1031"/>
      <c r="H227" s="1031"/>
      <c r="I227" s="1032"/>
      <c r="J227" s="1040" t="s">
        <v>830</v>
      </c>
      <c r="K227" s="1041"/>
      <c r="L227" s="1041"/>
      <c r="M227" s="1041"/>
      <c r="N227" s="1041"/>
      <c r="O227" s="1042"/>
      <c r="P227" s="1040">
        <v>10</v>
      </c>
      <c r="Q227" s="1032"/>
      <c r="R227" s="1030">
        <v>300000</v>
      </c>
      <c r="S227" s="1043"/>
      <c r="T227" s="402">
        <f t="shared" si="5"/>
        <v>3000000</v>
      </c>
      <c r="U227" s="401"/>
      <c r="V227" s="401"/>
      <c r="W227" s="388"/>
      <c r="X227" s="388"/>
      <c r="Y227" s="388"/>
      <c r="Z227" s="388"/>
      <c r="AA227" s="389"/>
      <c r="AB227" s="389"/>
      <c r="AC227" s="389"/>
      <c r="AD227" s="389"/>
      <c r="AE227" s="389"/>
    </row>
    <row r="228" spans="2:31" ht="15.5" x14ac:dyDescent="0.35">
      <c r="B228" s="1144"/>
      <c r="C228" s="1129"/>
      <c r="D228" s="1129"/>
      <c r="E228" s="1308"/>
      <c r="F228" s="1040" t="s">
        <v>784</v>
      </c>
      <c r="G228" s="1031"/>
      <c r="H228" s="1031"/>
      <c r="I228" s="1032"/>
      <c r="J228" s="1040" t="s">
        <v>831</v>
      </c>
      <c r="K228" s="1041"/>
      <c r="L228" s="1041"/>
      <c r="M228" s="1041"/>
      <c r="N228" s="1041"/>
      <c r="O228" s="1042"/>
      <c r="P228" s="1040">
        <v>12</v>
      </c>
      <c r="Q228" s="1032"/>
      <c r="R228" s="1030">
        <v>170000</v>
      </c>
      <c r="S228" s="1043"/>
      <c r="T228" s="402">
        <f t="shared" si="5"/>
        <v>2040000</v>
      </c>
      <c r="U228" s="401"/>
      <c r="V228" s="401"/>
      <c r="W228" s="388"/>
      <c r="X228" s="388"/>
      <c r="Y228" s="388"/>
      <c r="Z228" s="388"/>
      <c r="AA228" s="389"/>
      <c r="AB228" s="389"/>
      <c r="AC228" s="389"/>
      <c r="AD228" s="389"/>
      <c r="AE228" s="389"/>
    </row>
    <row r="229" spans="2:31" ht="15.5" x14ac:dyDescent="0.35">
      <c r="B229" s="1144"/>
      <c r="C229" s="1129"/>
      <c r="D229" s="1129"/>
      <c r="E229" s="1308"/>
      <c r="F229" s="1044" t="s">
        <v>791</v>
      </c>
      <c r="G229" s="1045"/>
      <c r="H229" s="1045"/>
      <c r="I229" s="1046"/>
      <c r="J229" s="1044" t="s">
        <v>832</v>
      </c>
      <c r="K229" s="1045"/>
      <c r="L229" s="1045"/>
      <c r="M229" s="1045"/>
      <c r="N229" s="1045"/>
      <c r="O229" s="1046"/>
      <c r="P229" s="1044">
        <v>5</v>
      </c>
      <c r="Q229" s="1046"/>
      <c r="R229" s="1047">
        <v>1000000</v>
      </c>
      <c r="S229" s="1048"/>
      <c r="T229" s="402">
        <f t="shared" si="5"/>
        <v>5000000</v>
      </c>
      <c r="U229" s="401"/>
      <c r="V229" s="401"/>
      <c r="W229" s="388"/>
      <c r="X229" s="388"/>
      <c r="Y229" s="388"/>
      <c r="Z229" s="388"/>
      <c r="AA229" s="389"/>
      <c r="AB229" s="389"/>
      <c r="AC229" s="389"/>
      <c r="AD229" s="389"/>
      <c r="AE229" s="389"/>
    </row>
    <row r="230" spans="2:31" ht="15.5" x14ac:dyDescent="0.35">
      <c r="B230" s="1144"/>
      <c r="C230" s="1129"/>
      <c r="D230" s="1129"/>
      <c r="E230" s="1308"/>
      <c r="F230" s="1040" t="s">
        <v>789</v>
      </c>
      <c r="G230" s="1031"/>
      <c r="H230" s="1031"/>
      <c r="I230" s="1032"/>
      <c r="J230" s="1040" t="s">
        <v>834</v>
      </c>
      <c r="K230" s="1041"/>
      <c r="L230" s="1041"/>
      <c r="M230" s="1041"/>
      <c r="N230" s="1041"/>
      <c r="O230" s="1042"/>
      <c r="P230" s="1040">
        <v>1</v>
      </c>
      <c r="Q230" s="1032"/>
      <c r="R230" s="1030">
        <v>1600000</v>
      </c>
      <c r="S230" s="1043"/>
      <c r="T230" s="402">
        <f t="shared" si="5"/>
        <v>1600000</v>
      </c>
      <c r="U230" s="401"/>
      <c r="V230" s="401"/>
      <c r="W230" s="388"/>
      <c r="X230" s="388"/>
      <c r="Y230" s="388"/>
      <c r="Z230" s="388"/>
      <c r="AA230" s="389"/>
      <c r="AB230" s="389"/>
      <c r="AC230" s="389"/>
      <c r="AD230" s="389"/>
      <c r="AE230" s="389"/>
    </row>
    <row r="231" spans="2:31" ht="15.5" x14ac:dyDescent="0.35">
      <c r="B231" s="1144"/>
      <c r="C231" s="1129"/>
      <c r="D231" s="1129"/>
      <c r="E231" s="1308"/>
      <c r="F231" s="1044" t="s">
        <v>794</v>
      </c>
      <c r="G231" s="1045"/>
      <c r="H231" s="1045"/>
      <c r="I231" s="1046"/>
      <c r="J231" s="1044" t="s">
        <v>835</v>
      </c>
      <c r="K231" s="1045"/>
      <c r="L231" s="1045"/>
      <c r="M231" s="1045"/>
      <c r="N231" s="1045"/>
      <c r="O231" s="1046"/>
      <c r="P231" s="1044">
        <v>10</v>
      </c>
      <c r="Q231" s="1046"/>
      <c r="R231" s="1047">
        <v>80000</v>
      </c>
      <c r="S231" s="1048"/>
      <c r="T231" s="469">
        <f t="shared" si="5"/>
        <v>800000</v>
      </c>
      <c r="U231" s="401"/>
      <c r="V231" s="401"/>
      <c r="W231" s="388"/>
      <c r="X231" s="388"/>
      <c r="Y231" s="388"/>
      <c r="Z231" s="388"/>
      <c r="AA231" s="389"/>
      <c r="AB231" s="389"/>
      <c r="AC231" s="389"/>
      <c r="AD231" s="389"/>
      <c r="AE231" s="389"/>
    </row>
    <row r="232" spans="2:31" ht="15.5" x14ac:dyDescent="0.35">
      <c r="B232" s="1144"/>
      <c r="C232" s="1129"/>
      <c r="D232" s="1129"/>
      <c r="E232" s="1308"/>
      <c r="F232" s="1044" t="s">
        <v>795</v>
      </c>
      <c r="G232" s="1045"/>
      <c r="H232" s="1045"/>
      <c r="I232" s="1046"/>
      <c r="J232" s="1044" t="s">
        <v>836</v>
      </c>
      <c r="K232" s="1045"/>
      <c r="L232" s="1045"/>
      <c r="M232" s="1045"/>
      <c r="N232" s="1045"/>
      <c r="O232" s="1046"/>
      <c r="P232" s="1044">
        <v>1</v>
      </c>
      <c r="Q232" s="1046"/>
      <c r="R232" s="1047">
        <v>1800000</v>
      </c>
      <c r="S232" s="1048"/>
      <c r="T232" s="469">
        <f t="shared" si="5"/>
        <v>1800000</v>
      </c>
      <c r="U232" s="401"/>
      <c r="V232" s="401"/>
      <c r="W232" s="388"/>
      <c r="X232" s="388"/>
      <c r="Y232" s="388"/>
      <c r="Z232" s="388"/>
      <c r="AA232" s="389"/>
      <c r="AB232" s="389"/>
      <c r="AC232" s="389"/>
      <c r="AD232" s="389"/>
      <c r="AE232" s="389"/>
    </row>
    <row r="233" spans="2:31" ht="15.5" x14ac:dyDescent="0.35">
      <c r="B233" s="1144"/>
      <c r="C233" s="1129"/>
      <c r="D233" s="1129"/>
      <c r="E233" s="1308"/>
      <c r="F233" s="1044" t="s">
        <v>796</v>
      </c>
      <c r="G233" s="1045"/>
      <c r="H233" s="1045"/>
      <c r="I233" s="1046"/>
      <c r="J233" s="1044" t="s">
        <v>837</v>
      </c>
      <c r="K233" s="1045"/>
      <c r="L233" s="1045"/>
      <c r="M233" s="1045"/>
      <c r="N233" s="1045"/>
      <c r="O233" s="1046"/>
      <c r="P233" s="1044">
        <v>1</v>
      </c>
      <c r="Q233" s="1046"/>
      <c r="R233" s="1047">
        <v>2300000</v>
      </c>
      <c r="S233" s="1048"/>
      <c r="T233" s="469">
        <f t="shared" si="5"/>
        <v>2300000</v>
      </c>
      <c r="U233" s="401"/>
      <c r="V233" s="401"/>
      <c r="W233" s="388"/>
      <c r="X233" s="388"/>
      <c r="Y233" s="388"/>
      <c r="Z233" s="388"/>
      <c r="AA233" s="389"/>
      <c r="AB233" s="389"/>
      <c r="AC233" s="389"/>
      <c r="AD233" s="389"/>
      <c r="AE233" s="389"/>
    </row>
    <row r="234" spans="2:31" ht="15.5" x14ac:dyDescent="0.35">
      <c r="B234" s="1144"/>
      <c r="C234" s="1129"/>
      <c r="D234" s="1129"/>
      <c r="E234" s="1308"/>
      <c r="F234" s="1044" t="s">
        <v>800</v>
      </c>
      <c r="G234" s="1045"/>
      <c r="H234" s="1045"/>
      <c r="I234" s="1046"/>
      <c r="J234" s="1044" t="s">
        <v>838</v>
      </c>
      <c r="K234" s="1045"/>
      <c r="L234" s="1045"/>
      <c r="M234" s="1045"/>
      <c r="N234" s="1045"/>
      <c r="O234" s="1046"/>
      <c r="P234" s="1044">
        <v>8</v>
      </c>
      <c r="Q234" s="1046"/>
      <c r="R234" s="1047">
        <v>720000</v>
      </c>
      <c r="S234" s="1048"/>
      <c r="T234" s="469">
        <f t="shared" si="5"/>
        <v>5760000</v>
      </c>
      <c r="U234" s="401"/>
      <c r="V234" s="401"/>
      <c r="W234" s="388"/>
      <c r="X234" s="388"/>
      <c r="Y234" s="388"/>
      <c r="Z234" s="388"/>
      <c r="AA234" s="389"/>
      <c r="AB234" s="389"/>
      <c r="AC234" s="389"/>
      <c r="AD234" s="389"/>
      <c r="AE234" s="389"/>
    </row>
    <row r="235" spans="2:31" ht="16" thickBot="1" x14ac:dyDescent="0.4">
      <c r="B235" s="1144"/>
      <c r="C235" s="1129"/>
      <c r="D235" s="1129"/>
      <c r="E235" s="1308"/>
      <c r="F235" s="1044" t="s">
        <v>806</v>
      </c>
      <c r="G235" s="1045"/>
      <c r="H235" s="1045"/>
      <c r="I235" s="1046"/>
      <c r="J235" s="1044" t="s">
        <v>839</v>
      </c>
      <c r="K235" s="1045"/>
      <c r="L235" s="1045"/>
      <c r="M235" s="1045"/>
      <c r="N235" s="1045"/>
      <c r="O235" s="1046"/>
      <c r="P235" s="1044">
        <v>10</v>
      </c>
      <c r="Q235" s="1046"/>
      <c r="R235" s="1047">
        <v>30000</v>
      </c>
      <c r="S235" s="1048"/>
      <c r="T235" s="469">
        <f t="shared" si="5"/>
        <v>300000</v>
      </c>
      <c r="U235" s="401"/>
      <c r="V235" s="401"/>
      <c r="W235" s="388"/>
      <c r="X235" s="388"/>
      <c r="Y235" s="388"/>
      <c r="Z235" s="388"/>
      <c r="AA235" s="389"/>
      <c r="AB235" s="389"/>
      <c r="AC235" s="389"/>
      <c r="AD235" s="389"/>
      <c r="AE235" s="389"/>
    </row>
    <row r="236" spans="2:31" ht="16" thickBot="1" x14ac:dyDescent="0.4">
      <c r="B236" s="1273"/>
      <c r="C236" s="1169"/>
      <c r="D236" s="1169"/>
      <c r="E236" s="1169"/>
      <c r="F236" s="1296" t="s">
        <v>793</v>
      </c>
      <c r="G236" s="1319"/>
      <c r="H236" s="1319"/>
      <c r="I236" s="1299"/>
      <c r="J236" s="1296" t="s">
        <v>840</v>
      </c>
      <c r="K236" s="1297"/>
      <c r="L236" s="1297"/>
      <c r="M236" s="1297"/>
      <c r="N236" s="1297"/>
      <c r="O236" s="1298"/>
      <c r="P236" s="1296">
        <v>1</v>
      </c>
      <c r="Q236" s="1299"/>
      <c r="R236" s="1300">
        <v>350000</v>
      </c>
      <c r="S236" s="1301"/>
      <c r="T236" s="404">
        <f t="shared" si="5"/>
        <v>350000</v>
      </c>
      <c r="U236" s="1304">
        <f>SUM(T226:T236)</f>
        <v>26950000</v>
      </c>
      <c r="V236" s="1305"/>
      <c r="W236" s="388"/>
      <c r="X236" s="388"/>
      <c r="Y236" s="388"/>
      <c r="Z236" s="388"/>
      <c r="AA236" s="389"/>
      <c r="AB236" s="389"/>
      <c r="AC236" s="389"/>
      <c r="AD236" s="389"/>
      <c r="AE236" s="389"/>
    </row>
    <row r="237" spans="2:31" ht="7.5" customHeight="1" thickBot="1" x14ac:dyDescent="0.4">
      <c r="B237" s="388"/>
      <c r="C237" s="388"/>
      <c r="D237" s="388"/>
      <c r="E237" s="388"/>
      <c r="F237" s="388"/>
      <c r="G237" s="388"/>
      <c r="H237" s="388"/>
      <c r="I237" s="388"/>
      <c r="J237" s="388"/>
      <c r="K237" s="388"/>
      <c r="L237" s="388"/>
      <c r="M237" s="388"/>
      <c r="N237" s="388"/>
      <c r="O237" s="388"/>
      <c r="P237" s="388"/>
      <c r="Q237" s="388"/>
      <c r="R237" s="401"/>
      <c r="S237" s="401"/>
      <c r="T237" s="401"/>
      <c r="U237" s="401"/>
      <c r="V237" s="401"/>
      <c r="W237" s="388"/>
      <c r="X237" s="388"/>
      <c r="Y237" s="388"/>
      <c r="Z237" s="388"/>
      <c r="AA237" s="389"/>
      <c r="AB237" s="389"/>
      <c r="AC237" s="389"/>
      <c r="AD237" s="389"/>
      <c r="AE237" s="389"/>
    </row>
    <row r="238" spans="2:31" ht="15.5" x14ac:dyDescent="0.35">
      <c r="B238" s="1306" t="s">
        <v>622</v>
      </c>
      <c r="C238" s="1307"/>
      <c r="D238" s="1307"/>
      <c r="E238" s="1307"/>
      <c r="F238" s="1309" t="s">
        <v>785</v>
      </c>
      <c r="G238" s="1310"/>
      <c r="H238" s="1310"/>
      <c r="I238" s="1311"/>
      <c r="J238" s="1309" t="s">
        <v>843</v>
      </c>
      <c r="K238" s="1312"/>
      <c r="L238" s="1312"/>
      <c r="M238" s="1312"/>
      <c r="N238" s="1312"/>
      <c r="O238" s="1313"/>
      <c r="P238" s="1309">
        <v>3</v>
      </c>
      <c r="Q238" s="1311"/>
      <c r="R238" s="1314">
        <v>800000</v>
      </c>
      <c r="S238" s="1315"/>
      <c r="T238" s="400">
        <f t="shared" si="5"/>
        <v>2400000</v>
      </c>
      <c r="U238" s="401"/>
      <c r="V238" s="401"/>
      <c r="W238" s="388"/>
      <c r="X238" s="388"/>
      <c r="Y238" s="388"/>
      <c r="Z238" s="388"/>
      <c r="AA238" s="389"/>
      <c r="AB238" s="389"/>
      <c r="AC238" s="389"/>
      <c r="AD238" s="389"/>
      <c r="AE238" s="389"/>
    </row>
    <row r="239" spans="2:31" ht="15.5" x14ac:dyDescent="0.35">
      <c r="B239" s="1144"/>
      <c r="C239" s="1129"/>
      <c r="D239" s="1129"/>
      <c r="E239" s="1308"/>
      <c r="F239" s="1040" t="s">
        <v>803</v>
      </c>
      <c r="G239" s="1031"/>
      <c r="H239" s="1031"/>
      <c r="I239" s="1032"/>
      <c r="J239" s="1040" t="s">
        <v>841</v>
      </c>
      <c r="K239" s="1041"/>
      <c r="L239" s="1041"/>
      <c r="M239" s="1041"/>
      <c r="N239" s="1041"/>
      <c r="O239" s="1042"/>
      <c r="P239" s="1040">
        <v>5</v>
      </c>
      <c r="Q239" s="1032"/>
      <c r="R239" s="1030">
        <v>70000</v>
      </c>
      <c r="S239" s="1043"/>
      <c r="T239" s="402">
        <f t="shared" si="5"/>
        <v>350000</v>
      </c>
      <c r="U239" s="401"/>
      <c r="V239" s="401"/>
      <c r="W239" s="388"/>
      <c r="X239" s="388"/>
      <c r="Y239" s="388"/>
      <c r="Z239" s="388"/>
      <c r="AA239" s="389"/>
      <c r="AB239" s="389"/>
      <c r="AC239" s="389"/>
      <c r="AD239" s="389"/>
      <c r="AE239" s="389"/>
    </row>
    <row r="240" spans="2:31" ht="16" thickBot="1" x14ac:dyDescent="0.4">
      <c r="B240" s="1144"/>
      <c r="C240" s="1129"/>
      <c r="D240" s="1129"/>
      <c r="E240" s="1308"/>
      <c r="F240" s="1040" t="s">
        <v>804</v>
      </c>
      <c r="G240" s="1031"/>
      <c r="H240" s="1031"/>
      <c r="I240" s="1032"/>
      <c r="J240" s="1040" t="s">
        <v>842</v>
      </c>
      <c r="K240" s="1041"/>
      <c r="L240" s="1041"/>
      <c r="M240" s="1041"/>
      <c r="N240" s="1041"/>
      <c r="O240" s="1042"/>
      <c r="P240" s="1040">
        <v>10</v>
      </c>
      <c r="Q240" s="1032"/>
      <c r="R240" s="1030">
        <v>40000</v>
      </c>
      <c r="S240" s="1043"/>
      <c r="T240" s="402">
        <f t="shared" si="5"/>
        <v>400000</v>
      </c>
      <c r="U240" s="401"/>
      <c r="V240" s="401"/>
      <c r="W240" s="388"/>
      <c r="X240" s="388"/>
      <c r="Y240" s="388"/>
      <c r="Z240" s="388"/>
      <c r="AA240" s="389"/>
      <c r="AB240" s="389"/>
      <c r="AC240" s="389"/>
      <c r="AD240" s="389"/>
      <c r="AE240" s="389"/>
    </row>
    <row r="241" spans="2:31" ht="16" thickBot="1" x14ac:dyDescent="0.4">
      <c r="B241" s="1273"/>
      <c r="C241" s="1169"/>
      <c r="D241" s="1169"/>
      <c r="E241" s="1169"/>
      <c r="F241" s="1296" t="s">
        <v>808</v>
      </c>
      <c r="G241" s="1319"/>
      <c r="H241" s="1319"/>
      <c r="I241" s="1299"/>
      <c r="J241" s="1296" t="s">
        <v>844</v>
      </c>
      <c r="K241" s="1297"/>
      <c r="L241" s="1297"/>
      <c r="M241" s="1297"/>
      <c r="N241" s="1297"/>
      <c r="O241" s="1298"/>
      <c r="P241" s="1296">
        <v>10</v>
      </c>
      <c r="Q241" s="1299"/>
      <c r="R241" s="1300">
        <v>79900</v>
      </c>
      <c r="S241" s="1301"/>
      <c r="T241" s="404">
        <f t="shared" si="5"/>
        <v>799000</v>
      </c>
      <c r="U241" s="1304">
        <f>SUM(T238:T241)</f>
        <v>3949000</v>
      </c>
      <c r="V241" s="1305"/>
      <c r="W241" s="388"/>
      <c r="X241" s="388"/>
      <c r="Y241" s="388"/>
      <c r="Z241" s="388"/>
      <c r="AA241" s="389"/>
      <c r="AB241" s="389"/>
      <c r="AC241" s="389"/>
      <c r="AD241" s="389"/>
      <c r="AE241" s="389"/>
    </row>
    <row r="242" spans="2:31" ht="7.5" customHeight="1" thickBot="1" x14ac:dyDescent="0.4">
      <c r="B242" s="388"/>
      <c r="C242" s="388"/>
      <c r="D242" s="388"/>
      <c r="E242" s="388"/>
      <c r="F242" s="388"/>
      <c r="G242" s="388"/>
      <c r="H242" s="388"/>
      <c r="I242" s="388"/>
      <c r="J242" s="388"/>
      <c r="K242" s="388"/>
      <c r="L242" s="388"/>
      <c r="M242" s="388"/>
      <c r="N242" s="388"/>
      <c r="O242" s="388"/>
      <c r="P242" s="388"/>
      <c r="Q242" s="388"/>
      <c r="R242" s="401"/>
      <c r="S242" s="401"/>
      <c r="T242" s="401"/>
      <c r="U242" s="401"/>
      <c r="V242" s="401"/>
      <c r="W242" s="388"/>
      <c r="X242" s="388"/>
      <c r="Y242" s="388"/>
      <c r="Z242" s="388"/>
      <c r="AA242" s="389"/>
      <c r="AB242" s="389"/>
      <c r="AC242" s="389"/>
      <c r="AD242" s="389"/>
      <c r="AE242" s="389"/>
    </row>
    <row r="243" spans="2:31" ht="15.5" x14ac:dyDescent="0.35">
      <c r="B243" s="1306" t="s">
        <v>623</v>
      </c>
      <c r="C243" s="1307"/>
      <c r="D243" s="1307"/>
      <c r="E243" s="1307"/>
      <c r="F243" s="1309"/>
      <c r="G243" s="1310"/>
      <c r="H243" s="1310"/>
      <c r="I243" s="1311"/>
      <c r="J243" s="1309"/>
      <c r="K243" s="1312"/>
      <c r="L243" s="1312"/>
      <c r="M243" s="1312"/>
      <c r="N243" s="1312"/>
      <c r="O243" s="1313"/>
      <c r="P243" s="1309"/>
      <c r="Q243" s="1311"/>
      <c r="R243" s="1314">
        <v>0</v>
      </c>
      <c r="S243" s="1315"/>
      <c r="T243" s="400">
        <f t="shared" si="5"/>
        <v>0</v>
      </c>
      <c r="U243" s="401"/>
      <c r="V243" s="401"/>
      <c r="W243" s="388"/>
      <c r="X243" s="388"/>
      <c r="Y243" s="388"/>
      <c r="Z243" s="388"/>
      <c r="AA243" s="389"/>
      <c r="AB243" s="389"/>
      <c r="AC243" s="389"/>
      <c r="AD243" s="389"/>
      <c r="AE243" s="389"/>
    </row>
    <row r="244" spans="2:31" ht="15.5" x14ac:dyDescent="0.35">
      <c r="B244" s="1144"/>
      <c r="C244" s="1129"/>
      <c r="D244" s="1129"/>
      <c r="E244" s="1308"/>
      <c r="F244" s="1040"/>
      <c r="G244" s="1031"/>
      <c r="H244" s="1031"/>
      <c r="I244" s="1032"/>
      <c r="J244" s="1040"/>
      <c r="K244" s="1041"/>
      <c r="L244" s="1041"/>
      <c r="M244" s="1041"/>
      <c r="N244" s="1041"/>
      <c r="O244" s="1042"/>
      <c r="P244" s="1040"/>
      <c r="Q244" s="1032"/>
      <c r="R244" s="1030">
        <v>0</v>
      </c>
      <c r="S244" s="1043"/>
      <c r="T244" s="402">
        <f t="shared" si="5"/>
        <v>0</v>
      </c>
      <c r="U244" s="401"/>
      <c r="V244" s="401"/>
      <c r="W244" s="388"/>
      <c r="X244" s="388"/>
      <c r="Y244" s="388"/>
      <c r="Z244" s="388"/>
      <c r="AA244" s="389"/>
      <c r="AB244" s="389"/>
      <c r="AC244" s="389"/>
      <c r="AD244" s="389"/>
      <c r="AE244" s="389"/>
    </row>
    <row r="245" spans="2:31" ht="15.5" x14ac:dyDescent="0.35">
      <c r="B245" s="1144"/>
      <c r="C245" s="1129"/>
      <c r="D245" s="1129"/>
      <c r="E245" s="1308"/>
      <c r="F245" s="1040"/>
      <c r="G245" s="1031"/>
      <c r="H245" s="1031"/>
      <c r="I245" s="1032"/>
      <c r="J245" s="1040"/>
      <c r="K245" s="1041"/>
      <c r="L245" s="1041"/>
      <c r="M245" s="1041"/>
      <c r="N245" s="1041"/>
      <c r="O245" s="1042"/>
      <c r="P245" s="1040"/>
      <c r="Q245" s="1032"/>
      <c r="R245" s="1030">
        <v>0</v>
      </c>
      <c r="S245" s="1043"/>
      <c r="T245" s="402">
        <f t="shared" si="5"/>
        <v>0</v>
      </c>
      <c r="U245" s="401"/>
      <c r="V245" s="401"/>
      <c r="W245" s="388"/>
      <c r="X245" s="388"/>
      <c r="Y245" s="388"/>
      <c r="Z245" s="388"/>
      <c r="AA245" s="389"/>
      <c r="AB245" s="389"/>
      <c r="AC245" s="389"/>
      <c r="AD245" s="389"/>
      <c r="AE245" s="389"/>
    </row>
    <row r="246" spans="2:31" ht="16" thickBot="1" x14ac:dyDescent="0.4">
      <c r="B246" s="1144"/>
      <c r="C246" s="1129"/>
      <c r="D246" s="1129"/>
      <c r="E246" s="1308"/>
      <c r="F246" s="1040"/>
      <c r="G246" s="1031"/>
      <c r="H246" s="1031"/>
      <c r="I246" s="1032"/>
      <c r="J246" s="1040"/>
      <c r="K246" s="1041"/>
      <c r="L246" s="1041"/>
      <c r="M246" s="1041"/>
      <c r="N246" s="1041"/>
      <c r="O246" s="1042"/>
      <c r="P246" s="1040"/>
      <c r="Q246" s="1032"/>
      <c r="R246" s="1030">
        <v>0</v>
      </c>
      <c r="S246" s="1043"/>
      <c r="T246" s="402">
        <f t="shared" si="5"/>
        <v>0</v>
      </c>
      <c r="U246" s="401"/>
      <c r="V246" s="401"/>
      <c r="W246" s="388"/>
      <c r="X246" s="388"/>
      <c r="Y246" s="388"/>
      <c r="Z246" s="388"/>
      <c r="AA246" s="389"/>
      <c r="AB246" s="389"/>
      <c r="AC246" s="389"/>
      <c r="AD246" s="389"/>
      <c r="AE246" s="389"/>
    </row>
    <row r="247" spans="2:31" ht="16" thickBot="1" x14ac:dyDescent="0.4">
      <c r="B247" s="1273"/>
      <c r="C247" s="1169"/>
      <c r="D247" s="1169"/>
      <c r="E247" s="1169"/>
      <c r="F247" s="1296"/>
      <c r="G247" s="1319"/>
      <c r="H247" s="1319"/>
      <c r="I247" s="1299"/>
      <c r="J247" s="1296"/>
      <c r="K247" s="1297"/>
      <c r="L247" s="1297"/>
      <c r="M247" s="1297"/>
      <c r="N247" s="1297"/>
      <c r="O247" s="1298"/>
      <c r="P247" s="1296"/>
      <c r="Q247" s="1299"/>
      <c r="R247" s="1300">
        <v>0</v>
      </c>
      <c r="S247" s="1301"/>
      <c r="T247" s="404">
        <f t="shared" si="5"/>
        <v>0</v>
      </c>
      <c r="U247" s="1304">
        <f>SUM(T243:T247)</f>
        <v>0</v>
      </c>
      <c r="V247" s="1305"/>
      <c r="W247" s="388"/>
      <c r="X247" s="388"/>
      <c r="Y247" s="388"/>
      <c r="Z247" s="388"/>
      <c r="AA247" s="389"/>
      <c r="AB247" s="389"/>
      <c r="AC247" s="389"/>
      <c r="AD247" s="389"/>
      <c r="AE247" s="389"/>
    </row>
    <row r="248" spans="2:31" ht="7.5" customHeight="1" thickBot="1" x14ac:dyDescent="0.4">
      <c r="B248" s="388"/>
      <c r="C248" s="388"/>
      <c r="D248" s="388"/>
      <c r="E248" s="388"/>
      <c r="F248" s="388"/>
      <c r="G248" s="388"/>
      <c r="H248" s="388"/>
      <c r="I248" s="388"/>
      <c r="J248" s="388"/>
      <c r="K248" s="388"/>
      <c r="L248" s="388"/>
      <c r="M248" s="388"/>
      <c r="N248" s="388"/>
      <c r="O248" s="388"/>
      <c r="P248" s="388"/>
      <c r="Q248" s="388"/>
      <c r="R248" s="401"/>
      <c r="S248" s="401"/>
      <c r="T248" s="401"/>
      <c r="U248" s="401"/>
      <c r="V248" s="401"/>
      <c r="W248" s="388"/>
      <c r="X248" s="388"/>
      <c r="Y248" s="388"/>
      <c r="Z248" s="388"/>
      <c r="AA248" s="389"/>
      <c r="AB248" s="389"/>
      <c r="AC248" s="389"/>
      <c r="AD248" s="389"/>
      <c r="AE248" s="389"/>
    </row>
    <row r="249" spans="2:31" ht="15.5" x14ac:dyDescent="0.35">
      <c r="B249" s="1306" t="s">
        <v>624</v>
      </c>
      <c r="C249" s="1307"/>
      <c r="D249" s="1307"/>
      <c r="E249" s="1307"/>
      <c r="F249" s="1309" t="s">
        <v>780</v>
      </c>
      <c r="G249" s="1310"/>
      <c r="H249" s="1310"/>
      <c r="I249" s="1311"/>
      <c r="J249" s="1309" t="s">
        <v>845</v>
      </c>
      <c r="K249" s="1312"/>
      <c r="L249" s="1312"/>
      <c r="M249" s="1312"/>
      <c r="N249" s="1312"/>
      <c r="O249" s="1313"/>
      <c r="P249" s="1309">
        <v>1</v>
      </c>
      <c r="Q249" s="1311"/>
      <c r="R249" s="1314">
        <v>4500000</v>
      </c>
      <c r="S249" s="1315"/>
      <c r="T249" s="400">
        <f t="shared" si="5"/>
        <v>4500000</v>
      </c>
      <c r="U249" s="401"/>
      <c r="V249" s="401"/>
      <c r="W249" s="388"/>
      <c r="X249" s="388"/>
      <c r="Y249" s="388"/>
      <c r="Z249" s="388"/>
      <c r="AA249" s="389"/>
      <c r="AB249" s="389"/>
      <c r="AC249" s="389"/>
      <c r="AD249" s="389"/>
      <c r="AE249" s="389"/>
    </row>
    <row r="250" spans="2:31" ht="15.5" x14ac:dyDescent="0.35">
      <c r="B250" s="1144"/>
      <c r="C250" s="1129"/>
      <c r="D250" s="1129"/>
      <c r="E250" s="1308"/>
      <c r="F250" s="1040" t="s">
        <v>781</v>
      </c>
      <c r="G250" s="1031"/>
      <c r="H250" s="1031"/>
      <c r="I250" s="1032"/>
      <c r="J250" s="1040" t="s">
        <v>846</v>
      </c>
      <c r="K250" s="1041"/>
      <c r="L250" s="1041"/>
      <c r="M250" s="1041"/>
      <c r="N250" s="1041"/>
      <c r="O250" s="1042"/>
      <c r="P250" s="1040">
        <v>1</v>
      </c>
      <c r="Q250" s="1032"/>
      <c r="R250" s="1030">
        <v>3800000</v>
      </c>
      <c r="S250" s="1043"/>
      <c r="T250" s="402">
        <f t="shared" si="5"/>
        <v>3800000</v>
      </c>
      <c r="U250" s="401"/>
      <c r="V250" s="401"/>
      <c r="W250" s="388"/>
      <c r="X250" s="388"/>
      <c r="Y250" s="388"/>
      <c r="Z250" s="388"/>
      <c r="AA250" s="389"/>
      <c r="AB250" s="389"/>
      <c r="AC250" s="389"/>
      <c r="AD250" s="389"/>
      <c r="AE250" s="389"/>
    </row>
    <row r="251" spans="2:31" ht="16" thickBot="1" x14ac:dyDescent="0.4">
      <c r="B251" s="1144"/>
      <c r="C251" s="1129"/>
      <c r="D251" s="1129"/>
      <c r="E251" s="1308"/>
      <c r="F251" s="1040"/>
      <c r="G251" s="1031"/>
      <c r="H251" s="1031"/>
      <c r="I251" s="1032"/>
      <c r="J251" s="1040"/>
      <c r="K251" s="1041"/>
      <c r="L251" s="1041"/>
      <c r="M251" s="1041"/>
      <c r="N251" s="1041"/>
      <c r="O251" s="1042"/>
      <c r="P251" s="1040"/>
      <c r="Q251" s="1032"/>
      <c r="R251" s="1030">
        <v>0</v>
      </c>
      <c r="S251" s="1043"/>
      <c r="T251" s="402">
        <f t="shared" si="5"/>
        <v>0</v>
      </c>
      <c r="U251" s="401"/>
      <c r="V251" s="401"/>
      <c r="W251" s="388"/>
      <c r="X251" s="388"/>
      <c r="Y251" s="388"/>
      <c r="Z251" s="388"/>
      <c r="AA251" s="389"/>
      <c r="AB251" s="389"/>
      <c r="AC251" s="389"/>
      <c r="AD251" s="389"/>
      <c r="AE251" s="389"/>
    </row>
    <row r="252" spans="2:31" ht="16" thickBot="1" x14ac:dyDescent="0.4">
      <c r="B252" s="1273"/>
      <c r="C252" s="1169"/>
      <c r="D252" s="1169"/>
      <c r="E252" s="1169"/>
      <c r="F252" s="1296"/>
      <c r="G252" s="1319"/>
      <c r="H252" s="1319"/>
      <c r="I252" s="1299"/>
      <c r="J252" s="1296"/>
      <c r="K252" s="1297"/>
      <c r="L252" s="1297"/>
      <c r="M252" s="1297"/>
      <c r="N252" s="1297"/>
      <c r="O252" s="1298"/>
      <c r="P252" s="1296"/>
      <c r="Q252" s="1299"/>
      <c r="R252" s="1300">
        <v>0</v>
      </c>
      <c r="S252" s="1301"/>
      <c r="T252" s="404">
        <f t="shared" si="5"/>
        <v>0</v>
      </c>
      <c r="U252" s="1304">
        <f>SUM(T249:T252)</f>
        <v>8300000</v>
      </c>
      <c r="V252" s="1305"/>
      <c r="W252" s="388"/>
      <c r="X252" s="388"/>
      <c r="Y252" s="388"/>
      <c r="Z252" s="388"/>
      <c r="AA252" s="389"/>
      <c r="AB252" s="389"/>
      <c r="AC252" s="389"/>
      <c r="AD252" s="389"/>
      <c r="AE252" s="389"/>
    </row>
    <row r="253" spans="2:31" ht="7.5" customHeight="1" thickBot="1" x14ac:dyDescent="0.4">
      <c r="B253" s="388"/>
      <c r="C253" s="388"/>
      <c r="D253" s="388"/>
      <c r="E253" s="388"/>
      <c r="F253" s="388"/>
      <c r="G253" s="388"/>
      <c r="H253" s="388"/>
      <c r="I253" s="388"/>
      <c r="J253" s="388"/>
      <c r="K253" s="388"/>
      <c r="L253" s="388"/>
      <c r="M253" s="388"/>
      <c r="N253" s="388"/>
      <c r="O253" s="388"/>
      <c r="P253" s="388"/>
      <c r="Q253" s="388"/>
      <c r="R253" s="401"/>
      <c r="S253" s="401"/>
      <c r="T253" s="401"/>
      <c r="U253" s="401"/>
      <c r="V253" s="401"/>
      <c r="W253" s="388"/>
      <c r="X253" s="388"/>
      <c r="Y253" s="388"/>
      <c r="Z253" s="388"/>
      <c r="AA253" s="389"/>
      <c r="AB253" s="389"/>
      <c r="AC253" s="389"/>
      <c r="AD253" s="389"/>
      <c r="AE253" s="389"/>
    </row>
    <row r="254" spans="2:31" ht="15.5" x14ac:dyDescent="0.35">
      <c r="B254" s="1306" t="s">
        <v>625</v>
      </c>
      <c r="C254" s="1307"/>
      <c r="D254" s="1307"/>
      <c r="E254" s="1316"/>
      <c r="F254" s="1309" t="s">
        <v>1018</v>
      </c>
      <c r="G254" s="1310"/>
      <c r="H254" s="1310"/>
      <c r="I254" s="1311"/>
      <c r="J254" s="1309" t="s">
        <v>847</v>
      </c>
      <c r="K254" s="1312"/>
      <c r="L254" s="1312"/>
      <c r="M254" s="1312"/>
      <c r="N254" s="1312"/>
      <c r="O254" s="1313"/>
      <c r="P254" s="1309">
        <v>1</v>
      </c>
      <c r="Q254" s="1311"/>
      <c r="R254" s="1314">
        <v>1000000</v>
      </c>
      <c r="S254" s="1315"/>
      <c r="T254" s="400">
        <f t="shared" si="5"/>
        <v>1000000</v>
      </c>
      <c r="U254" s="401"/>
      <c r="V254" s="401"/>
      <c r="W254" s="388"/>
      <c r="X254" s="388"/>
      <c r="Y254" s="388"/>
      <c r="Z254" s="388"/>
      <c r="AA254" s="389"/>
      <c r="AB254" s="389"/>
      <c r="AC254" s="389"/>
      <c r="AD254" s="389"/>
      <c r="AE254" s="389"/>
    </row>
    <row r="255" spans="2:31" ht="15.5" x14ac:dyDescent="0.35">
      <c r="B255" s="1144"/>
      <c r="C255" s="1129"/>
      <c r="D255" s="1129"/>
      <c r="E255" s="1130"/>
      <c r="F255" s="1040" t="s">
        <v>816</v>
      </c>
      <c r="G255" s="1031"/>
      <c r="H255" s="1031"/>
      <c r="I255" s="1032"/>
      <c r="J255" s="1040" t="s">
        <v>848</v>
      </c>
      <c r="K255" s="1041"/>
      <c r="L255" s="1041"/>
      <c r="M255" s="1041"/>
      <c r="N255" s="1041"/>
      <c r="O255" s="1042"/>
      <c r="P255" s="1040">
        <v>1</v>
      </c>
      <c r="Q255" s="1032"/>
      <c r="R255" s="1030">
        <v>2150000</v>
      </c>
      <c r="S255" s="1043"/>
      <c r="T255" s="402">
        <f t="shared" si="5"/>
        <v>2150000</v>
      </c>
      <c r="U255" s="401"/>
      <c r="V255" s="401"/>
      <c r="W255" s="388"/>
      <c r="X255" s="388"/>
      <c r="Y255" s="388"/>
      <c r="Z255" s="388"/>
      <c r="AA255" s="389"/>
      <c r="AB255" s="389"/>
      <c r="AC255" s="389"/>
      <c r="AD255" s="389"/>
      <c r="AE255" s="389"/>
    </row>
    <row r="256" spans="2:31" ht="15.5" x14ac:dyDescent="0.35">
      <c r="B256" s="1144"/>
      <c r="C256" s="1129"/>
      <c r="D256" s="1129"/>
      <c r="E256" s="1130"/>
      <c r="F256" s="1040" t="s">
        <v>815</v>
      </c>
      <c r="G256" s="1031"/>
      <c r="H256" s="1031"/>
      <c r="I256" s="1032"/>
      <c r="J256" s="1040" t="s">
        <v>1019</v>
      </c>
      <c r="K256" s="1041"/>
      <c r="L256" s="1041"/>
      <c r="M256" s="1041"/>
      <c r="N256" s="1041"/>
      <c r="O256" s="1042"/>
      <c r="P256" s="1040">
        <v>1</v>
      </c>
      <c r="Q256" s="1032"/>
      <c r="R256" s="1030">
        <v>1500000</v>
      </c>
      <c r="S256" s="1043"/>
      <c r="T256" s="402">
        <f t="shared" si="5"/>
        <v>1500000</v>
      </c>
      <c r="U256" s="401"/>
      <c r="V256" s="401"/>
      <c r="W256" s="388"/>
      <c r="X256" s="388"/>
      <c r="Y256" s="388"/>
      <c r="Z256" s="388"/>
      <c r="AA256" s="389"/>
      <c r="AB256" s="389"/>
      <c r="AC256" s="389"/>
      <c r="AD256" s="389"/>
      <c r="AE256" s="389"/>
    </row>
    <row r="257" spans="2:31" ht="16" thickBot="1" x14ac:dyDescent="0.4">
      <c r="B257" s="1144"/>
      <c r="C257" s="1129"/>
      <c r="D257" s="1129"/>
      <c r="E257" s="1130"/>
      <c r="F257" s="1040"/>
      <c r="G257" s="1031"/>
      <c r="H257" s="1031"/>
      <c r="I257" s="1032"/>
      <c r="J257" s="1040"/>
      <c r="K257" s="1041"/>
      <c r="L257" s="1041"/>
      <c r="M257" s="1041"/>
      <c r="N257" s="1041"/>
      <c r="O257" s="1042"/>
      <c r="P257" s="1040"/>
      <c r="Q257" s="1032"/>
      <c r="R257" s="1030"/>
      <c r="S257" s="1043"/>
      <c r="T257" s="402">
        <f t="shared" si="5"/>
        <v>0</v>
      </c>
      <c r="U257" s="401"/>
      <c r="V257" s="401"/>
      <c r="W257" s="388"/>
      <c r="X257" s="388"/>
      <c r="Y257" s="388"/>
      <c r="Z257" s="388"/>
      <c r="AA257" s="389"/>
      <c r="AB257" s="389"/>
      <c r="AC257" s="389"/>
      <c r="AD257" s="389"/>
      <c r="AE257" s="389"/>
    </row>
    <row r="258" spans="2:31" ht="16" thickBot="1" x14ac:dyDescent="0.4">
      <c r="B258" s="1273"/>
      <c r="C258" s="1169"/>
      <c r="D258" s="1169"/>
      <c r="E258" s="1263"/>
      <c r="F258" s="1296"/>
      <c r="G258" s="1319"/>
      <c r="H258" s="1319"/>
      <c r="I258" s="1299"/>
      <c r="J258" s="1296"/>
      <c r="K258" s="1297"/>
      <c r="L258" s="1297"/>
      <c r="M258" s="1297"/>
      <c r="N258" s="1297"/>
      <c r="O258" s="1298"/>
      <c r="P258" s="1296"/>
      <c r="Q258" s="1299"/>
      <c r="R258" s="1300"/>
      <c r="S258" s="1301"/>
      <c r="T258" s="404">
        <f t="shared" si="5"/>
        <v>0</v>
      </c>
      <c r="U258" s="1304">
        <f>SUM(T254:T258)</f>
        <v>4650000</v>
      </c>
      <c r="V258" s="1305"/>
      <c r="W258" s="388"/>
      <c r="X258" s="388"/>
      <c r="Y258" s="388"/>
      <c r="Z258" s="388"/>
      <c r="AA258" s="389"/>
      <c r="AB258" s="389"/>
      <c r="AC258" s="389"/>
      <c r="AD258" s="389"/>
      <c r="AE258" s="389"/>
    </row>
    <row r="259" spans="2:31" ht="15" customHeight="1" thickBot="1" x14ac:dyDescent="0.4">
      <c r="B259" s="388"/>
      <c r="C259" s="388"/>
      <c r="D259" s="388"/>
      <c r="E259" s="388"/>
      <c r="F259" s="388"/>
      <c r="G259" s="388"/>
      <c r="H259" s="388"/>
      <c r="I259" s="388"/>
      <c r="J259" s="388"/>
      <c r="K259" s="388"/>
      <c r="L259" s="388"/>
      <c r="M259" s="388"/>
      <c r="N259" s="388"/>
      <c r="O259" s="388"/>
      <c r="P259" s="388"/>
      <c r="Q259" s="388"/>
      <c r="R259" s="388"/>
      <c r="S259" s="388"/>
      <c r="T259" s="388"/>
      <c r="U259" s="388"/>
      <c r="V259" s="388"/>
      <c r="W259" s="388"/>
      <c r="X259" s="388"/>
      <c r="Y259" s="388"/>
      <c r="Z259" s="388"/>
      <c r="AA259" s="389"/>
      <c r="AB259" s="389"/>
      <c r="AC259" s="389"/>
      <c r="AD259" s="389"/>
      <c r="AE259" s="389"/>
    </row>
    <row r="260" spans="2:31" ht="24" customHeight="1" thickBot="1" x14ac:dyDescent="0.4">
      <c r="B260" s="1320" t="s">
        <v>626</v>
      </c>
      <c r="C260" s="1321"/>
      <c r="D260" s="1321"/>
      <c r="E260" s="1321"/>
      <c r="F260" s="1321"/>
      <c r="G260" s="1321"/>
      <c r="H260" s="1321"/>
      <c r="I260" s="1321"/>
      <c r="J260" s="1321"/>
      <c r="K260" s="1321"/>
      <c r="L260" s="1321"/>
      <c r="M260" s="1321"/>
      <c r="N260" s="1321"/>
      <c r="O260" s="1321"/>
      <c r="P260" s="1322"/>
      <c r="Q260" s="1323">
        <f>+U214+U224+U236+U241+U247+U252+U258</f>
        <v>90209000</v>
      </c>
      <c r="R260" s="1103"/>
      <c r="S260" s="1103"/>
      <c r="T260" s="1106"/>
      <c r="U260" s="392"/>
      <c r="V260" s="392"/>
      <c r="W260" s="392"/>
      <c r="X260" s="392"/>
      <c r="Y260" s="392"/>
      <c r="Z260" s="392"/>
      <c r="AA260" s="393"/>
      <c r="AB260" s="393"/>
      <c r="AC260" s="393"/>
      <c r="AD260" s="393"/>
      <c r="AE260" s="393"/>
    </row>
    <row r="261" spans="2:31" ht="15" customHeight="1" x14ac:dyDescent="0.35">
      <c r="B261" s="388"/>
      <c r="C261" s="388"/>
      <c r="D261" s="388"/>
      <c r="E261" s="388"/>
      <c r="F261" s="388"/>
      <c r="G261" s="388"/>
      <c r="H261" s="388"/>
      <c r="I261" s="388"/>
      <c r="J261" s="388"/>
      <c r="K261" s="388"/>
      <c r="L261" s="388"/>
      <c r="M261" s="388"/>
      <c r="N261" s="388"/>
      <c r="O261" s="388"/>
      <c r="P261" s="388"/>
      <c r="Q261" s="388"/>
      <c r="R261" s="388"/>
      <c r="S261" s="388"/>
      <c r="T261" s="388"/>
      <c r="U261" s="388"/>
      <c r="V261" s="388"/>
      <c r="W261" s="388"/>
      <c r="X261" s="388"/>
      <c r="Y261" s="388"/>
      <c r="Z261" s="388"/>
      <c r="AA261" s="389"/>
      <c r="AB261" s="389"/>
      <c r="AC261" s="389"/>
      <c r="AD261" s="389"/>
      <c r="AE261" s="389"/>
    </row>
    <row r="262" spans="2:31" ht="15" customHeight="1" x14ac:dyDescent="0.35">
      <c r="B262" s="388"/>
      <c r="C262" s="388"/>
      <c r="D262" s="388"/>
      <c r="E262" s="388"/>
      <c r="F262" s="388"/>
      <c r="G262" s="388"/>
      <c r="H262" s="388"/>
      <c r="I262" s="388"/>
      <c r="J262" s="388"/>
      <c r="K262" s="388"/>
      <c r="L262" s="388"/>
      <c r="M262" s="388"/>
      <c r="N262" s="388"/>
      <c r="O262" s="388"/>
      <c r="P262" s="388"/>
      <c r="Q262" s="388"/>
      <c r="R262" s="388"/>
      <c r="S262" s="388"/>
      <c r="T262" s="388"/>
      <c r="U262" s="388"/>
      <c r="V262" s="388"/>
      <c r="W262" s="388"/>
      <c r="X262" s="388"/>
      <c r="Y262" s="388"/>
      <c r="Z262" s="388"/>
      <c r="AA262" s="389"/>
      <c r="AB262" s="389"/>
      <c r="AC262" s="389"/>
      <c r="AD262" s="389"/>
      <c r="AE262" s="389"/>
    </row>
    <row r="263" spans="2:31" ht="24" customHeight="1" x14ac:dyDescent="0.35">
      <c r="B263" s="1067" t="s">
        <v>627</v>
      </c>
      <c r="C263" s="1067"/>
      <c r="D263" s="1067"/>
      <c r="E263" s="1067"/>
      <c r="F263" s="1067"/>
      <c r="G263" s="1067"/>
      <c r="H263" s="1067"/>
      <c r="I263" s="1067"/>
      <c r="J263" s="1067"/>
      <c r="K263" s="1067"/>
      <c r="L263" s="1067"/>
      <c r="M263" s="1067"/>
      <c r="N263" s="1067"/>
      <c r="O263" s="1067"/>
      <c r="P263" s="1067"/>
      <c r="Q263" s="1067"/>
      <c r="R263" s="1067"/>
      <c r="S263" s="1067"/>
      <c r="T263" s="1067"/>
      <c r="U263" s="392"/>
      <c r="V263" s="392"/>
      <c r="W263" s="392"/>
      <c r="X263" s="392"/>
      <c r="Y263" s="392"/>
      <c r="Z263" s="392"/>
      <c r="AA263" s="393"/>
      <c r="AB263" s="393"/>
      <c r="AC263" s="393"/>
      <c r="AD263" s="393"/>
      <c r="AE263" s="393"/>
    </row>
    <row r="264" spans="2:31" ht="15" customHeight="1" x14ac:dyDescent="0.5">
      <c r="B264" s="405"/>
      <c r="C264" s="405"/>
      <c r="D264" s="405"/>
      <c r="E264" s="405"/>
      <c r="F264" s="405"/>
      <c r="G264" s="405"/>
      <c r="H264" s="405"/>
      <c r="I264" s="405"/>
      <c r="J264" s="405"/>
      <c r="K264" s="405"/>
      <c r="L264" s="405"/>
      <c r="M264" s="405"/>
      <c r="N264" s="405"/>
      <c r="O264" s="405"/>
      <c r="P264" s="405"/>
      <c r="Q264" s="405"/>
      <c r="R264" s="405"/>
      <c r="S264" s="405"/>
      <c r="T264" s="405"/>
      <c r="U264" s="388"/>
      <c r="V264" s="388"/>
      <c r="W264" s="388"/>
      <c r="X264" s="388"/>
      <c r="Y264" s="388"/>
      <c r="Z264" s="388"/>
      <c r="AA264" s="389"/>
      <c r="AB264" s="389"/>
      <c r="AC264" s="389"/>
      <c r="AD264" s="389"/>
      <c r="AE264" s="389"/>
    </row>
    <row r="265" spans="2:31" ht="24" customHeight="1" x14ac:dyDescent="0.35">
      <c r="B265" s="1353" t="s">
        <v>628</v>
      </c>
      <c r="C265" s="1353"/>
      <c r="D265" s="1353"/>
      <c r="E265" s="1353"/>
      <c r="F265" s="1353"/>
      <c r="G265" s="1353"/>
      <c r="H265" s="1353"/>
      <c r="I265" s="1353"/>
      <c r="J265" s="1353"/>
      <c r="K265" s="1353"/>
      <c r="L265" s="1353"/>
      <c r="M265" s="1353"/>
      <c r="N265" s="1353"/>
      <c r="O265" s="1353"/>
      <c r="P265" s="1353"/>
      <c r="Q265" s="1353"/>
      <c r="R265" s="1353"/>
      <c r="S265" s="1353"/>
      <c r="T265" s="1353"/>
      <c r="U265" s="392"/>
      <c r="V265" s="392"/>
      <c r="W265" s="392"/>
      <c r="X265" s="392"/>
      <c r="Y265" s="392"/>
      <c r="Z265" s="392"/>
      <c r="AA265" s="393"/>
      <c r="AB265" s="393"/>
      <c r="AC265" s="393"/>
      <c r="AD265" s="393"/>
      <c r="AE265" s="393"/>
    </row>
    <row r="266" spans="2:31" ht="15" customHeight="1" thickBot="1" x14ac:dyDescent="0.4">
      <c r="B266" s="388"/>
      <c r="C266" s="388"/>
      <c r="D266" s="388"/>
      <c r="E266" s="388"/>
      <c r="F266" s="388"/>
      <c r="G266" s="388"/>
      <c r="H266" s="388"/>
      <c r="I266" s="388"/>
      <c r="J266" s="388"/>
      <c r="K266" s="388"/>
      <c r="L266" s="388"/>
      <c r="M266" s="388"/>
      <c r="N266" s="388"/>
      <c r="O266" s="388"/>
      <c r="P266" s="388"/>
      <c r="Q266" s="388"/>
      <c r="R266" s="388"/>
      <c r="S266" s="388"/>
      <c r="T266" s="388"/>
      <c r="U266" s="388"/>
      <c r="V266" s="388"/>
      <c r="W266" s="388"/>
      <c r="X266" s="388"/>
      <c r="Y266" s="388"/>
      <c r="Z266" s="388"/>
      <c r="AA266" s="389"/>
      <c r="AB266" s="389"/>
      <c r="AC266" s="389"/>
      <c r="AD266" s="389"/>
      <c r="AE266" s="389"/>
    </row>
    <row r="267" spans="2:31" ht="24" customHeight="1" thickBot="1" x14ac:dyDescent="0.4">
      <c r="B267" s="1102" t="s">
        <v>629</v>
      </c>
      <c r="C267" s="1103"/>
      <c r="D267" s="1103"/>
      <c r="E267" s="1103"/>
      <c r="F267" s="1103"/>
      <c r="G267" s="1103"/>
      <c r="H267" s="1104"/>
      <c r="I267" s="1105" t="s">
        <v>630</v>
      </c>
      <c r="J267" s="1103"/>
      <c r="K267" s="1103"/>
      <c r="L267" s="1104"/>
      <c r="M267" s="1105" t="s">
        <v>817</v>
      </c>
      <c r="N267" s="1302"/>
      <c r="O267" s="1302"/>
      <c r="P267" s="1303"/>
      <c r="Q267" s="1105" t="s">
        <v>1181</v>
      </c>
      <c r="R267" s="1103"/>
      <c r="S267" s="1104"/>
      <c r="T267" s="406" t="s">
        <v>631</v>
      </c>
      <c r="U267" s="406" t="s">
        <v>632</v>
      </c>
      <c r="V267" s="406" t="s">
        <v>633</v>
      </c>
      <c r="W267" s="406" t="s">
        <v>634</v>
      </c>
      <c r="X267" s="399" t="s">
        <v>635</v>
      </c>
      <c r="Y267" s="392"/>
      <c r="AB267" s="389"/>
      <c r="AC267" s="389"/>
      <c r="AD267" s="407"/>
    </row>
    <row r="268" spans="2:31" ht="35.25" customHeight="1" x14ac:dyDescent="0.35">
      <c r="B268" s="1342" t="str">
        <f>G82</f>
        <v>Gestión integral de Cartera y Cobranza</v>
      </c>
      <c r="C268" s="1343"/>
      <c r="D268" s="1343"/>
      <c r="E268" s="1343"/>
      <c r="F268" s="1343"/>
      <c r="G268" s="1343"/>
      <c r="H268" s="1344"/>
      <c r="I268" s="1345" t="s">
        <v>1180</v>
      </c>
      <c r="J268" s="1346"/>
      <c r="K268" s="1346"/>
      <c r="L268" s="1347"/>
      <c r="M268" s="1348">
        <v>18</v>
      </c>
      <c r="N268" s="1349"/>
      <c r="O268" s="1349"/>
      <c r="P268" s="1350"/>
      <c r="Q268" s="1348">
        <f>ROUNDUP(M268*12,0)</f>
        <v>216</v>
      </c>
      <c r="R268" s="1351"/>
      <c r="S268" s="1352"/>
      <c r="T268" s="470">
        <f>ROUNDUP(Q268,0)</f>
        <v>216</v>
      </c>
      <c r="U268" s="470">
        <f>ROUNDUP(T268*(1+$AC$268),0)</f>
        <v>231</v>
      </c>
      <c r="V268" s="470">
        <f>ROUNDUP(U268*(1+$AC$269),0)</f>
        <v>246</v>
      </c>
      <c r="W268" s="470">
        <f>ROUNDUP(V268*(1+$AC$270),0)</f>
        <v>258</v>
      </c>
      <c r="X268" s="471">
        <f>ROUNDUP(W268*(1+$AC$271),0)</f>
        <v>269</v>
      </c>
      <c r="Y268" s="388"/>
      <c r="AB268" s="408" t="s">
        <v>636</v>
      </c>
      <c r="AC268" s="409">
        <f>'Estudio de Mercados'!I51</f>
        <v>6.6400000000000001E-2</v>
      </c>
      <c r="AD268" s="389"/>
    </row>
    <row r="269" spans="2:31" ht="35.25" customHeight="1" x14ac:dyDescent="0.35">
      <c r="B269" s="1324" t="s">
        <v>545</v>
      </c>
      <c r="C269" s="1325"/>
      <c r="D269" s="1325"/>
      <c r="E269" s="1325"/>
      <c r="F269" s="1325"/>
      <c r="G269" s="1325"/>
      <c r="H269" s="1326"/>
      <c r="I269" s="1327"/>
      <c r="J269" s="1328"/>
      <c r="K269" s="1328"/>
      <c r="L269" s="1329"/>
      <c r="M269" s="1330"/>
      <c r="N269" s="1331"/>
      <c r="O269" s="1331"/>
      <c r="P269" s="1332"/>
      <c r="Q269" s="1330">
        <f>ROUNDUP(M269*12,1)</f>
        <v>0</v>
      </c>
      <c r="R269" s="1331"/>
      <c r="S269" s="1332"/>
      <c r="T269" s="472">
        <f>Q269</f>
        <v>0</v>
      </c>
      <c r="U269" s="472">
        <f>T269*(1+$AC$268)</f>
        <v>0</v>
      </c>
      <c r="V269" s="472">
        <f>U269*(1+$AC$269)</f>
        <v>0</v>
      </c>
      <c r="W269" s="472">
        <f>V269*(1+$AC$270)</f>
        <v>0</v>
      </c>
      <c r="X269" s="473">
        <f>W269*(1+$AC$271)</f>
        <v>0</v>
      </c>
      <c r="Y269" s="388"/>
      <c r="AB269" s="408" t="s">
        <v>637</v>
      </c>
      <c r="AC269" s="409">
        <f>'Estudio de Mercados'!J51</f>
        <v>6.3399999999999998E-2</v>
      </c>
      <c r="AD269" s="389"/>
    </row>
    <row r="270" spans="2:31" ht="35.25" customHeight="1" x14ac:dyDescent="0.35">
      <c r="B270" s="1324" t="s">
        <v>545</v>
      </c>
      <c r="C270" s="1325"/>
      <c r="D270" s="1325"/>
      <c r="E270" s="1325"/>
      <c r="F270" s="1325"/>
      <c r="G270" s="1325"/>
      <c r="H270" s="1326"/>
      <c r="I270" s="1327"/>
      <c r="J270" s="1328"/>
      <c r="K270" s="1328"/>
      <c r="L270" s="1329"/>
      <c r="M270" s="1330"/>
      <c r="N270" s="1331"/>
      <c r="O270" s="1331"/>
      <c r="P270" s="1332"/>
      <c r="Q270" s="1330">
        <f>ROUNDUP(M270*12,1)</f>
        <v>0</v>
      </c>
      <c r="R270" s="1331"/>
      <c r="S270" s="1332"/>
      <c r="T270" s="472">
        <f>Q270</f>
        <v>0</v>
      </c>
      <c r="U270" s="472">
        <f>T270*(1+$AC$268)</f>
        <v>0</v>
      </c>
      <c r="V270" s="472">
        <f>U270*(1+$AC$269)</f>
        <v>0</v>
      </c>
      <c r="W270" s="472">
        <f>V270*(1+$AC$270)</f>
        <v>0</v>
      </c>
      <c r="X270" s="473">
        <f>W270*(1+$AC$271)</f>
        <v>0</v>
      </c>
      <c r="Y270" s="388"/>
      <c r="AB270" s="408" t="s">
        <v>638</v>
      </c>
      <c r="AC270" s="409">
        <f>'Estudio de Mercados'!K51</f>
        <v>4.7699999999999999E-2</v>
      </c>
      <c r="AD270" s="389"/>
    </row>
    <row r="271" spans="2:31" ht="35.25" customHeight="1" thickBot="1" x14ac:dyDescent="0.4">
      <c r="B271" s="1333" t="s">
        <v>545</v>
      </c>
      <c r="C271" s="1334"/>
      <c r="D271" s="1334"/>
      <c r="E271" s="1334"/>
      <c r="F271" s="1334"/>
      <c r="G271" s="1334"/>
      <c r="H271" s="1335"/>
      <c r="I271" s="1336"/>
      <c r="J271" s="1337"/>
      <c r="K271" s="1337"/>
      <c r="L271" s="1338"/>
      <c r="M271" s="1339"/>
      <c r="N271" s="1340"/>
      <c r="O271" s="1340"/>
      <c r="P271" s="1341"/>
      <c r="Q271" s="1339">
        <f>ROUNDUP(M271*12,1)</f>
        <v>0</v>
      </c>
      <c r="R271" s="1340"/>
      <c r="S271" s="1341"/>
      <c r="T271" s="474">
        <f>Q271</f>
        <v>0</v>
      </c>
      <c r="U271" s="474">
        <f>T271*(1+$AC$268)</f>
        <v>0</v>
      </c>
      <c r="V271" s="474">
        <f>U271*(1+$AC$269)</f>
        <v>0</v>
      </c>
      <c r="W271" s="474">
        <f>V271*(1+$AC$270)</f>
        <v>0</v>
      </c>
      <c r="X271" s="475">
        <f>W271*(1+$AC$271)</f>
        <v>0</v>
      </c>
      <c r="Y271" s="388"/>
      <c r="AB271" s="408" t="s">
        <v>639</v>
      </c>
      <c r="AC271" s="409">
        <f>'Estudio de Mercados'!L51</f>
        <v>3.9699999999999999E-2</v>
      </c>
      <c r="AD271" s="389"/>
    </row>
    <row r="272" spans="2:31" ht="15" customHeight="1" thickBot="1" x14ac:dyDescent="0.4">
      <c r="B272" s="388"/>
      <c r="C272" s="388"/>
      <c r="D272" s="388"/>
      <c r="E272" s="388"/>
      <c r="F272" s="388"/>
      <c r="G272" s="388"/>
      <c r="H272" s="388"/>
      <c r="I272" s="388"/>
      <c r="J272" s="388"/>
      <c r="K272" s="388"/>
      <c r="L272" s="388"/>
      <c r="M272" s="388"/>
      <c r="N272" s="388"/>
      <c r="O272" s="388"/>
      <c r="P272" s="388"/>
      <c r="Q272" s="388"/>
      <c r="R272" s="388"/>
      <c r="S272" s="388"/>
      <c r="T272" s="388"/>
      <c r="U272" s="388"/>
      <c r="V272" s="388"/>
      <c r="W272" s="388"/>
      <c r="X272" s="388"/>
      <c r="Y272" s="388"/>
      <c r="Z272" s="388"/>
      <c r="AA272" s="389"/>
      <c r="AB272" s="389"/>
      <c r="AC272" s="389"/>
      <c r="AD272" s="389"/>
      <c r="AE272" s="389"/>
    </row>
    <row r="273" spans="2:31" ht="24" customHeight="1" thickBot="1" x14ac:dyDescent="0.4">
      <c r="B273" s="410"/>
      <c r="C273" s="410"/>
      <c r="D273" s="410"/>
      <c r="E273" s="410"/>
      <c r="F273" s="410"/>
      <c r="G273" s="410"/>
      <c r="H273" s="410"/>
      <c r="I273" s="1368" t="s">
        <v>640</v>
      </c>
      <c r="J273" s="1369"/>
      <c r="K273" s="1369"/>
      <c r="L273" s="1369"/>
      <c r="M273" s="1369"/>
      <c r="N273" s="1369"/>
      <c r="O273" s="1369"/>
      <c r="P273" s="1369"/>
      <c r="Q273" s="1369"/>
      <c r="R273" s="1369"/>
      <c r="S273" s="1370"/>
      <c r="T273" s="411">
        <f>T268+T269+T270+T271</f>
        <v>216</v>
      </c>
      <c r="U273" s="412">
        <f>U268+U269+U270+U271</f>
        <v>231</v>
      </c>
      <c r="V273" s="412">
        <f>V268+V269+V270+V271</f>
        <v>246</v>
      </c>
      <c r="W273" s="412">
        <f>W268+W269+W270+W271</f>
        <v>258</v>
      </c>
      <c r="X273" s="413">
        <f>X268+X269+X270+X271</f>
        <v>269</v>
      </c>
      <c r="Y273" s="392"/>
      <c r="Z273" s="392"/>
      <c r="AA273" s="393"/>
      <c r="AB273" s="393"/>
      <c r="AC273" s="393"/>
      <c r="AD273" s="393"/>
      <c r="AE273" s="393"/>
    </row>
    <row r="274" spans="2:31" ht="15" customHeight="1" x14ac:dyDescent="0.35">
      <c r="B274" s="388"/>
      <c r="C274" s="388"/>
      <c r="D274" s="388"/>
      <c r="E274" s="388"/>
      <c r="F274" s="388"/>
      <c r="G274" s="388"/>
      <c r="H274" s="388"/>
      <c r="I274" s="388"/>
      <c r="J274" s="388"/>
      <c r="K274" s="388"/>
      <c r="L274" s="388"/>
      <c r="M274" s="388"/>
      <c r="N274" s="388"/>
      <c r="O274" s="388"/>
      <c r="P274" s="388"/>
      <c r="Q274" s="388"/>
      <c r="R274" s="388"/>
      <c r="S274" s="388"/>
      <c r="T274" s="388"/>
      <c r="U274" s="388"/>
      <c r="V274" s="388"/>
      <c r="W274" s="388"/>
      <c r="X274" s="388"/>
      <c r="Y274" s="388"/>
      <c r="Z274" s="388"/>
      <c r="AA274" s="389"/>
      <c r="AB274" s="389"/>
      <c r="AC274" s="389"/>
      <c r="AD274" s="389"/>
      <c r="AE274" s="389"/>
    </row>
    <row r="275" spans="2:31" ht="15" customHeight="1" x14ac:dyDescent="0.35">
      <c r="B275" s="388"/>
      <c r="C275" s="388"/>
      <c r="D275" s="388"/>
      <c r="E275" s="388"/>
      <c r="F275" s="388"/>
      <c r="G275" s="388"/>
      <c r="H275" s="388"/>
      <c r="I275" s="388"/>
      <c r="J275" s="388"/>
      <c r="K275" s="388"/>
      <c r="L275" s="388"/>
      <c r="M275" s="388"/>
      <c r="N275" s="388"/>
      <c r="O275" s="388"/>
      <c r="P275" s="388"/>
      <c r="Q275" s="388"/>
      <c r="R275" s="388"/>
      <c r="S275" s="388"/>
      <c r="T275" s="388"/>
      <c r="U275" s="388"/>
      <c r="V275" s="388"/>
      <c r="W275" s="388"/>
      <c r="X275" s="388"/>
      <c r="Y275" s="388"/>
      <c r="Z275" s="388"/>
      <c r="AA275" s="389"/>
      <c r="AB275" s="389"/>
      <c r="AC275" s="389"/>
      <c r="AD275" s="389"/>
      <c r="AE275" s="389"/>
    </row>
    <row r="276" spans="2:31" ht="24" customHeight="1" x14ac:dyDescent="0.35">
      <c r="B276" s="1067" t="s">
        <v>641</v>
      </c>
      <c r="C276" s="1067"/>
      <c r="D276" s="1067"/>
      <c r="E276" s="1067"/>
      <c r="F276" s="1067"/>
      <c r="G276" s="1067"/>
      <c r="H276" s="1067"/>
      <c r="I276" s="1067"/>
      <c r="J276" s="1067"/>
      <c r="K276" s="1067"/>
      <c r="L276" s="1067"/>
      <c r="M276" s="1067"/>
      <c r="N276" s="1067"/>
      <c r="O276" s="1067"/>
      <c r="P276" s="1067"/>
      <c r="Q276" s="1067"/>
      <c r="R276" s="1067"/>
      <c r="S276" s="1067"/>
      <c r="T276" s="1067"/>
      <c r="U276" s="1067"/>
      <c r="V276" s="1067"/>
      <c r="W276" s="1067"/>
      <c r="X276" s="1067"/>
      <c r="Y276" s="392"/>
      <c r="Z276" s="392"/>
      <c r="AA276" s="393"/>
      <c r="AB276" s="393"/>
      <c r="AC276" s="393"/>
      <c r="AD276" s="393"/>
      <c r="AE276" s="393"/>
    </row>
    <row r="277" spans="2:31" ht="15" customHeight="1" x14ac:dyDescent="0.35">
      <c r="B277" s="388"/>
      <c r="C277" s="388"/>
      <c r="D277" s="388"/>
      <c r="E277" s="388"/>
      <c r="F277" s="388"/>
      <c r="G277" s="388"/>
      <c r="H277" s="388"/>
      <c r="I277" s="388"/>
      <c r="J277" s="388"/>
      <c r="K277" s="388"/>
      <c r="L277" s="388"/>
      <c r="M277" s="388"/>
      <c r="N277" s="388"/>
      <c r="O277" s="388"/>
      <c r="P277" s="388"/>
      <c r="Q277" s="388"/>
      <c r="R277" s="388"/>
      <c r="S277" s="388"/>
      <c r="T277" s="388"/>
      <c r="U277" s="388"/>
      <c r="V277" s="388"/>
      <c r="W277" s="388"/>
      <c r="X277" s="388"/>
      <c r="Y277" s="392"/>
      <c r="Z277" s="388"/>
      <c r="AA277" s="389"/>
      <c r="AB277" s="389"/>
      <c r="AC277" s="389"/>
      <c r="AD277" s="389"/>
      <c r="AE277" s="389"/>
    </row>
    <row r="278" spans="2:31" ht="24" customHeight="1" x14ac:dyDescent="0.35">
      <c r="B278" s="1371" t="s">
        <v>642</v>
      </c>
      <c r="C278" s="1371"/>
      <c r="D278" s="1371"/>
      <c r="E278" s="1371"/>
      <c r="F278" s="1371"/>
      <c r="G278" s="1371"/>
      <c r="H278" s="1371"/>
      <c r="I278" s="1371"/>
      <c r="J278" s="1371"/>
      <c r="K278" s="1371"/>
      <c r="L278" s="1371"/>
      <c r="M278" s="1371"/>
      <c r="N278" s="1371"/>
      <c r="O278" s="1371"/>
      <c r="P278" s="1371"/>
      <c r="Q278" s="1371"/>
      <c r="R278" s="1371"/>
      <c r="S278" s="1371"/>
      <c r="T278" s="1371"/>
      <c r="U278" s="1371"/>
      <c r="V278" s="1371"/>
      <c r="W278" s="1371"/>
      <c r="X278" s="1371"/>
      <c r="Y278" s="392"/>
      <c r="Z278" s="392"/>
      <c r="AA278" s="393"/>
      <c r="AB278" s="393"/>
      <c r="AC278" s="393"/>
      <c r="AD278" s="393"/>
      <c r="AE278" s="393"/>
    </row>
    <row r="279" spans="2:31" ht="15" customHeight="1" thickBot="1" x14ac:dyDescent="0.4">
      <c r="B279" s="388"/>
      <c r="C279" s="388"/>
      <c r="D279" s="388"/>
      <c r="E279" s="388"/>
      <c r="F279" s="388"/>
      <c r="G279" s="388"/>
      <c r="H279" s="388"/>
      <c r="I279" s="388"/>
      <c r="J279" s="388"/>
      <c r="K279" s="388"/>
      <c r="L279" s="388"/>
      <c r="M279" s="388"/>
      <c r="N279" s="388"/>
      <c r="O279" s="388"/>
      <c r="P279" s="388"/>
      <c r="Q279" s="388"/>
      <c r="R279" s="388"/>
      <c r="S279" s="388"/>
      <c r="T279" s="388"/>
      <c r="U279" s="388"/>
      <c r="V279" s="388"/>
      <c r="W279" s="388"/>
      <c r="X279" s="388"/>
      <c r="Y279" s="392"/>
      <c r="Z279" s="388"/>
      <c r="AA279" s="389"/>
      <c r="AB279" s="389"/>
      <c r="AC279" s="389"/>
      <c r="AD279" s="389"/>
      <c r="AE279" s="389"/>
    </row>
    <row r="280" spans="2:31" ht="15" customHeight="1" thickBot="1" x14ac:dyDescent="0.4">
      <c r="B280" s="1372" t="s">
        <v>643</v>
      </c>
      <c r="C280" s="1373"/>
      <c r="D280" s="1373"/>
      <c r="E280" s="1373"/>
      <c r="F280" s="1373"/>
      <c r="G280" s="1373"/>
      <c r="H280" s="1374"/>
      <c r="I280" s="388"/>
      <c r="J280" s="388"/>
      <c r="K280" s="1375" t="s">
        <v>644</v>
      </c>
      <c r="L280" s="1376"/>
      <c r="M280" s="1377"/>
      <c r="N280" s="1381" t="s">
        <v>645</v>
      </c>
      <c r="O280" s="388"/>
      <c r="P280" s="388"/>
      <c r="Q280" s="1383" t="s">
        <v>646</v>
      </c>
      <c r="R280" s="1373"/>
      <c r="S280" s="1384"/>
      <c r="T280" s="1385" t="s">
        <v>645</v>
      </c>
      <c r="U280" s="1374"/>
      <c r="V280" s="388"/>
      <c r="W280" s="388"/>
      <c r="X280" s="388"/>
      <c r="Y280" s="392"/>
      <c r="Z280" s="388"/>
      <c r="AA280" s="389"/>
      <c r="AB280" s="389"/>
      <c r="AC280" s="389"/>
      <c r="AD280" s="389"/>
      <c r="AE280" s="389"/>
    </row>
    <row r="281" spans="2:31" ht="16" thickBot="1" x14ac:dyDescent="0.4">
      <c r="B281" s="1386" t="s">
        <v>647</v>
      </c>
      <c r="C281" s="1108"/>
      <c r="D281" s="1108"/>
      <c r="E281" s="1109"/>
      <c r="F281" s="1387">
        <v>1300000</v>
      </c>
      <c r="G281" s="1388"/>
      <c r="H281" s="1389"/>
      <c r="I281" s="388"/>
      <c r="J281" s="388"/>
      <c r="K281" s="1378"/>
      <c r="L281" s="1379"/>
      <c r="M281" s="1380"/>
      <c r="N281" s="1382"/>
      <c r="O281" s="388"/>
      <c r="P281" s="388"/>
      <c r="Q281" s="1361" t="s">
        <v>648</v>
      </c>
      <c r="R281" s="1108"/>
      <c r="S281" s="1109"/>
      <c r="T281" s="1362">
        <v>0.04</v>
      </c>
      <c r="U281" s="1363"/>
      <c r="V281" s="388"/>
      <c r="W281" s="388"/>
      <c r="X281" s="388"/>
      <c r="Y281" s="388"/>
      <c r="Z281" s="388"/>
      <c r="AA281" s="389"/>
      <c r="AB281" s="389"/>
      <c r="AC281" s="389"/>
      <c r="AD281" s="389"/>
      <c r="AE281" s="389"/>
    </row>
    <row r="282" spans="2:31" ht="15" customHeight="1" thickBot="1" x14ac:dyDescent="0.4">
      <c r="B282" s="1364" t="s">
        <v>649</v>
      </c>
      <c r="C282" s="1358"/>
      <c r="D282" s="1358"/>
      <c r="E282" s="1284"/>
      <c r="F282" s="1365">
        <v>162000</v>
      </c>
      <c r="G282" s="1366"/>
      <c r="H282" s="1367"/>
      <c r="I282" s="388"/>
      <c r="J282" s="388"/>
      <c r="K282" s="1361" t="s">
        <v>650</v>
      </c>
      <c r="L282" s="1108"/>
      <c r="M282" s="1109"/>
      <c r="N282" s="414">
        <v>8.5000000000000006E-2</v>
      </c>
      <c r="O282" s="388"/>
      <c r="P282" s="388"/>
      <c r="Q282" s="1354" t="s">
        <v>651</v>
      </c>
      <c r="R282" s="1076"/>
      <c r="S282" s="1039"/>
      <c r="T282" s="1355">
        <v>0.03</v>
      </c>
      <c r="U282" s="1356"/>
      <c r="V282" s="388"/>
      <c r="W282" s="388"/>
      <c r="X282" s="388"/>
      <c r="Y282" s="388"/>
      <c r="Z282" s="388"/>
      <c r="AA282" s="389"/>
      <c r="AB282" s="389"/>
      <c r="AC282" s="389"/>
      <c r="AD282" s="389"/>
      <c r="AE282" s="389"/>
    </row>
    <row r="283" spans="2:31" ht="15" customHeight="1" x14ac:dyDescent="0.35">
      <c r="B283" s="388"/>
      <c r="C283" s="388"/>
      <c r="D283" s="388"/>
      <c r="E283" s="388"/>
      <c r="F283" s="388"/>
      <c r="G283" s="388"/>
      <c r="H283" s="388"/>
      <c r="I283" s="388"/>
      <c r="J283" s="388"/>
      <c r="K283" s="1354" t="s">
        <v>652</v>
      </c>
      <c r="L283" s="1076"/>
      <c r="M283" s="1039"/>
      <c r="N283" s="476">
        <v>0.12</v>
      </c>
      <c r="O283" s="388"/>
      <c r="P283" s="388"/>
      <c r="Q283" s="1354" t="s">
        <v>653</v>
      </c>
      <c r="R283" s="1076"/>
      <c r="S283" s="1039"/>
      <c r="T283" s="1355">
        <v>0.02</v>
      </c>
      <c r="U283" s="1356"/>
      <c r="V283" s="388"/>
      <c r="W283" s="388"/>
      <c r="X283" s="388"/>
      <c r="Y283" s="388"/>
      <c r="Z283" s="388"/>
      <c r="AA283" s="389"/>
      <c r="AB283" s="389"/>
      <c r="AC283" s="389"/>
      <c r="AD283" s="389"/>
      <c r="AE283" s="389"/>
    </row>
    <row r="284" spans="2:31" ht="16" thickBot="1" x14ac:dyDescent="0.4">
      <c r="G284" s="388"/>
      <c r="H284" s="388"/>
      <c r="I284" s="388"/>
      <c r="J284" s="388"/>
      <c r="K284" s="1357" t="s">
        <v>654</v>
      </c>
      <c r="L284" s="1358"/>
      <c r="M284" s="1284"/>
      <c r="N284" s="415">
        <f>SUM(N282:N283)</f>
        <v>0.20500000000000002</v>
      </c>
      <c r="O284" s="388"/>
      <c r="P284" s="388"/>
      <c r="Q284" s="1357" t="s">
        <v>654</v>
      </c>
      <c r="R284" s="1358"/>
      <c r="S284" s="1284"/>
      <c r="T284" s="1359">
        <f>SUM(T281:T283)</f>
        <v>9.0000000000000011E-2</v>
      </c>
      <c r="U284" s="1360"/>
      <c r="V284" s="388"/>
      <c r="W284" s="388"/>
      <c r="X284" s="388"/>
      <c r="Y284" s="388"/>
      <c r="Z284" s="388"/>
      <c r="AA284" s="389"/>
      <c r="AB284" s="389"/>
      <c r="AC284" s="389"/>
      <c r="AD284" s="389"/>
      <c r="AE284" s="389"/>
    </row>
    <row r="285" spans="2:31" ht="15.5" x14ac:dyDescent="0.35">
      <c r="G285" s="720"/>
      <c r="H285" s="388"/>
      <c r="I285" s="388"/>
      <c r="J285" s="388"/>
      <c r="K285" s="388"/>
      <c r="L285" s="388"/>
      <c r="M285" s="388"/>
      <c r="N285" s="388"/>
      <c r="O285" s="388"/>
      <c r="P285" s="388"/>
      <c r="Q285" s="388"/>
      <c r="R285" s="388"/>
      <c r="S285" s="388"/>
      <c r="T285" s="388"/>
      <c r="U285" s="388"/>
      <c r="V285" s="388"/>
      <c r="W285" s="388"/>
      <c r="X285" s="388"/>
      <c r="Y285" s="388"/>
      <c r="Z285" s="388"/>
      <c r="AA285" s="389"/>
      <c r="AB285" s="389"/>
      <c r="AC285" s="389"/>
      <c r="AD285" s="389"/>
      <c r="AE285" s="389"/>
    </row>
    <row r="286" spans="2:31" ht="16" thickBot="1" x14ac:dyDescent="0.4">
      <c r="G286" s="388"/>
      <c r="H286" s="388"/>
      <c r="I286" s="388"/>
      <c r="J286" s="388"/>
      <c r="K286" s="388"/>
      <c r="L286" s="388"/>
      <c r="M286" s="388"/>
      <c r="N286" s="388"/>
      <c r="O286" s="388"/>
      <c r="P286" s="388"/>
      <c r="Q286" s="388"/>
      <c r="R286" s="388"/>
      <c r="S286" s="388"/>
      <c r="T286" s="388"/>
      <c r="U286" s="388"/>
      <c r="V286" s="388"/>
      <c r="W286" s="388"/>
      <c r="X286" s="388"/>
      <c r="Y286" s="388"/>
      <c r="Z286" s="388"/>
      <c r="AA286" s="389"/>
      <c r="AB286" s="389"/>
      <c r="AC286" s="389"/>
      <c r="AD286" s="389"/>
      <c r="AE286" s="389"/>
    </row>
    <row r="287" spans="2:31" ht="16" thickBot="1" x14ac:dyDescent="0.4">
      <c r="B287" s="1383" t="s">
        <v>655</v>
      </c>
      <c r="C287" s="1400"/>
      <c r="D287" s="1401"/>
      <c r="E287" s="1385" t="s">
        <v>645</v>
      </c>
      <c r="F287" s="1402"/>
      <c r="G287" s="388"/>
      <c r="H287" s="388"/>
      <c r="I287" s="1403" t="s">
        <v>656</v>
      </c>
      <c r="J287" s="1404"/>
      <c r="K287" s="1405" t="s">
        <v>657</v>
      </c>
      <c r="L287" s="1404"/>
      <c r="M287" s="1406" t="s">
        <v>658</v>
      </c>
      <c r="N287" s="1407"/>
      <c r="O287" s="1407"/>
      <c r="P287" s="1407"/>
      <c r="Q287" s="1407"/>
      <c r="R287" s="1407"/>
      <c r="S287" s="1407"/>
      <c r="T287" s="1407"/>
      <c r="U287" s="1407"/>
      <c r="V287" s="1407"/>
      <c r="W287" s="1407"/>
      <c r="X287" s="1408"/>
      <c r="Y287" s="388"/>
      <c r="Z287" s="416"/>
      <c r="AA287" s="417"/>
      <c r="AB287" s="389"/>
      <c r="AC287" s="389"/>
      <c r="AD287" s="389"/>
      <c r="AE287" s="389"/>
    </row>
    <row r="288" spans="2:31" ht="15.5" x14ac:dyDescent="0.35">
      <c r="B288" s="1361" t="s">
        <v>659</v>
      </c>
      <c r="C288" s="1409"/>
      <c r="D288" s="1410"/>
      <c r="E288" s="1411">
        <v>8.3299999999999999E-2</v>
      </c>
      <c r="F288" s="1412"/>
      <c r="G288" s="388"/>
      <c r="H288" s="388"/>
      <c r="I288" s="1413" t="s">
        <v>660</v>
      </c>
      <c r="J288" s="1414"/>
      <c r="K288" s="1415">
        <v>5.2199999999999998E-3</v>
      </c>
      <c r="L288" s="1414"/>
      <c r="M288" s="1416" t="s">
        <v>661</v>
      </c>
      <c r="N288" s="1417"/>
      <c r="O288" s="1417"/>
      <c r="P288" s="1417"/>
      <c r="Q288" s="1417"/>
      <c r="R288" s="1417"/>
      <c r="S288" s="1417"/>
      <c r="T288" s="1417"/>
      <c r="U288" s="1417"/>
      <c r="V288" s="1417"/>
      <c r="W288" s="1417"/>
      <c r="X288" s="1418"/>
      <c r="Y288" s="388"/>
      <c r="Z288" s="388"/>
      <c r="AA288" s="389"/>
      <c r="AB288" s="389"/>
      <c r="AC288" s="389"/>
      <c r="AD288" s="389"/>
      <c r="AE288" s="389"/>
    </row>
    <row r="289" spans="2:40" ht="15.5" x14ac:dyDescent="0.35">
      <c r="B289" s="1354" t="s">
        <v>1174</v>
      </c>
      <c r="C289" s="1390"/>
      <c r="D289" s="1391"/>
      <c r="E289" s="1392">
        <v>8.3299999999999999E-2</v>
      </c>
      <c r="F289" s="1393"/>
      <c r="G289" s="388"/>
      <c r="H289" s="388"/>
      <c r="I289" s="1394" t="s">
        <v>663</v>
      </c>
      <c r="J289" s="1395"/>
      <c r="K289" s="1396">
        <v>1.044E-2</v>
      </c>
      <c r="L289" s="1395"/>
      <c r="M289" s="1397" t="s">
        <v>664</v>
      </c>
      <c r="N289" s="1398"/>
      <c r="O289" s="1398"/>
      <c r="P289" s="1398"/>
      <c r="Q289" s="1398"/>
      <c r="R289" s="1398"/>
      <c r="S289" s="1398"/>
      <c r="T289" s="1398"/>
      <c r="U289" s="1398"/>
      <c r="V289" s="1398"/>
      <c r="W289" s="1398"/>
      <c r="X289" s="1399"/>
      <c r="Y289" s="388"/>
      <c r="Z289" s="388"/>
      <c r="AA289" s="389"/>
      <c r="AB289" s="389"/>
      <c r="AC289" s="389"/>
      <c r="AD289" s="389"/>
      <c r="AE289" s="389"/>
    </row>
    <row r="290" spans="2:40" ht="15" customHeight="1" x14ac:dyDescent="0.35">
      <c r="B290" s="1354" t="s">
        <v>665</v>
      </c>
      <c r="C290" s="1390"/>
      <c r="D290" s="1391"/>
      <c r="E290" s="1392">
        <v>4.1700000000000001E-2</v>
      </c>
      <c r="F290" s="1393"/>
      <c r="G290" s="388"/>
      <c r="H290" s="388"/>
      <c r="I290" s="1394" t="s">
        <v>666</v>
      </c>
      <c r="J290" s="1395"/>
      <c r="K290" s="1396">
        <v>2.436E-2</v>
      </c>
      <c r="L290" s="1395"/>
      <c r="M290" s="1397" t="s">
        <v>667</v>
      </c>
      <c r="N290" s="1398"/>
      <c r="O290" s="1398"/>
      <c r="P290" s="1398"/>
      <c r="Q290" s="1398"/>
      <c r="R290" s="1398"/>
      <c r="S290" s="1398"/>
      <c r="T290" s="1398"/>
      <c r="U290" s="1398"/>
      <c r="V290" s="1398"/>
      <c r="W290" s="1398"/>
      <c r="X290" s="1399"/>
      <c r="Y290" s="388"/>
      <c r="Z290" s="388"/>
      <c r="AA290" s="389"/>
      <c r="AB290" s="389"/>
      <c r="AC290" s="389"/>
      <c r="AD290" s="389"/>
      <c r="AE290" s="389"/>
    </row>
    <row r="291" spans="2:40" ht="15.5" x14ac:dyDescent="0.35">
      <c r="B291" s="1354" t="s">
        <v>1175</v>
      </c>
      <c r="C291" s="1390"/>
      <c r="D291" s="1391"/>
      <c r="E291" s="1392">
        <v>0.01</v>
      </c>
      <c r="F291" s="1393"/>
      <c r="G291" s="388"/>
      <c r="H291" s="388"/>
      <c r="I291" s="1394" t="s">
        <v>669</v>
      </c>
      <c r="J291" s="1395"/>
      <c r="K291" s="1396">
        <v>4.3499999999999997E-2</v>
      </c>
      <c r="L291" s="1395"/>
      <c r="M291" s="1397" t="s">
        <v>670</v>
      </c>
      <c r="N291" s="1398"/>
      <c r="O291" s="1398"/>
      <c r="P291" s="1398"/>
      <c r="Q291" s="1398"/>
      <c r="R291" s="1398"/>
      <c r="S291" s="1398"/>
      <c r="T291" s="1398"/>
      <c r="U291" s="1398"/>
      <c r="V291" s="1398"/>
      <c r="W291" s="1398"/>
      <c r="X291" s="1399"/>
      <c r="Y291" s="388"/>
      <c r="Z291" s="388"/>
      <c r="AA291" s="389"/>
      <c r="AB291" s="389"/>
      <c r="AC291" s="389"/>
      <c r="AD291" s="389"/>
      <c r="AE291" s="389"/>
    </row>
    <row r="292" spans="2:40" ht="16" thickBot="1" x14ac:dyDescent="0.4">
      <c r="B292" s="1357" t="s">
        <v>654</v>
      </c>
      <c r="C292" s="1422"/>
      <c r="D292" s="1423"/>
      <c r="E292" s="1424">
        <f>SUM(E288:F291)</f>
        <v>0.21829999999999999</v>
      </c>
      <c r="F292" s="1425"/>
      <c r="G292" s="388"/>
      <c r="H292" s="388"/>
      <c r="I292" s="1426" t="s">
        <v>671</v>
      </c>
      <c r="J292" s="1427"/>
      <c r="K292" s="1428">
        <v>6.9599999999999995E-2</v>
      </c>
      <c r="L292" s="1427"/>
      <c r="M292" s="1429" t="s">
        <v>672</v>
      </c>
      <c r="N292" s="1430"/>
      <c r="O292" s="1430"/>
      <c r="P292" s="1430"/>
      <c r="Q292" s="1430"/>
      <c r="R292" s="1430"/>
      <c r="S292" s="1430"/>
      <c r="T292" s="1430"/>
      <c r="U292" s="1430"/>
      <c r="V292" s="1430"/>
      <c r="W292" s="1430"/>
      <c r="X292" s="1431"/>
      <c r="Y292" s="388"/>
      <c r="Z292" s="388"/>
      <c r="AA292" s="389"/>
      <c r="AB292" s="389"/>
      <c r="AC292" s="389"/>
      <c r="AD292" s="389"/>
      <c r="AE292" s="389"/>
    </row>
    <row r="293" spans="2:40" ht="15" customHeight="1" x14ac:dyDescent="0.35">
      <c r="B293" s="388"/>
      <c r="C293" s="388"/>
      <c r="D293" s="388"/>
      <c r="E293" s="388"/>
      <c r="F293" s="388"/>
      <c r="G293" s="388"/>
      <c r="H293" s="388"/>
      <c r="I293" s="388"/>
      <c r="J293" s="388"/>
      <c r="K293" s="388"/>
      <c r="L293" s="388"/>
      <c r="M293" s="388"/>
      <c r="N293" s="388"/>
      <c r="O293" s="388"/>
      <c r="P293" s="388"/>
      <c r="Q293" s="388"/>
      <c r="R293" s="388"/>
      <c r="S293" s="388"/>
      <c r="T293" s="388"/>
      <c r="U293" s="388"/>
      <c r="V293" s="388"/>
      <c r="W293" s="388"/>
      <c r="X293" s="388"/>
      <c r="Y293" s="388"/>
      <c r="Z293" s="388"/>
      <c r="AA293" s="389"/>
      <c r="AB293" s="389"/>
      <c r="AC293" s="389"/>
      <c r="AD293" s="389"/>
      <c r="AE293" s="389"/>
    </row>
    <row r="294" spans="2:40" ht="15" customHeight="1" x14ac:dyDescent="0.35">
      <c r="B294" s="388"/>
      <c r="C294" s="388"/>
      <c r="D294" s="388"/>
      <c r="E294" s="388"/>
      <c r="F294" s="388"/>
      <c r="G294" s="388"/>
      <c r="H294" s="388"/>
      <c r="I294" s="388"/>
      <c r="J294" s="388"/>
      <c r="K294" s="388"/>
      <c r="L294" s="388"/>
      <c r="M294" s="388"/>
      <c r="N294" s="388"/>
      <c r="O294" s="388"/>
      <c r="P294" s="388"/>
      <c r="Q294" s="388"/>
      <c r="R294" s="388"/>
      <c r="S294" s="388"/>
      <c r="T294" s="388"/>
      <c r="U294" s="388"/>
      <c r="V294" s="388"/>
      <c r="W294" s="388"/>
      <c r="X294" s="388"/>
      <c r="Y294" s="388"/>
      <c r="Z294" s="388"/>
      <c r="AA294" s="389"/>
      <c r="AB294" s="389"/>
      <c r="AC294" s="389"/>
      <c r="AD294" s="389"/>
      <c r="AE294" s="389"/>
    </row>
    <row r="295" spans="2:40" ht="21" x14ac:dyDescent="0.5">
      <c r="B295" s="1419" t="s">
        <v>1176</v>
      </c>
      <c r="C295" s="1419"/>
      <c r="D295" s="1419"/>
      <c r="E295" s="1419"/>
      <c r="F295" s="1419"/>
      <c r="G295" s="1419"/>
      <c r="H295" s="1419"/>
      <c r="I295" s="1419"/>
      <c r="J295" s="1419"/>
      <c r="K295" s="1419"/>
      <c r="L295" s="1419"/>
      <c r="M295" s="1419"/>
      <c r="N295" s="1419"/>
      <c r="O295" s="1419"/>
      <c r="P295" s="1419"/>
      <c r="Q295" s="1419"/>
      <c r="R295" s="1419"/>
      <c r="S295" s="1419"/>
      <c r="T295" s="1419"/>
      <c r="U295" s="1419"/>
      <c r="V295" s="1419"/>
      <c r="W295" s="1419"/>
      <c r="X295" s="1419"/>
      <c r="Y295" s="388"/>
      <c r="Z295" s="388"/>
      <c r="AA295" s="389"/>
      <c r="AB295" s="389"/>
      <c r="AC295" s="389"/>
      <c r="AD295" s="389"/>
      <c r="AE295" s="389"/>
    </row>
    <row r="296" spans="2:40" ht="15" customHeight="1" x14ac:dyDescent="0.35">
      <c r="B296" s="388"/>
      <c r="C296" s="388"/>
      <c r="D296" s="388"/>
      <c r="E296" s="388"/>
      <c r="F296" s="388"/>
      <c r="G296" s="388"/>
      <c r="H296" s="388"/>
      <c r="I296" s="388"/>
      <c r="J296" s="388"/>
      <c r="K296" s="388"/>
      <c r="L296" s="388"/>
      <c r="M296" s="388"/>
      <c r="N296" s="388"/>
      <c r="O296" s="388"/>
      <c r="P296" s="388"/>
      <c r="Q296" s="388"/>
      <c r="R296" s="388"/>
      <c r="S296" s="388"/>
      <c r="T296" s="388"/>
      <c r="U296" s="388"/>
      <c r="V296" s="388"/>
      <c r="W296" s="388"/>
      <c r="X296" s="388"/>
      <c r="Y296" s="388"/>
      <c r="Z296" s="388"/>
      <c r="AA296" s="389"/>
      <c r="AB296" s="389"/>
      <c r="AC296" s="389"/>
      <c r="AD296" s="389"/>
      <c r="AE296" s="389"/>
    </row>
    <row r="297" spans="2:40" ht="15" customHeight="1" thickBot="1" x14ac:dyDescent="0.4">
      <c r="B297" s="388"/>
      <c r="C297" s="388"/>
      <c r="D297" s="388"/>
      <c r="E297" s="388"/>
      <c r="F297" s="388"/>
      <c r="G297" s="388"/>
      <c r="H297" s="388"/>
      <c r="I297" s="388"/>
      <c r="J297" s="388"/>
      <c r="K297" s="388"/>
      <c r="L297" s="388"/>
      <c r="M297" s="388"/>
      <c r="N297" s="388"/>
      <c r="O297" s="388"/>
      <c r="P297" s="388"/>
      <c r="Q297" s="388"/>
      <c r="R297" s="388"/>
      <c r="S297" s="388"/>
      <c r="T297" s="388"/>
      <c r="U297" s="388"/>
      <c r="V297" s="388"/>
      <c r="W297" s="388"/>
      <c r="X297" s="388"/>
      <c r="Y297" s="388"/>
      <c r="Z297" s="388"/>
      <c r="AA297" s="389"/>
      <c r="AB297" s="389"/>
      <c r="AC297" s="389"/>
      <c r="AD297" s="389"/>
      <c r="AE297" s="389"/>
    </row>
    <row r="298" spans="2:40" ht="40.5" customHeight="1" thickBot="1" x14ac:dyDescent="0.4">
      <c r="B298" s="1420" t="s">
        <v>673</v>
      </c>
      <c r="C298" s="1404"/>
      <c r="D298" s="1404"/>
      <c r="E298" s="1421" t="s">
        <v>616</v>
      </c>
      <c r="F298" s="1404"/>
      <c r="G298" s="1421" t="s">
        <v>674</v>
      </c>
      <c r="H298" s="1404"/>
      <c r="I298" s="1404"/>
      <c r="J298" s="1421" t="s">
        <v>675</v>
      </c>
      <c r="K298" s="1404"/>
      <c r="L298" s="1421" t="s">
        <v>676</v>
      </c>
      <c r="M298" s="1404"/>
      <c r="N298" s="1421" t="s">
        <v>677</v>
      </c>
      <c r="O298" s="1404"/>
      <c r="P298" s="1421" t="s">
        <v>678</v>
      </c>
      <c r="Q298" s="1404"/>
      <c r="R298" s="1421" t="s">
        <v>655</v>
      </c>
      <c r="S298" s="1404"/>
      <c r="T298" s="1421" t="s">
        <v>679</v>
      </c>
      <c r="U298" s="1421"/>
      <c r="V298" s="418" t="s">
        <v>680</v>
      </c>
      <c r="W298" s="1421" t="s">
        <v>681</v>
      </c>
      <c r="X298" s="1442"/>
      <c r="Y298" s="388"/>
      <c r="Z298" s="388"/>
      <c r="AA298" s="389"/>
      <c r="AB298" s="389"/>
      <c r="AC298" s="389"/>
      <c r="AD298" s="389"/>
      <c r="AE298" s="389"/>
    </row>
    <row r="299" spans="2:40" ht="15.5" x14ac:dyDescent="0.35">
      <c r="B299" s="1443" t="s">
        <v>765</v>
      </c>
      <c r="C299" s="1438"/>
      <c r="D299" s="1438"/>
      <c r="E299" s="1437">
        <v>6</v>
      </c>
      <c r="F299" s="1438"/>
      <c r="G299" s="1437" t="s">
        <v>685</v>
      </c>
      <c r="H299" s="1438"/>
      <c r="I299" s="1438"/>
      <c r="J299" s="1437">
        <v>30</v>
      </c>
      <c r="K299" s="1438"/>
      <c r="L299" s="1444">
        <v>2083334</v>
      </c>
      <c r="M299" s="1438"/>
      <c r="N299" s="1437" t="s">
        <v>338</v>
      </c>
      <c r="O299" s="1438"/>
      <c r="P299" s="1432">
        <f>(IF(L299=0,0,(IF(G299="Servicios",0,(IF(L299&lt;(2*$F$281),$F$282,0))))))*E299</f>
        <v>972000</v>
      </c>
      <c r="Q299" s="1414"/>
      <c r="R299" s="1445">
        <f>((IF(G299="Servicios",0,(IF(N299="I",(L299*$E$292),IF(N299="II",(L299*$E$292),IF(N299="III",(L299*$E$292),IF(N299="IV",(L299*$E$292),IF(N299="V",(L299*$E$292),0))))))))+AI299)*E299</f>
        <v>2728750.8731999998</v>
      </c>
      <c r="S299" s="1414"/>
      <c r="T299" s="1445">
        <f>(IFERROR((IF(G299="Servicios",0,(IF(N299="I",(L299*($N$284+$K$288)),IF(N299="II",(L299*($N$284+$K$289)),IF(N299="III",(L299*($N$284+$K$290)),IF(N299="IV",(L299*($N$284+$K$291)),IF(N299="V",(L299*($N$284+$K$292)),0))))))))+AI299,"REVISAR DATO"))*E299</f>
        <v>2627750.84088</v>
      </c>
      <c r="U299" s="1445"/>
      <c r="V299" s="419">
        <f>((IF(G299="Servicios",0,(IF(N299="I",(L299*$T$284),IF(N299="II",(L299*$T$284),IF(N299="III",(L299*$T$284),IF(N299="IV",(L299*$T$284),IF(N299="V",(L299*$T$284),0))))))))+AI299)*E299</f>
        <v>1125000.3600000001</v>
      </c>
      <c r="W299" s="1432">
        <f>((+L299*E299)+P299+R299+T299+V299)</f>
        <v>19953506.074079998</v>
      </c>
      <c r="X299" s="1433"/>
      <c r="AI299" s="420">
        <f>+P299*Y298</f>
        <v>0</v>
      </c>
      <c r="AJ299" s="389"/>
      <c r="AK299" s="389"/>
      <c r="AL299" s="389"/>
      <c r="AM299" s="421" t="s">
        <v>30</v>
      </c>
      <c r="AN299" s="422" t="s">
        <v>338</v>
      </c>
    </row>
    <row r="300" spans="2:40" ht="15.5" x14ac:dyDescent="0.35">
      <c r="B300" s="1434" t="s">
        <v>767</v>
      </c>
      <c r="C300" s="1435"/>
      <c r="D300" s="1435"/>
      <c r="E300" s="1436">
        <v>1</v>
      </c>
      <c r="F300" s="1435"/>
      <c r="G300" s="1437" t="s">
        <v>685</v>
      </c>
      <c r="H300" s="1438"/>
      <c r="I300" s="1438"/>
      <c r="J300" s="1436">
        <v>30</v>
      </c>
      <c r="K300" s="1435"/>
      <c r="L300" s="1439">
        <v>3000000</v>
      </c>
      <c r="M300" s="1435"/>
      <c r="N300" s="1437" t="s">
        <v>338</v>
      </c>
      <c r="O300" s="1438"/>
      <c r="P300" s="1440">
        <f t="shared" ref="P300:P311" si="6">IF(L300=0,0,(IF(G300="Servicios",0,(IF(L300&lt;(2*$F$281),$F$282,0)))))</f>
        <v>0</v>
      </c>
      <c r="Q300" s="1395"/>
      <c r="R300" s="1441">
        <f t="shared" ref="R300:R311" si="7">(IF(G300="Servicios",0,(IF(N300="I",(L300*$E$292),IF(N300="II",(L300*$E$292),IF(N300="III",(L300*$E$292),IF(N300="IV",(L300*$E$292),IF(N300="V",(L300*$E$292),0))))))))+AI300</f>
        <v>654900</v>
      </c>
      <c r="S300" s="1395"/>
      <c r="T300" s="1441">
        <f t="shared" ref="T300:T311" si="8">IFERROR((IF(G300="Servicios",0,(IF(N300="I",(L300*($N$284+$K$288)),IF(N300="II",(L300*($N$284+$K$289)),IF(N300="III",(L300*($N$284+$K$290)),IF(N300="IV",(L300*($N$284+$K$291)),IF(N300="V",(L300*($N$284+$K$292)),0))))))))+AI300,"REVISAR DATO")</f>
        <v>630660</v>
      </c>
      <c r="U300" s="1441"/>
      <c r="V300" s="424">
        <f t="shared" ref="V300:V311" si="9">(IF(G300="Servicios",0,(IF(N300="I",(L300*$T$284),IF(N300="II",(L300*$T$284),IF(N300="III",(L300*$T$284),IF(N300="IV",(L300*$T$284),IF(N300="V",(L300*$T$284),0))))))))+AI300</f>
        <v>270000.00000000006</v>
      </c>
      <c r="W300" s="1440">
        <f t="shared" ref="W300:W311" si="10">+L300+P300+R300+T300+V300</f>
        <v>4555560</v>
      </c>
      <c r="X300" s="1446"/>
      <c r="AI300" s="420">
        <f t="shared" ref="AI300:AI312" si="11">+P300*AI299</f>
        <v>0</v>
      </c>
      <c r="AJ300" s="389"/>
      <c r="AK300" s="389"/>
      <c r="AL300" s="389"/>
      <c r="AM300" s="421" t="s">
        <v>682</v>
      </c>
      <c r="AN300" s="422" t="s">
        <v>684</v>
      </c>
    </row>
    <row r="301" spans="2:40" ht="15.5" x14ac:dyDescent="0.35">
      <c r="B301" s="1434"/>
      <c r="C301" s="1435"/>
      <c r="D301" s="1435"/>
      <c r="E301" s="1436"/>
      <c r="F301" s="1435"/>
      <c r="G301" s="1437"/>
      <c r="H301" s="1438"/>
      <c r="I301" s="1438"/>
      <c r="J301" s="1436"/>
      <c r="K301" s="1435"/>
      <c r="L301" s="1439"/>
      <c r="M301" s="1435"/>
      <c r="N301" s="1437"/>
      <c r="O301" s="1438"/>
      <c r="P301" s="1440">
        <f t="shared" si="6"/>
        <v>0</v>
      </c>
      <c r="Q301" s="1395"/>
      <c r="R301" s="1441">
        <f t="shared" si="7"/>
        <v>0</v>
      </c>
      <c r="S301" s="1395"/>
      <c r="T301" s="1441">
        <f t="shared" si="8"/>
        <v>0</v>
      </c>
      <c r="U301" s="1441"/>
      <c r="V301" s="424">
        <f t="shared" si="9"/>
        <v>0</v>
      </c>
      <c r="W301" s="1440">
        <f t="shared" si="10"/>
        <v>0</v>
      </c>
      <c r="X301" s="1446"/>
      <c r="AI301" s="420">
        <f t="shared" si="11"/>
        <v>0</v>
      </c>
      <c r="AJ301" s="389"/>
      <c r="AK301" s="389"/>
      <c r="AL301" s="389"/>
      <c r="AM301" s="421" t="s">
        <v>685</v>
      </c>
      <c r="AN301" s="422" t="s">
        <v>683</v>
      </c>
    </row>
    <row r="302" spans="2:40" ht="15.5" x14ac:dyDescent="0.35">
      <c r="B302" s="1434"/>
      <c r="C302" s="1435"/>
      <c r="D302" s="1435"/>
      <c r="E302" s="1436"/>
      <c r="F302" s="1435"/>
      <c r="G302" s="1437"/>
      <c r="H302" s="1438"/>
      <c r="I302" s="1438"/>
      <c r="J302" s="1436"/>
      <c r="K302" s="1435"/>
      <c r="L302" s="1439"/>
      <c r="M302" s="1435"/>
      <c r="N302" s="1437"/>
      <c r="O302" s="1438"/>
      <c r="P302" s="1440">
        <f t="shared" si="6"/>
        <v>0</v>
      </c>
      <c r="Q302" s="1395"/>
      <c r="R302" s="1441">
        <f t="shared" si="7"/>
        <v>0</v>
      </c>
      <c r="S302" s="1395"/>
      <c r="T302" s="1441">
        <f t="shared" si="8"/>
        <v>0</v>
      </c>
      <c r="U302" s="1441"/>
      <c r="V302" s="424">
        <f t="shared" si="9"/>
        <v>0</v>
      </c>
      <c r="W302" s="1440">
        <f t="shared" si="10"/>
        <v>0</v>
      </c>
      <c r="X302" s="1446"/>
      <c r="AI302" s="420">
        <f t="shared" si="11"/>
        <v>0</v>
      </c>
      <c r="AJ302" s="389"/>
      <c r="AK302" s="389"/>
      <c r="AL302" s="389"/>
      <c r="AM302" s="421" t="s">
        <v>687</v>
      </c>
      <c r="AN302" s="422" t="s">
        <v>686</v>
      </c>
    </row>
    <row r="303" spans="2:40" ht="15.5" x14ac:dyDescent="0.35">
      <c r="B303" s="1434"/>
      <c r="C303" s="1435"/>
      <c r="D303" s="1435"/>
      <c r="E303" s="1436"/>
      <c r="F303" s="1435"/>
      <c r="G303" s="1437"/>
      <c r="H303" s="1438"/>
      <c r="I303" s="1438"/>
      <c r="J303" s="1436"/>
      <c r="K303" s="1435"/>
      <c r="L303" s="1439"/>
      <c r="M303" s="1435"/>
      <c r="N303" s="1437"/>
      <c r="O303" s="1438"/>
      <c r="P303" s="1440">
        <f t="shared" si="6"/>
        <v>0</v>
      </c>
      <c r="Q303" s="1395"/>
      <c r="R303" s="1441">
        <f t="shared" si="7"/>
        <v>0</v>
      </c>
      <c r="S303" s="1395"/>
      <c r="T303" s="1441">
        <f t="shared" si="8"/>
        <v>0</v>
      </c>
      <c r="U303" s="1441"/>
      <c r="V303" s="424">
        <f t="shared" si="9"/>
        <v>0</v>
      </c>
      <c r="W303" s="1440">
        <f t="shared" si="10"/>
        <v>0</v>
      </c>
      <c r="X303" s="1446"/>
      <c r="AI303" s="420">
        <f t="shared" si="11"/>
        <v>0</v>
      </c>
      <c r="AJ303" s="389"/>
      <c r="AK303" s="389"/>
      <c r="AL303" s="389"/>
      <c r="AM303" s="421"/>
      <c r="AN303" s="422" t="s">
        <v>671</v>
      </c>
    </row>
    <row r="304" spans="2:40" ht="15.5" x14ac:dyDescent="0.35">
      <c r="B304" s="1434"/>
      <c r="C304" s="1435"/>
      <c r="D304" s="1435"/>
      <c r="E304" s="1436"/>
      <c r="F304" s="1435"/>
      <c r="G304" s="1437"/>
      <c r="H304" s="1438"/>
      <c r="I304" s="1438"/>
      <c r="J304" s="1436"/>
      <c r="K304" s="1435"/>
      <c r="L304" s="1439"/>
      <c r="M304" s="1435"/>
      <c r="N304" s="1437"/>
      <c r="O304" s="1438"/>
      <c r="P304" s="1440">
        <f t="shared" si="6"/>
        <v>0</v>
      </c>
      <c r="Q304" s="1395"/>
      <c r="R304" s="1441">
        <f t="shared" si="7"/>
        <v>0</v>
      </c>
      <c r="S304" s="1395"/>
      <c r="T304" s="1441">
        <f t="shared" si="8"/>
        <v>0</v>
      </c>
      <c r="U304" s="1441"/>
      <c r="V304" s="424">
        <f t="shared" si="9"/>
        <v>0</v>
      </c>
      <c r="W304" s="1440">
        <f t="shared" si="10"/>
        <v>0</v>
      </c>
      <c r="X304" s="1446"/>
      <c r="AI304" s="420">
        <f t="shared" si="11"/>
        <v>0</v>
      </c>
      <c r="AJ304" s="389"/>
      <c r="AK304" s="389"/>
      <c r="AL304" s="389"/>
      <c r="AM304" s="389"/>
      <c r="AN304" s="389"/>
    </row>
    <row r="305" spans="2:40" ht="15.5" x14ac:dyDescent="0.35">
      <c r="B305" s="1434"/>
      <c r="C305" s="1435"/>
      <c r="D305" s="1435"/>
      <c r="E305" s="1436"/>
      <c r="F305" s="1435"/>
      <c r="G305" s="1437"/>
      <c r="H305" s="1438"/>
      <c r="I305" s="1438"/>
      <c r="J305" s="1436"/>
      <c r="K305" s="1435"/>
      <c r="L305" s="1439"/>
      <c r="M305" s="1435"/>
      <c r="N305" s="1437"/>
      <c r="O305" s="1438"/>
      <c r="P305" s="1440">
        <f t="shared" si="6"/>
        <v>0</v>
      </c>
      <c r="Q305" s="1395"/>
      <c r="R305" s="1441">
        <f t="shared" si="7"/>
        <v>0</v>
      </c>
      <c r="S305" s="1395"/>
      <c r="T305" s="1441">
        <f t="shared" si="8"/>
        <v>0</v>
      </c>
      <c r="U305" s="1441"/>
      <c r="V305" s="424">
        <f t="shared" si="9"/>
        <v>0</v>
      </c>
      <c r="W305" s="1440">
        <f t="shared" si="10"/>
        <v>0</v>
      </c>
      <c r="X305" s="1446"/>
      <c r="AI305" s="420">
        <f t="shared" si="11"/>
        <v>0</v>
      </c>
      <c r="AJ305" s="389"/>
      <c r="AK305" s="389"/>
      <c r="AL305" s="389"/>
      <c r="AM305" s="389"/>
      <c r="AN305" s="389"/>
    </row>
    <row r="306" spans="2:40" ht="15.5" x14ac:dyDescent="0.35">
      <c r="B306" s="1434"/>
      <c r="C306" s="1435"/>
      <c r="D306" s="1435"/>
      <c r="E306" s="1436"/>
      <c r="F306" s="1435"/>
      <c r="G306" s="1437"/>
      <c r="H306" s="1438"/>
      <c r="I306" s="1438"/>
      <c r="J306" s="1436"/>
      <c r="K306" s="1435"/>
      <c r="L306" s="1439"/>
      <c r="M306" s="1435"/>
      <c r="N306" s="1437"/>
      <c r="O306" s="1438"/>
      <c r="P306" s="1440">
        <f t="shared" si="6"/>
        <v>0</v>
      </c>
      <c r="Q306" s="1395"/>
      <c r="R306" s="1441">
        <f t="shared" si="7"/>
        <v>0</v>
      </c>
      <c r="S306" s="1395"/>
      <c r="T306" s="1441">
        <f t="shared" si="8"/>
        <v>0</v>
      </c>
      <c r="U306" s="1441"/>
      <c r="V306" s="424">
        <f t="shared" si="9"/>
        <v>0</v>
      </c>
      <c r="W306" s="1440">
        <f t="shared" si="10"/>
        <v>0</v>
      </c>
      <c r="X306" s="1446"/>
      <c r="AI306" s="420">
        <f t="shared" si="11"/>
        <v>0</v>
      </c>
      <c r="AJ306" s="389"/>
      <c r="AK306" s="389"/>
      <c r="AL306" s="389"/>
      <c r="AM306" s="389"/>
      <c r="AN306" s="389"/>
    </row>
    <row r="307" spans="2:40" ht="15.5" x14ac:dyDescent="0.35">
      <c r="B307" s="1434"/>
      <c r="C307" s="1435"/>
      <c r="D307" s="1435"/>
      <c r="E307" s="1436"/>
      <c r="F307" s="1435"/>
      <c r="G307" s="1437"/>
      <c r="H307" s="1438"/>
      <c r="I307" s="1438"/>
      <c r="J307" s="1436"/>
      <c r="K307" s="1435"/>
      <c r="L307" s="1439"/>
      <c r="M307" s="1435"/>
      <c r="N307" s="1437"/>
      <c r="O307" s="1438"/>
      <c r="P307" s="1440">
        <f t="shared" si="6"/>
        <v>0</v>
      </c>
      <c r="Q307" s="1395"/>
      <c r="R307" s="1441">
        <f t="shared" si="7"/>
        <v>0</v>
      </c>
      <c r="S307" s="1395"/>
      <c r="T307" s="1441">
        <f t="shared" si="8"/>
        <v>0</v>
      </c>
      <c r="U307" s="1441"/>
      <c r="V307" s="424">
        <f t="shared" si="9"/>
        <v>0</v>
      </c>
      <c r="W307" s="1440">
        <f t="shared" si="10"/>
        <v>0</v>
      </c>
      <c r="X307" s="1446"/>
      <c r="AI307" s="420">
        <f t="shared" si="11"/>
        <v>0</v>
      </c>
      <c r="AJ307" s="389"/>
      <c r="AK307" s="389"/>
      <c r="AL307" s="389"/>
      <c r="AM307" s="389"/>
      <c r="AN307" s="389"/>
    </row>
    <row r="308" spans="2:40" ht="15.5" x14ac:dyDescent="0.35">
      <c r="B308" s="1434"/>
      <c r="C308" s="1435"/>
      <c r="D308" s="1435"/>
      <c r="E308" s="1436"/>
      <c r="F308" s="1435"/>
      <c r="G308" s="1437"/>
      <c r="H308" s="1438"/>
      <c r="I308" s="1438"/>
      <c r="J308" s="1436"/>
      <c r="K308" s="1435"/>
      <c r="L308" s="1439"/>
      <c r="M308" s="1435"/>
      <c r="N308" s="1437"/>
      <c r="O308" s="1438"/>
      <c r="P308" s="1440">
        <f t="shared" si="6"/>
        <v>0</v>
      </c>
      <c r="Q308" s="1395"/>
      <c r="R308" s="1441">
        <f t="shared" si="7"/>
        <v>0</v>
      </c>
      <c r="S308" s="1395"/>
      <c r="T308" s="1441">
        <f t="shared" si="8"/>
        <v>0</v>
      </c>
      <c r="U308" s="1441"/>
      <c r="V308" s="424">
        <f t="shared" si="9"/>
        <v>0</v>
      </c>
      <c r="W308" s="1440">
        <f t="shared" si="10"/>
        <v>0</v>
      </c>
      <c r="X308" s="1446"/>
      <c r="AI308" s="420">
        <f t="shared" si="11"/>
        <v>0</v>
      </c>
      <c r="AJ308" s="389"/>
      <c r="AK308" s="389"/>
      <c r="AL308" s="389"/>
      <c r="AM308" s="389"/>
      <c r="AN308" s="389"/>
    </row>
    <row r="309" spans="2:40" ht="15.5" x14ac:dyDescent="0.35">
      <c r="B309" s="1434"/>
      <c r="C309" s="1435"/>
      <c r="D309" s="1435"/>
      <c r="E309" s="1436"/>
      <c r="F309" s="1435"/>
      <c r="G309" s="1437"/>
      <c r="H309" s="1438"/>
      <c r="I309" s="1438"/>
      <c r="J309" s="1436"/>
      <c r="K309" s="1435"/>
      <c r="L309" s="1439"/>
      <c r="M309" s="1435"/>
      <c r="N309" s="1437"/>
      <c r="O309" s="1438"/>
      <c r="P309" s="1440">
        <f t="shared" si="6"/>
        <v>0</v>
      </c>
      <c r="Q309" s="1395"/>
      <c r="R309" s="1441">
        <f t="shared" si="7"/>
        <v>0</v>
      </c>
      <c r="S309" s="1395"/>
      <c r="T309" s="1441">
        <f t="shared" si="8"/>
        <v>0</v>
      </c>
      <c r="U309" s="1441"/>
      <c r="V309" s="424">
        <f t="shared" si="9"/>
        <v>0</v>
      </c>
      <c r="W309" s="1440">
        <f t="shared" si="10"/>
        <v>0</v>
      </c>
      <c r="X309" s="1446"/>
      <c r="AI309" s="420">
        <f t="shared" si="11"/>
        <v>0</v>
      </c>
      <c r="AJ309" s="389"/>
      <c r="AK309" s="389"/>
      <c r="AL309" s="389"/>
      <c r="AM309" s="389"/>
      <c r="AN309" s="389"/>
    </row>
    <row r="310" spans="2:40" ht="15.5" x14ac:dyDescent="0.35">
      <c r="B310" s="1434"/>
      <c r="C310" s="1435"/>
      <c r="D310" s="1435"/>
      <c r="E310" s="1436"/>
      <c r="F310" s="1435"/>
      <c r="G310" s="1437"/>
      <c r="H310" s="1438"/>
      <c r="I310" s="1438"/>
      <c r="J310" s="1436"/>
      <c r="K310" s="1435"/>
      <c r="L310" s="1439"/>
      <c r="M310" s="1435"/>
      <c r="N310" s="1437"/>
      <c r="O310" s="1438"/>
      <c r="P310" s="1440">
        <f t="shared" si="6"/>
        <v>0</v>
      </c>
      <c r="Q310" s="1395"/>
      <c r="R310" s="1441">
        <f t="shared" si="7"/>
        <v>0</v>
      </c>
      <c r="S310" s="1395"/>
      <c r="T310" s="1441">
        <f t="shared" si="8"/>
        <v>0</v>
      </c>
      <c r="U310" s="1441"/>
      <c r="V310" s="424">
        <f t="shared" si="9"/>
        <v>0</v>
      </c>
      <c r="W310" s="1440">
        <f t="shared" si="10"/>
        <v>0</v>
      </c>
      <c r="X310" s="1446"/>
      <c r="AI310" s="420">
        <f t="shared" si="11"/>
        <v>0</v>
      </c>
      <c r="AJ310" s="389"/>
      <c r="AK310" s="389"/>
      <c r="AL310" s="389"/>
      <c r="AM310" s="389"/>
      <c r="AN310" s="389"/>
    </row>
    <row r="311" spans="2:40" ht="15.5" x14ac:dyDescent="0.35">
      <c r="B311" s="1434"/>
      <c r="C311" s="1435"/>
      <c r="D311" s="1435"/>
      <c r="E311" s="1436"/>
      <c r="F311" s="1435"/>
      <c r="G311" s="1437"/>
      <c r="H311" s="1438"/>
      <c r="I311" s="1438"/>
      <c r="J311" s="1436"/>
      <c r="K311" s="1435"/>
      <c r="L311" s="1439"/>
      <c r="M311" s="1435"/>
      <c r="N311" s="1437"/>
      <c r="O311" s="1438"/>
      <c r="P311" s="1440">
        <f t="shared" si="6"/>
        <v>0</v>
      </c>
      <c r="Q311" s="1395"/>
      <c r="R311" s="1441">
        <f t="shared" si="7"/>
        <v>0</v>
      </c>
      <c r="S311" s="1395"/>
      <c r="T311" s="1441">
        <f t="shared" si="8"/>
        <v>0</v>
      </c>
      <c r="U311" s="1441"/>
      <c r="V311" s="424">
        <f t="shared" si="9"/>
        <v>0</v>
      </c>
      <c r="W311" s="1440">
        <f t="shared" si="10"/>
        <v>0</v>
      </c>
      <c r="X311" s="1446"/>
      <c r="AI311" s="420">
        <f t="shared" si="11"/>
        <v>0</v>
      </c>
      <c r="AJ311" s="389"/>
      <c r="AK311" s="389"/>
      <c r="AL311" s="389"/>
      <c r="AM311" s="389"/>
      <c r="AN311" s="389"/>
    </row>
    <row r="312" spans="2:40" ht="16" thickBot="1" x14ac:dyDescent="0.4">
      <c r="B312" s="1447" t="s">
        <v>688</v>
      </c>
      <c r="C312" s="1427"/>
      <c r="D312" s="1427"/>
      <c r="E312" s="1448"/>
      <c r="F312" s="1427"/>
      <c r="G312" s="1448"/>
      <c r="H312" s="1427"/>
      <c r="I312" s="1427"/>
      <c r="J312" s="1448"/>
      <c r="K312" s="1427"/>
      <c r="L312" s="1449">
        <f>SUM(L299:M311)</f>
        <v>5083334</v>
      </c>
      <c r="M312" s="1427"/>
      <c r="N312" s="1448"/>
      <c r="O312" s="1427"/>
      <c r="P312" s="1449">
        <f>SUM(P299:Q311)</f>
        <v>972000</v>
      </c>
      <c r="Q312" s="1427"/>
      <c r="R312" s="1450">
        <f>SUM(R299:S311)</f>
        <v>3383650.8731999998</v>
      </c>
      <c r="S312" s="1427"/>
      <c r="T312" s="1449">
        <f>SUM(T299:T311)</f>
        <v>3258410.84088</v>
      </c>
      <c r="U312" s="1449"/>
      <c r="V312" s="425">
        <f>SUM(V299:V311)</f>
        <v>1395000.36</v>
      </c>
      <c r="W312" s="1449">
        <f>SUM(W299:W311)</f>
        <v>24509066.074079998</v>
      </c>
      <c r="X312" s="1458"/>
      <c r="AI312" s="420">
        <f t="shared" si="11"/>
        <v>0</v>
      </c>
      <c r="AJ312" s="389"/>
      <c r="AK312" s="389"/>
      <c r="AL312" s="389"/>
      <c r="AM312" s="389"/>
      <c r="AN312" s="389"/>
    </row>
    <row r="313" spans="2:40" ht="15" customHeight="1" x14ac:dyDescent="0.35">
      <c r="B313" s="388"/>
      <c r="C313" s="388"/>
      <c r="D313" s="388"/>
      <c r="E313" s="388"/>
      <c r="F313" s="388"/>
      <c r="G313" s="388"/>
      <c r="H313" s="388"/>
      <c r="I313" s="388"/>
      <c r="J313" s="388"/>
      <c r="K313" s="388"/>
      <c r="L313" s="388"/>
      <c r="M313" s="388"/>
      <c r="N313" s="388"/>
      <c r="O313" s="388"/>
      <c r="P313" s="388"/>
      <c r="Q313" s="388"/>
      <c r="R313" s="388"/>
      <c r="S313" s="388"/>
      <c r="T313" s="388"/>
      <c r="U313" s="388"/>
      <c r="V313" s="388"/>
      <c r="W313" s="388"/>
      <c r="X313" s="388"/>
      <c r="Y313" s="388"/>
      <c r="Z313" s="388"/>
      <c r="AA313" s="389"/>
      <c r="AB313" s="389"/>
      <c r="AC313" s="389"/>
      <c r="AD313" s="389"/>
      <c r="AE313" s="389"/>
    </row>
    <row r="314" spans="2:40" ht="18.5" x14ac:dyDescent="0.45">
      <c r="B314" s="1459" t="s">
        <v>689</v>
      </c>
      <c r="C314" s="1459"/>
      <c r="D314" s="1459"/>
      <c r="E314" s="1459"/>
      <c r="F314" s="1459"/>
      <c r="G314" s="1459"/>
      <c r="H314" s="1459"/>
      <c r="I314" s="1459"/>
      <c r="J314" s="1459"/>
      <c r="K314" s="1459"/>
      <c r="L314" s="1459"/>
      <c r="M314" s="1459"/>
      <c r="N314" s="1459"/>
      <c r="O314" s="1459"/>
      <c r="P314" s="1459"/>
      <c r="Q314" s="1459"/>
      <c r="R314" s="1459"/>
      <c r="S314" s="1459"/>
      <c r="T314" s="1459"/>
      <c r="U314" s="1459"/>
      <c r="V314" s="1459"/>
      <c r="W314" s="1459"/>
      <c r="X314" s="1459"/>
      <c r="Y314" s="388"/>
      <c r="Z314" s="388"/>
      <c r="AA314" s="389"/>
      <c r="AB314" s="389"/>
      <c r="AC314" s="389"/>
      <c r="AD314" s="389"/>
      <c r="AE314" s="389"/>
    </row>
    <row r="315" spans="2:40" ht="15" customHeight="1" x14ac:dyDescent="0.45">
      <c r="B315" s="426"/>
      <c r="C315" s="426"/>
      <c r="D315" s="426"/>
      <c r="E315" s="426"/>
      <c r="F315" s="426"/>
      <c r="G315" s="426"/>
      <c r="H315" s="426"/>
      <c r="I315" s="426"/>
      <c r="J315" s="426"/>
      <c r="K315" s="426"/>
      <c r="L315" s="426"/>
      <c r="M315" s="426"/>
      <c r="N315" s="426"/>
      <c r="O315" s="426"/>
      <c r="P315" s="426"/>
      <c r="Q315" s="426"/>
      <c r="R315" s="426"/>
      <c r="S315" s="426"/>
      <c r="T315" s="426"/>
      <c r="U315" s="426"/>
      <c r="V315" s="426"/>
      <c r="W315" s="426"/>
      <c r="X315" s="426"/>
      <c r="Y315" s="388"/>
      <c r="Z315" s="388"/>
      <c r="AA315" s="389"/>
      <c r="AB315" s="389"/>
      <c r="AC315" s="389"/>
      <c r="AD315" s="389"/>
      <c r="AE315" s="389"/>
    </row>
    <row r="316" spans="2:40" ht="18.5" x14ac:dyDescent="0.45">
      <c r="B316" s="1459" t="s">
        <v>690</v>
      </c>
      <c r="C316" s="1459"/>
      <c r="D316" s="1459"/>
      <c r="E316" s="1459"/>
      <c r="F316" s="1459"/>
      <c r="G316" s="1459"/>
      <c r="H316" s="1459"/>
      <c r="I316" s="1459"/>
      <c r="J316" s="1459"/>
      <c r="K316" s="1459"/>
      <c r="L316" s="1459"/>
      <c r="M316" s="1459"/>
      <c r="N316" s="1459"/>
      <c r="O316" s="1459"/>
      <c r="P316" s="1459"/>
      <c r="Q316" s="1459"/>
      <c r="R316" s="1459"/>
      <c r="S316" s="1459"/>
      <c r="T316" s="1459"/>
      <c r="U316" s="1459"/>
      <c r="V316" s="1459"/>
      <c r="W316" s="1459"/>
      <c r="X316" s="1459"/>
      <c r="Y316" s="388"/>
      <c r="Z316" s="388"/>
      <c r="AA316" s="389"/>
      <c r="AB316" s="389"/>
      <c r="AC316" s="389"/>
      <c r="AD316" s="389"/>
      <c r="AE316" s="389"/>
    </row>
    <row r="317" spans="2:40" ht="15" customHeight="1" x14ac:dyDescent="0.45">
      <c r="B317" s="426"/>
      <c r="C317" s="426"/>
      <c r="D317" s="426"/>
      <c r="E317" s="426"/>
      <c r="F317" s="426"/>
      <c r="G317" s="426"/>
      <c r="H317" s="426"/>
      <c r="I317" s="426"/>
      <c r="J317" s="426"/>
      <c r="K317" s="426"/>
      <c r="L317" s="426"/>
      <c r="M317" s="426"/>
      <c r="N317" s="426"/>
      <c r="O317" s="426"/>
      <c r="P317" s="426"/>
      <c r="Q317" s="426"/>
      <c r="R317" s="426"/>
      <c r="S317" s="426"/>
      <c r="T317" s="426"/>
      <c r="U317" s="426"/>
      <c r="V317" s="426"/>
      <c r="W317" s="426"/>
      <c r="X317" s="426"/>
      <c r="Y317" s="388"/>
      <c r="Z317" s="388"/>
      <c r="AA317" s="389"/>
      <c r="AB317" s="389"/>
      <c r="AC317" s="389"/>
      <c r="AD317" s="389"/>
      <c r="AE317" s="389"/>
    </row>
    <row r="318" spans="2:40" ht="18.5" x14ac:dyDescent="0.45">
      <c r="B318" s="1460" t="s">
        <v>691</v>
      </c>
      <c r="C318" s="1460"/>
      <c r="D318" s="1460"/>
      <c r="E318" s="1460"/>
      <c r="F318" s="1460"/>
      <c r="G318" s="1460"/>
      <c r="H318" s="1460"/>
      <c r="I318" s="1460"/>
      <c r="J318" s="1460"/>
      <c r="K318" s="1460"/>
      <c r="L318" s="1460"/>
      <c r="M318" s="1460"/>
      <c r="N318" s="1460"/>
      <c r="O318" s="1460"/>
      <c r="P318" s="1460"/>
      <c r="Q318" s="1460"/>
      <c r="R318" s="1460"/>
      <c r="S318" s="1460"/>
      <c r="T318" s="1460"/>
      <c r="U318" s="1460"/>
      <c r="V318" s="1460"/>
      <c r="W318" s="1460"/>
      <c r="X318" s="1460"/>
      <c r="Y318" s="388"/>
      <c r="Z318" s="388"/>
      <c r="AA318" s="389"/>
      <c r="AB318" s="389"/>
      <c r="AC318" s="389"/>
      <c r="AD318" s="389"/>
      <c r="AE318" s="389"/>
    </row>
    <row r="319" spans="2:40" ht="15" customHeight="1" thickBot="1" x14ac:dyDescent="0.4">
      <c r="B319" s="388"/>
      <c r="C319" s="388"/>
      <c r="D319" s="388"/>
      <c r="E319" s="388"/>
      <c r="F319" s="388"/>
      <c r="G319" s="388"/>
      <c r="H319" s="388"/>
      <c r="I319" s="388"/>
      <c r="J319" s="388"/>
      <c r="K319" s="388"/>
      <c r="L319" s="388"/>
      <c r="M319" s="388"/>
      <c r="N319" s="388"/>
      <c r="O319" s="388"/>
      <c r="P319" s="388"/>
      <c r="Q319" s="388"/>
      <c r="R319" s="388"/>
      <c r="S319" s="388"/>
      <c r="T319" s="388"/>
      <c r="U319" s="388"/>
      <c r="V319" s="388"/>
      <c r="W319" s="388"/>
      <c r="X319" s="388"/>
      <c r="Y319" s="388"/>
      <c r="Z319" s="388"/>
      <c r="AA319" s="389"/>
      <c r="AB319" s="389"/>
      <c r="AC319" s="389"/>
      <c r="AD319" s="389"/>
      <c r="AE319" s="389"/>
    </row>
    <row r="320" spans="2:40" ht="18" customHeight="1" x14ac:dyDescent="0.35">
      <c r="B320" s="388"/>
      <c r="C320" s="1461" t="s">
        <v>692</v>
      </c>
      <c r="D320" s="1462"/>
      <c r="E320" s="1462"/>
      <c r="F320" s="1462" t="s">
        <v>146</v>
      </c>
      <c r="G320" s="1462"/>
      <c r="H320" s="1462" t="s">
        <v>147</v>
      </c>
      <c r="I320" s="1462"/>
      <c r="J320" s="427" t="s">
        <v>148</v>
      </c>
      <c r="K320" s="428" t="s">
        <v>149</v>
      </c>
      <c r="L320" s="388"/>
      <c r="M320" s="388"/>
      <c r="N320" s="388"/>
      <c r="O320" s="388"/>
      <c r="P320" s="388"/>
      <c r="Q320" s="388"/>
      <c r="R320" s="388"/>
      <c r="S320" s="388"/>
      <c r="T320" s="388"/>
      <c r="U320" s="388"/>
      <c r="V320" s="388"/>
      <c r="W320" s="388"/>
      <c r="X320" s="388"/>
      <c r="Y320" s="388"/>
      <c r="Z320" s="388"/>
      <c r="AA320" s="389"/>
      <c r="AB320" s="389"/>
      <c r="AC320" s="389"/>
      <c r="AD320" s="389"/>
      <c r="AE320" s="389"/>
    </row>
    <row r="321" spans="2:31" ht="18" customHeight="1" thickBot="1" x14ac:dyDescent="0.4">
      <c r="B321" s="388"/>
      <c r="C321" s="1463"/>
      <c r="D321" s="1464"/>
      <c r="E321" s="1464"/>
      <c r="F321" s="1465">
        <f>'Estudio de Mercados'!C51</f>
        <v>4.7699999999999999E-2</v>
      </c>
      <c r="G321" s="1466"/>
      <c r="H321" s="1467">
        <f>'Estudio de Mercados'!D51</f>
        <v>3.6999999999999998E-2</v>
      </c>
      <c r="I321" s="1467"/>
      <c r="J321" s="484">
        <f>'Estudio de Mercados'!E51</f>
        <v>3.1E-2</v>
      </c>
      <c r="K321" s="485">
        <f>'Estudio de Mercados'!F51</f>
        <v>3.49E-2</v>
      </c>
      <c r="L321" s="388"/>
      <c r="M321" s="388"/>
      <c r="N321" s="388"/>
      <c r="O321" s="388"/>
      <c r="P321" s="388"/>
      <c r="Q321" s="388"/>
      <c r="R321" s="388"/>
      <c r="S321" s="388"/>
      <c r="T321" s="388"/>
      <c r="U321" s="388"/>
      <c r="V321" s="388"/>
      <c r="W321" s="388"/>
      <c r="X321" s="388"/>
      <c r="Y321" s="388"/>
      <c r="Z321" s="388"/>
      <c r="AA321" s="389"/>
      <c r="AB321" s="389"/>
      <c r="AC321" s="389"/>
      <c r="AD321" s="389"/>
      <c r="AE321" s="389"/>
    </row>
    <row r="322" spans="2:31" ht="15" customHeight="1" x14ac:dyDescent="0.35">
      <c r="B322" s="388"/>
      <c r="C322" s="388"/>
      <c r="D322" s="388"/>
      <c r="E322" s="388"/>
      <c r="F322" s="388"/>
      <c r="G322" s="388"/>
      <c r="H322" s="388"/>
      <c r="I322" s="388"/>
      <c r="J322" s="388"/>
      <c r="K322" s="388"/>
      <c r="L322" s="388"/>
      <c r="M322" s="388"/>
      <c r="N322" s="388"/>
      <c r="O322" s="388"/>
      <c r="P322" s="388"/>
      <c r="Q322" s="388"/>
      <c r="R322" s="388"/>
      <c r="S322" s="388"/>
      <c r="T322" s="388"/>
      <c r="U322" s="388"/>
      <c r="V322" s="388"/>
      <c r="W322" s="388"/>
      <c r="X322" s="388"/>
      <c r="Y322" s="388"/>
      <c r="Z322" s="388"/>
      <c r="AA322" s="389"/>
      <c r="AB322" s="389"/>
      <c r="AC322" s="389"/>
      <c r="AD322" s="389"/>
      <c r="AE322" s="389"/>
    </row>
    <row r="323" spans="2:31" ht="15" customHeight="1" thickBot="1" x14ac:dyDescent="0.4">
      <c r="B323" s="388"/>
      <c r="C323" s="388"/>
      <c r="D323" s="388"/>
      <c r="E323" s="388"/>
      <c r="F323" s="388"/>
      <c r="G323" s="388"/>
      <c r="H323" s="388"/>
      <c r="I323" s="388"/>
      <c r="J323" s="388"/>
      <c r="K323" s="388"/>
      <c r="L323" s="388"/>
      <c r="M323" s="388"/>
      <c r="N323" s="388"/>
      <c r="O323" s="388"/>
      <c r="P323" s="388"/>
      <c r="Q323" s="388"/>
      <c r="R323" s="388"/>
      <c r="S323" s="388"/>
      <c r="T323" s="388"/>
      <c r="U323" s="388"/>
      <c r="V323" s="388"/>
      <c r="W323" s="388"/>
      <c r="X323" s="388"/>
      <c r="Y323" s="388"/>
      <c r="Z323" s="388"/>
      <c r="AA323" s="389"/>
      <c r="AB323" s="389"/>
      <c r="AC323" s="389"/>
      <c r="AD323" s="389"/>
      <c r="AE323" s="389"/>
    </row>
    <row r="324" spans="2:31" ht="22.5" customHeight="1" thickBot="1" x14ac:dyDescent="0.4">
      <c r="B324" s="388"/>
      <c r="C324" s="388"/>
      <c r="D324" s="388"/>
      <c r="E324" s="388"/>
      <c r="F324" s="388"/>
      <c r="G324" s="388"/>
      <c r="H324" s="1320" t="s">
        <v>693</v>
      </c>
      <c r="I324" s="1321"/>
      <c r="J324" s="1321"/>
      <c r="K324" s="1321"/>
      <c r="L324" s="1321"/>
      <c r="M324" s="1321"/>
      <c r="N324" s="1322"/>
      <c r="O324" s="388"/>
      <c r="P324" s="388"/>
      <c r="Q324" s="388"/>
      <c r="R324" s="388"/>
      <c r="S324" s="388"/>
      <c r="T324" s="388"/>
      <c r="U324" s="388"/>
      <c r="V324" s="388"/>
      <c r="W324" s="388"/>
      <c r="X324" s="388"/>
      <c r="Y324" s="388"/>
      <c r="Z324" s="388"/>
      <c r="AA324" s="389"/>
      <c r="AB324" s="389"/>
      <c r="AC324" s="389"/>
      <c r="AD324" s="389"/>
      <c r="AE324" s="389"/>
    </row>
    <row r="325" spans="2:31" ht="36.75" customHeight="1" x14ac:dyDescent="0.35">
      <c r="B325" s="388"/>
      <c r="C325" s="1451" t="s">
        <v>673</v>
      </c>
      <c r="D325" s="1452"/>
      <c r="E325" s="429" t="s">
        <v>694</v>
      </c>
      <c r="F325" s="1452" t="s">
        <v>695</v>
      </c>
      <c r="G325" s="1452"/>
      <c r="H325" s="1452" t="s">
        <v>631</v>
      </c>
      <c r="I325" s="1452"/>
      <c r="J325" s="429" t="s">
        <v>632</v>
      </c>
      <c r="K325" s="429" t="s">
        <v>633</v>
      </c>
      <c r="L325" s="429" t="s">
        <v>634</v>
      </c>
      <c r="M325" s="1453" t="s">
        <v>635</v>
      </c>
      <c r="N325" s="1454"/>
      <c r="O325" s="388"/>
      <c r="P325" s="388"/>
      <c r="Q325" s="388"/>
      <c r="R325" s="388"/>
      <c r="S325" s="388"/>
      <c r="T325" s="388"/>
      <c r="U325" s="388"/>
      <c r="V325" s="388"/>
      <c r="W325" s="388"/>
      <c r="X325" s="388"/>
      <c r="Y325" s="388"/>
      <c r="Z325" s="388"/>
      <c r="AA325" s="389"/>
      <c r="AB325" s="389"/>
      <c r="AC325" s="389"/>
      <c r="AD325" s="389"/>
      <c r="AE325" s="389"/>
    </row>
    <row r="326" spans="2:31" ht="15.5" x14ac:dyDescent="0.35">
      <c r="B326" s="388"/>
      <c r="C326" s="1394" t="str">
        <f t="shared" ref="C326:C338" si="12">B299</f>
        <v>Agente de cobranza</v>
      </c>
      <c r="D326" s="1455"/>
      <c r="E326" s="423">
        <v>12</v>
      </c>
      <c r="F326" s="1440">
        <f t="shared" ref="F326:F338" si="13">W299</f>
        <v>19953506.074079998</v>
      </c>
      <c r="G326" s="1440"/>
      <c r="H326" s="1440">
        <f>+(F326*E326)</f>
        <v>239442072.88895997</v>
      </c>
      <c r="I326" s="1440"/>
      <c r="J326" s="430">
        <f>+(H326*$F$321)+H326</f>
        <v>250863459.76576337</v>
      </c>
      <c r="K326" s="430">
        <f t="shared" ref="K326:K338" si="14">+(J326*$H$321)+J326</f>
        <v>260145407.77709663</v>
      </c>
      <c r="L326" s="430">
        <f t="shared" ref="L326:L338" si="15">+(K326*$J$321)+K326</f>
        <v>268209915.41818663</v>
      </c>
      <c r="M326" s="1456">
        <f t="shared" ref="M326:M338" si="16">+(L326*$K$321)+L326</f>
        <v>277570441.46628135</v>
      </c>
      <c r="N326" s="1457"/>
      <c r="O326" s="388"/>
      <c r="P326" s="388"/>
      <c r="Q326" s="388"/>
      <c r="R326" s="388"/>
      <c r="S326" s="388"/>
      <c r="T326" s="388"/>
      <c r="U326" s="388"/>
      <c r="V326" s="388"/>
      <c r="W326" s="388"/>
      <c r="X326" s="388"/>
      <c r="Y326" s="388"/>
      <c r="Z326" s="388"/>
      <c r="AA326" s="389"/>
      <c r="AB326" s="389"/>
      <c r="AC326" s="389"/>
      <c r="AD326" s="389"/>
      <c r="AE326" s="389"/>
    </row>
    <row r="327" spans="2:31" ht="15.5" x14ac:dyDescent="0.35">
      <c r="B327" s="388"/>
      <c r="C327" s="1394" t="str">
        <f t="shared" si="12"/>
        <v>Lider de cobranza</v>
      </c>
      <c r="D327" s="1455"/>
      <c r="E327" s="423">
        <v>12</v>
      </c>
      <c r="F327" s="1440">
        <f t="shared" si="13"/>
        <v>4555560</v>
      </c>
      <c r="G327" s="1440"/>
      <c r="H327" s="1440">
        <f t="shared" ref="H327:H338" si="17">+(F327*E327)</f>
        <v>54666720</v>
      </c>
      <c r="I327" s="1440"/>
      <c r="J327" s="430">
        <f t="shared" ref="J327:J338" si="18">+(H327*$F$321)+H327</f>
        <v>57274322.544</v>
      </c>
      <c r="K327" s="430">
        <f t="shared" si="14"/>
        <v>59393472.478128001</v>
      </c>
      <c r="L327" s="430">
        <f t="shared" si="15"/>
        <v>61234670.124949969</v>
      </c>
      <c r="M327" s="1456">
        <f t="shared" si="16"/>
        <v>63371760.112310722</v>
      </c>
      <c r="N327" s="1457"/>
      <c r="O327" s="388"/>
      <c r="P327" s="388"/>
      <c r="Q327" s="388"/>
      <c r="R327" s="388"/>
      <c r="S327" s="388"/>
      <c r="T327" s="388"/>
      <c r="U327" s="388"/>
      <c r="V327" s="388"/>
      <c r="W327" s="388"/>
      <c r="X327" s="388"/>
      <c r="Y327" s="388"/>
      <c r="Z327" s="388"/>
      <c r="AA327" s="389"/>
      <c r="AB327" s="389"/>
      <c r="AC327" s="389"/>
      <c r="AD327" s="389"/>
      <c r="AE327" s="389"/>
    </row>
    <row r="328" spans="2:31" ht="15.5" x14ac:dyDescent="0.35">
      <c r="B328" s="388"/>
      <c r="C328" s="1394">
        <f t="shared" si="12"/>
        <v>0</v>
      </c>
      <c r="D328" s="1455"/>
      <c r="E328" s="423">
        <v>12</v>
      </c>
      <c r="F328" s="1440">
        <f t="shared" si="13"/>
        <v>0</v>
      </c>
      <c r="G328" s="1440"/>
      <c r="H328" s="1440">
        <f t="shared" si="17"/>
        <v>0</v>
      </c>
      <c r="I328" s="1440"/>
      <c r="J328" s="430">
        <f t="shared" si="18"/>
        <v>0</v>
      </c>
      <c r="K328" s="430">
        <f t="shared" si="14"/>
        <v>0</v>
      </c>
      <c r="L328" s="430">
        <f t="shared" si="15"/>
        <v>0</v>
      </c>
      <c r="M328" s="1456">
        <f t="shared" si="16"/>
        <v>0</v>
      </c>
      <c r="N328" s="1457"/>
      <c r="O328" s="388"/>
      <c r="P328" s="388"/>
      <c r="Q328" s="388"/>
      <c r="R328" s="388"/>
      <c r="S328" s="388"/>
      <c r="T328" s="388"/>
      <c r="U328" s="388"/>
      <c r="V328" s="388"/>
      <c r="W328" s="388"/>
      <c r="X328" s="388"/>
      <c r="Y328" s="388"/>
      <c r="Z328" s="388"/>
      <c r="AA328" s="389"/>
      <c r="AB328" s="389"/>
      <c r="AC328" s="389"/>
      <c r="AD328" s="389"/>
      <c r="AE328" s="389"/>
    </row>
    <row r="329" spans="2:31" ht="15.5" x14ac:dyDescent="0.35">
      <c r="B329" s="388"/>
      <c r="C329" s="1394">
        <f t="shared" si="12"/>
        <v>0</v>
      </c>
      <c r="D329" s="1455"/>
      <c r="E329" s="423">
        <v>12</v>
      </c>
      <c r="F329" s="1440">
        <f t="shared" si="13"/>
        <v>0</v>
      </c>
      <c r="G329" s="1440"/>
      <c r="H329" s="1440">
        <f t="shared" si="17"/>
        <v>0</v>
      </c>
      <c r="I329" s="1440"/>
      <c r="J329" s="430">
        <f t="shared" si="18"/>
        <v>0</v>
      </c>
      <c r="K329" s="430">
        <f t="shared" si="14"/>
        <v>0</v>
      </c>
      <c r="L329" s="430">
        <f t="shared" si="15"/>
        <v>0</v>
      </c>
      <c r="M329" s="1456">
        <f t="shared" si="16"/>
        <v>0</v>
      </c>
      <c r="N329" s="1457"/>
      <c r="O329" s="388"/>
      <c r="P329" s="388"/>
      <c r="Q329" s="388"/>
      <c r="R329" s="388"/>
      <c r="S329" s="388"/>
      <c r="T329" s="388"/>
      <c r="U329" s="388"/>
      <c r="V329" s="388"/>
      <c r="W329" s="388"/>
      <c r="X329" s="388"/>
      <c r="Y329" s="388"/>
      <c r="Z329" s="388"/>
      <c r="AA329" s="389"/>
      <c r="AB329" s="389"/>
      <c r="AC329" s="389"/>
      <c r="AD329" s="389"/>
      <c r="AE329" s="389"/>
    </row>
    <row r="330" spans="2:31" ht="15.5" x14ac:dyDescent="0.35">
      <c r="B330" s="388"/>
      <c r="C330" s="1394">
        <f t="shared" si="12"/>
        <v>0</v>
      </c>
      <c r="D330" s="1455"/>
      <c r="E330" s="423">
        <v>12</v>
      </c>
      <c r="F330" s="1440">
        <f t="shared" si="13"/>
        <v>0</v>
      </c>
      <c r="G330" s="1440"/>
      <c r="H330" s="1440">
        <f t="shared" si="17"/>
        <v>0</v>
      </c>
      <c r="I330" s="1440"/>
      <c r="J330" s="430">
        <f t="shared" si="18"/>
        <v>0</v>
      </c>
      <c r="K330" s="430">
        <f t="shared" si="14"/>
        <v>0</v>
      </c>
      <c r="L330" s="430">
        <f t="shared" si="15"/>
        <v>0</v>
      </c>
      <c r="M330" s="1456">
        <f t="shared" si="16"/>
        <v>0</v>
      </c>
      <c r="N330" s="1457"/>
      <c r="O330" s="388"/>
      <c r="P330" s="388"/>
      <c r="Q330" s="388"/>
      <c r="R330" s="388"/>
      <c r="S330" s="388"/>
      <c r="T330" s="388"/>
      <c r="U330" s="388"/>
      <c r="V330" s="388"/>
      <c r="W330" s="388"/>
      <c r="X330" s="388"/>
      <c r="Y330" s="388"/>
      <c r="Z330" s="388"/>
      <c r="AA330" s="389"/>
      <c r="AB330" s="389"/>
      <c r="AC330" s="389"/>
      <c r="AD330" s="389"/>
      <c r="AE330" s="389"/>
    </row>
    <row r="331" spans="2:31" ht="15.5" x14ac:dyDescent="0.35">
      <c r="B331" s="388"/>
      <c r="C331" s="1394">
        <f t="shared" si="12"/>
        <v>0</v>
      </c>
      <c r="D331" s="1455"/>
      <c r="E331" s="423">
        <v>12</v>
      </c>
      <c r="F331" s="1440">
        <f t="shared" si="13"/>
        <v>0</v>
      </c>
      <c r="G331" s="1440"/>
      <c r="H331" s="1440">
        <f t="shared" si="17"/>
        <v>0</v>
      </c>
      <c r="I331" s="1440"/>
      <c r="J331" s="430">
        <f t="shared" si="18"/>
        <v>0</v>
      </c>
      <c r="K331" s="430">
        <f t="shared" si="14"/>
        <v>0</v>
      </c>
      <c r="L331" s="430">
        <f t="shared" si="15"/>
        <v>0</v>
      </c>
      <c r="M331" s="1456">
        <f t="shared" si="16"/>
        <v>0</v>
      </c>
      <c r="N331" s="1457"/>
      <c r="O331" s="388"/>
      <c r="P331" s="388"/>
      <c r="Q331" s="388"/>
      <c r="R331" s="388"/>
      <c r="S331" s="388"/>
      <c r="T331" s="388"/>
      <c r="U331" s="388"/>
      <c r="V331" s="388"/>
      <c r="W331" s="388"/>
      <c r="X331" s="388"/>
      <c r="Y331" s="388"/>
      <c r="Z331" s="388"/>
      <c r="AA331" s="389"/>
      <c r="AB331" s="389"/>
      <c r="AC331" s="389"/>
      <c r="AD331" s="389"/>
      <c r="AE331" s="389"/>
    </row>
    <row r="332" spans="2:31" ht="15.5" x14ac:dyDescent="0.35">
      <c r="B332" s="388"/>
      <c r="C332" s="1394">
        <f t="shared" si="12"/>
        <v>0</v>
      </c>
      <c r="D332" s="1455"/>
      <c r="E332" s="423">
        <v>12</v>
      </c>
      <c r="F332" s="1440">
        <f t="shared" si="13"/>
        <v>0</v>
      </c>
      <c r="G332" s="1440"/>
      <c r="H332" s="1440">
        <f t="shared" si="17"/>
        <v>0</v>
      </c>
      <c r="I332" s="1440"/>
      <c r="J332" s="430">
        <f t="shared" si="18"/>
        <v>0</v>
      </c>
      <c r="K332" s="430">
        <f t="shared" si="14"/>
        <v>0</v>
      </c>
      <c r="L332" s="430">
        <f t="shared" si="15"/>
        <v>0</v>
      </c>
      <c r="M332" s="1456">
        <f t="shared" si="16"/>
        <v>0</v>
      </c>
      <c r="N332" s="1457"/>
      <c r="O332" s="388"/>
      <c r="P332" s="388"/>
      <c r="Q332" s="388"/>
      <c r="R332" s="388"/>
      <c r="S332" s="388"/>
      <c r="T332" s="388"/>
      <c r="U332" s="388"/>
      <c r="V332" s="388"/>
      <c r="W332" s="388"/>
      <c r="X332" s="388"/>
      <c r="Y332" s="388"/>
      <c r="Z332" s="388"/>
      <c r="AA332" s="389"/>
      <c r="AB332" s="389"/>
      <c r="AC332" s="389"/>
      <c r="AD332" s="389"/>
      <c r="AE332" s="389"/>
    </row>
    <row r="333" spans="2:31" ht="15.5" x14ac:dyDescent="0.35">
      <c r="B333" s="388"/>
      <c r="C333" s="1394">
        <f t="shared" si="12"/>
        <v>0</v>
      </c>
      <c r="D333" s="1455"/>
      <c r="E333" s="423">
        <v>12</v>
      </c>
      <c r="F333" s="1440">
        <f t="shared" si="13"/>
        <v>0</v>
      </c>
      <c r="G333" s="1440"/>
      <c r="H333" s="1440">
        <f t="shared" si="17"/>
        <v>0</v>
      </c>
      <c r="I333" s="1440"/>
      <c r="J333" s="430">
        <f t="shared" si="18"/>
        <v>0</v>
      </c>
      <c r="K333" s="430">
        <f t="shared" si="14"/>
        <v>0</v>
      </c>
      <c r="L333" s="430">
        <f t="shared" si="15"/>
        <v>0</v>
      </c>
      <c r="M333" s="1456">
        <f t="shared" si="16"/>
        <v>0</v>
      </c>
      <c r="N333" s="1457"/>
      <c r="O333" s="388"/>
      <c r="P333" s="388"/>
      <c r="Q333" s="388"/>
      <c r="R333" s="388"/>
      <c r="S333" s="388"/>
      <c r="T333" s="388"/>
      <c r="U333" s="388"/>
      <c r="V333" s="388"/>
      <c r="W333" s="388"/>
      <c r="X333" s="388"/>
      <c r="Y333" s="388"/>
      <c r="Z333" s="388"/>
      <c r="AA333" s="389"/>
      <c r="AB333" s="389"/>
      <c r="AC333" s="389"/>
      <c r="AD333" s="389"/>
      <c r="AE333" s="389"/>
    </row>
    <row r="334" spans="2:31" ht="15.5" x14ac:dyDescent="0.35">
      <c r="B334" s="388"/>
      <c r="C334" s="1394">
        <f t="shared" si="12"/>
        <v>0</v>
      </c>
      <c r="D334" s="1455"/>
      <c r="E334" s="423">
        <v>12</v>
      </c>
      <c r="F334" s="1440">
        <f t="shared" si="13"/>
        <v>0</v>
      </c>
      <c r="G334" s="1440"/>
      <c r="H334" s="1440">
        <f t="shared" si="17"/>
        <v>0</v>
      </c>
      <c r="I334" s="1440"/>
      <c r="J334" s="430">
        <f t="shared" si="18"/>
        <v>0</v>
      </c>
      <c r="K334" s="430">
        <f t="shared" si="14"/>
        <v>0</v>
      </c>
      <c r="L334" s="430">
        <f t="shared" si="15"/>
        <v>0</v>
      </c>
      <c r="M334" s="1456">
        <f t="shared" si="16"/>
        <v>0</v>
      </c>
      <c r="N334" s="1457"/>
      <c r="O334" s="388"/>
      <c r="P334" s="388"/>
      <c r="Q334" s="388"/>
      <c r="R334" s="388"/>
      <c r="S334" s="388"/>
      <c r="T334" s="388"/>
      <c r="U334" s="388"/>
      <c r="V334" s="388"/>
      <c r="W334" s="388"/>
      <c r="X334" s="388"/>
      <c r="Y334" s="388"/>
      <c r="Z334" s="388"/>
      <c r="AA334" s="389"/>
      <c r="AB334" s="389"/>
      <c r="AC334" s="389"/>
      <c r="AD334" s="389"/>
      <c r="AE334" s="389"/>
    </row>
    <row r="335" spans="2:31" ht="15.5" x14ac:dyDescent="0.35">
      <c r="B335" s="388"/>
      <c r="C335" s="1394">
        <f t="shared" si="12"/>
        <v>0</v>
      </c>
      <c r="D335" s="1455"/>
      <c r="E335" s="423">
        <v>12</v>
      </c>
      <c r="F335" s="1440">
        <f t="shared" si="13"/>
        <v>0</v>
      </c>
      <c r="G335" s="1440"/>
      <c r="H335" s="1440">
        <f t="shared" si="17"/>
        <v>0</v>
      </c>
      <c r="I335" s="1440"/>
      <c r="J335" s="430">
        <f t="shared" si="18"/>
        <v>0</v>
      </c>
      <c r="K335" s="430">
        <f t="shared" si="14"/>
        <v>0</v>
      </c>
      <c r="L335" s="430">
        <f t="shared" si="15"/>
        <v>0</v>
      </c>
      <c r="M335" s="1456">
        <f t="shared" si="16"/>
        <v>0</v>
      </c>
      <c r="N335" s="1457"/>
      <c r="O335" s="388"/>
      <c r="P335" s="388"/>
      <c r="Q335" s="388"/>
      <c r="R335" s="388"/>
      <c r="S335" s="388"/>
      <c r="T335" s="388"/>
      <c r="U335" s="388"/>
      <c r="V335" s="388"/>
      <c r="W335" s="388"/>
      <c r="X335" s="388"/>
      <c r="Y335" s="388"/>
      <c r="Z335" s="388"/>
      <c r="AA335" s="389"/>
      <c r="AB335" s="389"/>
      <c r="AC335" s="389"/>
      <c r="AD335" s="389"/>
      <c r="AE335" s="389"/>
    </row>
    <row r="336" spans="2:31" ht="15.5" x14ac:dyDescent="0.35">
      <c r="B336" s="388"/>
      <c r="C336" s="1394">
        <f t="shared" si="12"/>
        <v>0</v>
      </c>
      <c r="D336" s="1455"/>
      <c r="E336" s="423">
        <v>12</v>
      </c>
      <c r="F336" s="1440">
        <f t="shared" si="13"/>
        <v>0</v>
      </c>
      <c r="G336" s="1440"/>
      <c r="H336" s="1440">
        <f t="shared" si="17"/>
        <v>0</v>
      </c>
      <c r="I336" s="1440"/>
      <c r="J336" s="430">
        <f t="shared" si="18"/>
        <v>0</v>
      </c>
      <c r="K336" s="430">
        <f t="shared" si="14"/>
        <v>0</v>
      </c>
      <c r="L336" s="430">
        <f t="shared" si="15"/>
        <v>0</v>
      </c>
      <c r="M336" s="1456">
        <f t="shared" si="16"/>
        <v>0</v>
      </c>
      <c r="N336" s="1457"/>
      <c r="O336" s="388"/>
      <c r="P336" s="388"/>
      <c r="Q336" s="388"/>
      <c r="R336" s="388"/>
      <c r="S336" s="388"/>
      <c r="T336" s="388"/>
      <c r="U336" s="388"/>
      <c r="V336" s="388"/>
      <c r="W336" s="388"/>
      <c r="X336" s="388"/>
      <c r="Y336" s="388"/>
      <c r="Z336" s="388"/>
      <c r="AA336" s="389"/>
      <c r="AB336" s="389"/>
      <c r="AC336" s="389"/>
      <c r="AD336" s="389"/>
      <c r="AE336" s="389"/>
    </row>
    <row r="337" spans="2:31" ht="15.5" x14ac:dyDescent="0.35">
      <c r="B337" s="388"/>
      <c r="C337" s="1394">
        <f t="shared" si="12"/>
        <v>0</v>
      </c>
      <c r="D337" s="1455"/>
      <c r="E337" s="423">
        <v>12</v>
      </c>
      <c r="F337" s="1440">
        <f t="shared" si="13"/>
        <v>0</v>
      </c>
      <c r="G337" s="1440"/>
      <c r="H337" s="1440">
        <f t="shared" si="17"/>
        <v>0</v>
      </c>
      <c r="I337" s="1440"/>
      <c r="J337" s="430">
        <f t="shared" si="18"/>
        <v>0</v>
      </c>
      <c r="K337" s="430">
        <f t="shared" si="14"/>
        <v>0</v>
      </c>
      <c r="L337" s="430">
        <f t="shared" si="15"/>
        <v>0</v>
      </c>
      <c r="M337" s="1456">
        <f t="shared" si="16"/>
        <v>0</v>
      </c>
      <c r="N337" s="1457"/>
      <c r="O337" s="388"/>
      <c r="P337" s="388"/>
      <c r="Q337" s="388"/>
      <c r="R337" s="388"/>
      <c r="S337" s="388"/>
      <c r="T337" s="388"/>
      <c r="U337" s="388"/>
      <c r="V337" s="388"/>
      <c r="W337" s="388"/>
      <c r="X337" s="388"/>
      <c r="Y337" s="388"/>
      <c r="Z337" s="388"/>
      <c r="AA337" s="389"/>
      <c r="AB337" s="389"/>
      <c r="AC337" s="389"/>
      <c r="AD337" s="389"/>
      <c r="AE337" s="389"/>
    </row>
    <row r="338" spans="2:31" ht="15.5" x14ac:dyDescent="0.35">
      <c r="B338" s="388"/>
      <c r="C338" s="1394">
        <f t="shared" si="12"/>
        <v>0</v>
      </c>
      <c r="D338" s="1455"/>
      <c r="E338" s="423">
        <v>12</v>
      </c>
      <c r="F338" s="1440">
        <f t="shared" si="13"/>
        <v>0</v>
      </c>
      <c r="G338" s="1440"/>
      <c r="H338" s="1440">
        <f t="shared" si="17"/>
        <v>0</v>
      </c>
      <c r="I338" s="1440"/>
      <c r="J338" s="430">
        <f t="shared" si="18"/>
        <v>0</v>
      </c>
      <c r="K338" s="430">
        <f t="shared" si="14"/>
        <v>0</v>
      </c>
      <c r="L338" s="430">
        <f t="shared" si="15"/>
        <v>0</v>
      </c>
      <c r="M338" s="1456">
        <f t="shared" si="16"/>
        <v>0</v>
      </c>
      <c r="N338" s="1457"/>
      <c r="O338" s="388"/>
      <c r="P338" s="388"/>
      <c r="Q338" s="388"/>
      <c r="R338" s="388"/>
      <c r="S338" s="388"/>
      <c r="T338" s="388"/>
      <c r="U338" s="388"/>
      <c r="V338" s="388"/>
      <c r="W338" s="388"/>
      <c r="X338" s="388"/>
      <c r="Y338" s="388"/>
      <c r="Z338" s="388"/>
      <c r="AA338" s="389"/>
      <c r="AB338" s="389"/>
      <c r="AC338" s="389"/>
      <c r="AD338" s="389"/>
      <c r="AE338" s="389"/>
    </row>
    <row r="339" spans="2:31" ht="18.75" customHeight="1" thickBot="1" x14ac:dyDescent="0.4">
      <c r="B339" s="388"/>
      <c r="C339" s="1447" t="s">
        <v>688</v>
      </c>
      <c r="D339" s="1448"/>
      <c r="E339" s="431"/>
      <c r="F339" s="1449">
        <f>SUM(F326:G338)</f>
        <v>24509066.074079998</v>
      </c>
      <c r="G339" s="1449"/>
      <c r="H339" s="1449">
        <f>SUM(H326:I338)</f>
        <v>294108792.88896</v>
      </c>
      <c r="I339" s="1449"/>
      <c r="J339" s="425">
        <f>SUM(J326:J338)</f>
        <v>308137782.30976337</v>
      </c>
      <c r="K339" s="425">
        <f>SUM(K326:K338)</f>
        <v>319538880.25522465</v>
      </c>
      <c r="L339" s="425">
        <f>SUM(L326:L338)</f>
        <v>329444585.5431366</v>
      </c>
      <c r="M339" s="1482">
        <f>SUM(M326:N338)</f>
        <v>340942201.57859206</v>
      </c>
      <c r="N339" s="1483"/>
      <c r="O339" s="388"/>
      <c r="P339" s="388"/>
      <c r="Q339" s="388"/>
      <c r="R339" s="388"/>
      <c r="S339" s="388"/>
      <c r="T339" s="388"/>
      <c r="U339" s="388"/>
      <c r="V339" s="388"/>
      <c r="W339" s="388"/>
      <c r="X339" s="388"/>
      <c r="Y339" s="388"/>
      <c r="Z339" s="388"/>
      <c r="AA339" s="389"/>
      <c r="AB339" s="389"/>
      <c r="AC339" s="389"/>
      <c r="AD339" s="389"/>
      <c r="AE339" s="389"/>
    </row>
    <row r="340" spans="2:31" ht="15" customHeight="1" x14ac:dyDescent="0.35">
      <c r="B340" s="388"/>
      <c r="C340" s="388"/>
      <c r="D340" s="388"/>
      <c r="E340" s="388"/>
      <c r="F340" s="388"/>
      <c r="G340" s="388"/>
      <c r="H340" s="388"/>
      <c r="I340" s="388"/>
      <c r="J340" s="388"/>
      <c r="K340" s="388"/>
      <c r="L340" s="388"/>
      <c r="M340" s="388"/>
      <c r="N340" s="388"/>
      <c r="O340" s="388"/>
      <c r="P340" s="388"/>
      <c r="Q340" s="388"/>
      <c r="R340" s="388"/>
      <c r="S340" s="388"/>
      <c r="T340" s="388"/>
      <c r="U340" s="388"/>
      <c r="V340" s="388"/>
      <c r="W340" s="388"/>
      <c r="X340" s="388"/>
      <c r="Y340" s="388"/>
      <c r="Z340" s="388"/>
      <c r="AA340" s="389"/>
      <c r="AB340" s="389"/>
      <c r="AC340" s="389"/>
      <c r="AD340" s="389"/>
      <c r="AE340" s="389"/>
    </row>
    <row r="341" spans="2:31" ht="15" customHeight="1" x14ac:dyDescent="0.35">
      <c r="B341" s="388"/>
      <c r="C341" s="388"/>
      <c r="D341" s="388"/>
      <c r="E341" s="388"/>
      <c r="F341" s="388"/>
      <c r="G341" s="388"/>
      <c r="H341" s="388"/>
      <c r="I341" s="388"/>
      <c r="J341" s="388"/>
      <c r="K341" s="388"/>
      <c r="L341" s="388"/>
      <c r="M341" s="388"/>
      <c r="N341" s="388"/>
      <c r="O341" s="388"/>
      <c r="P341" s="388"/>
      <c r="Q341" s="388"/>
      <c r="R341" s="388"/>
      <c r="S341" s="388"/>
      <c r="T341" s="388"/>
      <c r="U341" s="388"/>
      <c r="V341" s="388"/>
      <c r="W341" s="388"/>
      <c r="X341" s="388"/>
      <c r="Y341" s="388"/>
      <c r="Z341" s="388"/>
      <c r="AA341" s="389"/>
      <c r="AB341" s="389"/>
      <c r="AC341" s="389"/>
      <c r="AD341" s="389"/>
      <c r="AE341" s="389"/>
    </row>
    <row r="342" spans="2:31" ht="24" customHeight="1" x14ac:dyDescent="0.35">
      <c r="B342" s="1067" t="s">
        <v>696</v>
      </c>
      <c r="C342" s="1067"/>
      <c r="D342" s="1067"/>
      <c r="E342" s="1067"/>
      <c r="F342" s="1067"/>
      <c r="G342" s="1067"/>
      <c r="H342" s="1067"/>
      <c r="I342" s="1067"/>
      <c r="J342" s="1067"/>
      <c r="K342" s="1067"/>
      <c r="L342" s="1067"/>
      <c r="M342" s="1067"/>
      <c r="N342" s="1067"/>
      <c r="O342" s="1067"/>
      <c r="P342" s="1067"/>
      <c r="Q342" s="1067"/>
      <c r="R342" s="1067"/>
      <c r="S342" s="1067"/>
      <c r="T342" s="1067"/>
      <c r="U342" s="1067"/>
      <c r="V342" s="1067"/>
      <c r="W342" s="1067"/>
      <c r="X342" s="1067"/>
      <c r="Y342" s="392"/>
      <c r="Z342" s="392"/>
      <c r="AA342" s="393"/>
      <c r="AB342" s="393"/>
      <c r="AC342" s="393"/>
      <c r="AD342" s="393"/>
      <c r="AE342" s="393"/>
    </row>
    <row r="343" spans="2:31" ht="15" customHeight="1" x14ac:dyDescent="0.35">
      <c r="B343" s="388"/>
      <c r="C343" s="388"/>
      <c r="D343" s="388"/>
      <c r="E343" s="388"/>
      <c r="F343" s="388"/>
      <c r="G343" s="388"/>
      <c r="H343" s="388"/>
      <c r="I343" s="388"/>
      <c r="J343" s="388"/>
      <c r="K343" s="388"/>
      <c r="L343" s="388"/>
      <c r="M343" s="388"/>
      <c r="N343" s="388"/>
      <c r="O343" s="388"/>
      <c r="P343" s="388"/>
      <c r="Q343" s="388"/>
      <c r="R343" s="388"/>
      <c r="S343" s="388"/>
      <c r="T343" s="388"/>
      <c r="U343" s="388"/>
      <c r="V343" s="388"/>
      <c r="W343" s="388"/>
      <c r="X343" s="388"/>
      <c r="Y343" s="388"/>
      <c r="Z343" s="388"/>
      <c r="AA343" s="389"/>
      <c r="AB343" s="389"/>
      <c r="AC343" s="389"/>
      <c r="AD343" s="389"/>
      <c r="AE343" s="389"/>
    </row>
    <row r="344" spans="2:31" ht="22.5" customHeight="1" x14ac:dyDescent="0.35">
      <c r="B344" s="1484" t="s">
        <v>697</v>
      </c>
      <c r="C344" s="1484"/>
      <c r="D344" s="1484"/>
      <c r="E344" s="1484"/>
      <c r="F344" s="1484"/>
      <c r="G344" s="1484"/>
      <c r="H344" s="1484"/>
      <c r="I344" s="1484"/>
      <c r="J344" s="1484"/>
      <c r="K344" s="1484"/>
      <c r="L344" s="1484"/>
      <c r="M344" s="1484"/>
      <c r="N344" s="1484"/>
      <c r="O344" s="1484"/>
      <c r="P344" s="1484"/>
      <c r="Q344" s="1484"/>
      <c r="R344" s="1484"/>
      <c r="S344" s="1484"/>
      <c r="T344" s="1484"/>
      <c r="U344" s="1484"/>
      <c r="V344" s="1484"/>
      <c r="W344" s="1484"/>
      <c r="X344" s="1484"/>
      <c r="Y344" s="432"/>
      <c r="Z344" s="432"/>
      <c r="AA344" s="433"/>
      <c r="AB344" s="433"/>
      <c r="AC344" s="433"/>
      <c r="AD344" s="433"/>
      <c r="AE344" s="433"/>
    </row>
    <row r="345" spans="2:31" ht="15" customHeight="1" x14ac:dyDescent="0.35">
      <c r="B345" s="388"/>
      <c r="C345" s="388"/>
      <c r="D345" s="388"/>
      <c r="E345" s="388"/>
      <c r="F345" s="388"/>
      <c r="G345" s="388"/>
      <c r="H345" s="388"/>
      <c r="I345" s="388"/>
      <c r="J345" s="388"/>
      <c r="K345" s="388"/>
      <c r="L345" s="388"/>
      <c r="M345" s="388"/>
      <c r="N345" s="388"/>
      <c r="O345" s="388"/>
      <c r="P345" s="388"/>
      <c r="Q345" s="388"/>
      <c r="R345" s="388"/>
      <c r="S345" s="388"/>
      <c r="T345" s="388"/>
      <c r="U345" s="388"/>
      <c r="V345" s="388"/>
      <c r="W345" s="388"/>
      <c r="X345" s="388"/>
      <c r="Y345" s="388"/>
      <c r="Z345" s="388"/>
      <c r="AA345" s="389"/>
      <c r="AB345" s="389"/>
      <c r="AC345" s="389"/>
      <c r="AD345" s="389"/>
      <c r="AE345" s="389"/>
    </row>
    <row r="346" spans="2:31" ht="15" customHeight="1" thickBot="1" x14ac:dyDescent="0.4">
      <c r="B346" s="388"/>
      <c r="C346" s="388"/>
      <c r="D346" s="388"/>
      <c r="E346" s="388"/>
      <c r="F346" s="388"/>
      <c r="G346" s="388"/>
      <c r="H346" s="388"/>
      <c r="I346" s="388"/>
      <c r="J346" s="388"/>
      <c r="K346" s="388"/>
      <c r="L346" s="388"/>
      <c r="M346" s="388"/>
      <c r="N346" s="388"/>
      <c r="O346" s="388"/>
      <c r="P346" s="388"/>
      <c r="Q346" s="388"/>
      <c r="R346" s="388"/>
      <c r="S346" s="388"/>
      <c r="T346" s="388"/>
      <c r="U346" s="388"/>
      <c r="V346" s="388"/>
      <c r="W346" s="388"/>
      <c r="X346" s="388"/>
      <c r="Y346" s="388"/>
      <c r="Z346" s="388"/>
      <c r="AA346" s="389"/>
      <c r="AB346" s="389"/>
      <c r="AC346" s="389"/>
      <c r="AD346" s="389"/>
      <c r="AE346" s="389"/>
    </row>
    <row r="347" spans="2:31" ht="33.75" customHeight="1" thickBot="1" x14ac:dyDescent="0.4">
      <c r="B347" s="434"/>
      <c r="C347" s="1474" t="s">
        <v>698</v>
      </c>
      <c r="D347" s="1475"/>
      <c r="E347" s="1476"/>
      <c r="F347" s="1477"/>
      <c r="G347" s="388"/>
      <c r="H347" s="388"/>
      <c r="I347" s="1478" t="s">
        <v>673</v>
      </c>
      <c r="J347" s="1469"/>
      <c r="K347" s="1469"/>
      <c r="L347" s="435" t="s">
        <v>616</v>
      </c>
      <c r="M347" s="1479" t="s">
        <v>674</v>
      </c>
      <c r="N347" s="1480"/>
      <c r="O347" s="1481"/>
      <c r="P347" s="1469" t="s">
        <v>675</v>
      </c>
      <c r="Q347" s="1469"/>
      <c r="R347" s="1469" t="s">
        <v>676</v>
      </c>
      <c r="S347" s="1469"/>
      <c r="T347" s="1469"/>
      <c r="U347" s="1468" t="s">
        <v>699</v>
      </c>
      <c r="V347" s="1468"/>
      <c r="W347" s="1469" t="s">
        <v>681</v>
      </c>
      <c r="X347" s="1470"/>
      <c r="Y347" s="388"/>
      <c r="Z347" s="388"/>
      <c r="AA347" s="389"/>
      <c r="AB347" s="389"/>
      <c r="AC347" s="389"/>
      <c r="AD347" s="389"/>
      <c r="AE347" s="389"/>
    </row>
    <row r="348" spans="2:31" ht="15.75" customHeight="1" thickBot="1" x14ac:dyDescent="0.4">
      <c r="B348" s="434"/>
      <c r="C348" s="388"/>
      <c r="D348" s="388"/>
      <c r="E348" s="388"/>
      <c r="F348" s="388"/>
      <c r="G348" s="388"/>
      <c r="H348" s="388"/>
      <c r="I348" s="1471"/>
      <c r="J348" s="1472"/>
      <c r="K348" s="1472"/>
      <c r="L348" s="436"/>
      <c r="M348" s="1472"/>
      <c r="N348" s="1472"/>
      <c r="O348" s="1472"/>
      <c r="P348" s="1472"/>
      <c r="Q348" s="1472"/>
      <c r="R348" s="1445"/>
      <c r="S348" s="1445"/>
      <c r="T348" s="1445"/>
      <c r="U348" s="1445">
        <f t="shared" ref="U348:U360" si="19">+(R348*$F$361)</f>
        <v>0</v>
      </c>
      <c r="V348" s="1445"/>
      <c r="W348" s="1445">
        <f t="shared" ref="W348:W360" si="20">+(R348+U348)*L348</f>
        <v>0</v>
      </c>
      <c r="X348" s="1473"/>
      <c r="Y348" s="388"/>
      <c r="Z348" s="388"/>
      <c r="AA348" s="389"/>
      <c r="AB348" s="389"/>
      <c r="AC348" s="389"/>
      <c r="AD348" s="389"/>
      <c r="AE348" s="389"/>
    </row>
    <row r="349" spans="2:31" ht="15" customHeight="1" x14ac:dyDescent="0.35">
      <c r="B349" s="434"/>
      <c r="C349" s="1492" t="s">
        <v>700</v>
      </c>
      <c r="D349" s="1493"/>
      <c r="E349" s="1493"/>
      <c r="F349" s="1494"/>
      <c r="G349" s="388"/>
      <c r="H349" s="388"/>
      <c r="I349" s="1488"/>
      <c r="J349" s="1489"/>
      <c r="K349" s="1489"/>
      <c r="L349" s="439"/>
      <c r="M349" s="1489"/>
      <c r="N349" s="1489"/>
      <c r="O349" s="1489"/>
      <c r="P349" s="1489"/>
      <c r="Q349" s="1489"/>
      <c r="R349" s="1441"/>
      <c r="S349" s="1441"/>
      <c r="T349" s="1441"/>
      <c r="U349" s="1441">
        <f t="shared" si="19"/>
        <v>0</v>
      </c>
      <c r="V349" s="1441"/>
      <c r="W349" s="1441">
        <f t="shared" si="20"/>
        <v>0</v>
      </c>
      <c r="X349" s="1485"/>
      <c r="Y349" s="388"/>
      <c r="Z349" s="388"/>
      <c r="AA349" s="389"/>
      <c r="AB349" s="389"/>
      <c r="AC349" s="389"/>
      <c r="AD349" s="389"/>
      <c r="AE349" s="389"/>
    </row>
    <row r="350" spans="2:31" ht="15.75" customHeight="1" x14ac:dyDescent="0.35">
      <c r="B350" s="434"/>
      <c r="C350" s="1495"/>
      <c r="D350" s="1496"/>
      <c r="E350" s="1496"/>
      <c r="F350" s="1497"/>
      <c r="G350" s="388"/>
      <c r="H350" s="388"/>
      <c r="I350" s="1488"/>
      <c r="J350" s="1489"/>
      <c r="K350" s="1489"/>
      <c r="L350" s="439"/>
      <c r="M350" s="1489"/>
      <c r="N350" s="1489"/>
      <c r="O350" s="1489"/>
      <c r="P350" s="1489"/>
      <c r="Q350" s="1489"/>
      <c r="R350" s="1441"/>
      <c r="S350" s="1441"/>
      <c r="T350" s="1441"/>
      <c r="U350" s="1441">
        <f t="shared" si="19"/>
        <v>0</v>
      </c>
      <c r="V350" s="1441"/>
      <c r="W350" s="1441">
        <f t="shared" si="20"/>
        <v>0</v>
      </c>
      <c r="X350" s="1485"/>
      <c r="Y350" s="388"/>
      <c r="Z350" s="388"/>
      <c r="AA350" s="389"/>
      <c r="AB350" s="389"/>
      <c r="AC350" s="389"/>
      <c r="AD350" s="389"/>
      <c r="AE350" s="389"/>
    </row>
    <row r="351" spans="2:31" ht="15" customHeight="1" x14ac:dyDescent="0.35">
      <c r="B351" s="434"/>
      <c r="C351" s="1490" t="s">
        <v>131</v>
      </c>
      <c r="D351" s="1491"/>
      <c r="E351" s="1491"/>
      <c r="F351" s="440" t="s">
        <v>645</v>
      </c>
      <c r="G351" s="388"/>
      <c r="H351" s="388"/>
      <c r="I351" s="1488"/>
      <c r="J351" s="1489"/>
      <c r="K351" s="1489"/>
      <c r="L351" s="439"/>
      <c r="M351" s="1489"/>
      <c r="N351" s="1489"/>
      <c r="O351" s="1489"/>
      <c r="P351" s="1489"/>
      <c r="Q351" s="1489"/>
      <c r="R351" s="1441"/>
      <c r="S351" s="1441"/>
      <c r="T351" s="1441"/>
      <c r="U351" s="1441">
        <f t="shared" si="19"/>
        <v>0</v>
      </c>
      <c r="V351" s="1441"/>
      <c r="W351" s="1441">
        <f t="shared" si="20"/>
        <v>0</v>
      </c>
      <c r="X351" s="1485"/>
      <c r="Y351" s="388"/>
      <c r="Z351" s="388"/>
      <c r="AA351" s="389"/>
      <c r="AB351" s="389"/>
      <c r="AC351" s="389"/>
      <c r="AD351" s="389"/>
      <c r="AE351" s="389"/>
    </row>
    <row r="352" spans="2:31" ht="15.75" customHeight="1" x14ac:dyDescent="0.35">
      <c r="B352" s="434"/>
      <c r="C352" s="1486"/>
      <c r="D352" s="1487"/>
      <c r="E352" s="1487"/>
      <c r="F352" s="441"/>
      <c r="G352" s="388"/>
      <c r="H352" s="388"/>
      <c r="I352" s="1488"/>
      <c r="J352" s="1489"/>
      <c r="K352" s="1489"/>
      <c r="L352" s="439"/>
      <c r="M352" s="1489"/>
      <c r="N352" s="1489"/>
      <c r="O352" s="1489"/>
      <c r="P352" s="1489"/>
      <c r="Q352" s="1489"/>
      <c r="R352" s="1441"/>
      <c r="S352" s="1441"/>
      <c r="T352" s="1441"/>
      <c r="U352" s="1441">
        <f t="shared" si="19"/>
        <v>0</v>
      </c>
      <c r="V352" s="1441"/>
      <c r="W352" s="1441">
        <f t="shared" si="20"/>
        <v>0</v>
      </c>
      <c r="X352" s="1485"/>
      <c r="Y352" s="388"/>
      <c r="Z352" s="388"/>
      <c r="AA352" s="389"/>
      <c r="AB352" s="389"/>
      <c r="AC352" s="389"/>
      <c r="AD352" s="389"/>
      <c r="AE352" s="389"/>
    </row>
    <row r="353" spans="2:31" ht="15.75" customHeight="1" x14ac:dyDescent="0.35">
      <c r="B353" s="434"/>
      <c r="C353" s="1486"/>
      <c r="D353" s="1487"/>
      <c r="E353" s="1487"/>
      <c r="F353" s="441"/>
      <c r="G353" s="388"/>
      <c r="H353" s="388"/>
      <c r="I353" s="1488"/>
      <c r="J353" s="1489"/>
      <c r="K353" s="1489"/>
      <c r="L353" s="439"/>
      <c r="M353" s="1489"/>
      <c r="N353" s="1489"/>
      <c r="O353" s="1489"/>
      <c r="P353" s="1489"/>
      <c r="Q353" s="1489"/>
      <c r="R353" s="1441"/>
      <c r="S353" s="1441"/>
      <c r="T353" s="1441"/>
      <c r="U353" s="1441">
        <f t="shared" si="19"/>
        <v>0</v>
      </c>
      <c r="V353" s="1441"/>
      <c r="W353" s="1441">
        <f t="shared" si="20"/>
        <v>0</v>
      </c>
      <c r="X353" s="1485"/>
      <c r="Y353" s="388"/>
      <c r="Z353" s="388"/>
      <c r="AA353" s="389"/>
      <c r="AB353" s="389"/>
      <c r="AC353" s="389"/>
      <c r="AD353" s="389"/>
      <c r="AE353" s="389"/>
    </row>
    <row r="354" spans="2:31" ht="15.75" customHeight="1" x14ac:dyDescent="0.35">
      <c r="B354" s="434"/>
      <c r="C354" s="1486"/>
      <c r="D354" s="1487"/>
      <c r="E354" s="1487"/>
      <c r="F354" s="441"/>
      <c r="G354" s="388"/>
      <c r="H354" s="388"/>
      <c r="I354" s="1488"/>
      <c r="J354" s="1489"/>
      <c r="K354" s="1489"/>
      <c r="L354" s="439"/>
      <c r="M354" s="1489"/>
      <c r="N354" s="1489"/>
      <c r="O354" s="1489"/>
      <c r="P354" s="1489"/>
      <c r="Q354" s="1489"/>
      <c r="R354" s="1441"/>
      <c r="S354" s="1441"/>
      <c r="T354" s="1441"/>
      <c r="U354" s="1441">
        <f t="shared" si="19"/>
        <v>0</v>
      </c>
      <c r="V354" s="1441"/>
      <c r="W354" s="1441">
        <f t="shared" si="20"/>
        <v>0</v>
      </c>
      <c r="X354" s="1485"/>
      <c r="Y354" s="388"/>
      <c r="Z354" s="388"/>
      <c r="AA354" s="389"/>
      <c r="AB354" s="389"/>
      <c r="AC354" s="389"/>
      <c r="AD354" s="389"/>
      <c r="AE354" s="389"/>
    </row>
    <row r="355" spans="2:31" ht="15.75" customHeight="1" x14ac:dyDescent="0.35">
      <c r="B355" s="434"/>
      <c r="C355" s="1486"/>
      <c r="D355" s="1487"/>
      <c r="E355" s="1487"/>
      <c r="F355" s="441"/>
      <c r="G355" s="388"/>
      <c r="H355" s="388"/>
      <c r="I355" s="1488"/>
      <c r="J355" s="1489"/>
      <c r="K355" s="1489"/>
      <c r="L355" s="439"/>
      <c r="M355" s="1489"/>
      <c r="N355" s="1489"/>
      <c r="O355" s="1489"/>
      <c r="P355" s="1489"/>
      <c r="Q355" s="1489"/>
      <c r="R355" s="1441"/>
      <c r="S355" s="1441"/>
      <c r="T355" s="1441"/>
      <c r="U355" s="1441">
        <f t="shared" si="19"/>
        <v>0</v>
      </c>
      <c r="V355" s="1441"/>
      <c r="W355" s="1441">
        <f t="shared" si="20"/>
        <v>0</v>
      </c>
      <c r="X355" s="1485"/>
      <c r="Y355" s="388"/>
      <c r="Z355" s="388"/>
      <c r="AA355" s="389"/>
      <c r="AB355" s="389"/>
      <c r="AC355" s="389"/>
      <c r="AD355" s="389"/>
      <c r="AE355" s="389"/>
    </row>
    <row r="356" spans="2:31" ht="15.75" customHeight="1" x14ac:dyDescent="0.35">
      <c r="B356" s="434"/>
      <c r="C356" s="1486"/>
      <c r="D356" s="1487"/>
      <c r="E356" s="1487"/>
      <c r="F356" s="441"/>
      <c r="G356" s="388"/>
      <c r="H356" s="388"/>
      <c r="I356" s="1488"/>
      <c r="J356" s="1489"/>
      <c r="K356" s="1489"/>
      <c r="L356" s="439"/>
      <c r="M356" s="1489"/>
      <c r="N356" s="1489"/>
      <c r="O356" s="1489"/>
      <c r="P356" s="1489"/>
      <c r="Q356" s="1489"/>
      <c r="R356" s="1441"/>
      <c r="S356" s="1441"/>
      <c r="T356" s="1441"/>
      <c r="U356" s="1441">
        <f t="shared" si="19"/>
        <v>0</v>
      </c>
      <c r="V356" s="1441"/>
      <c r="W356" s="1441">
        <f t="shared" si="20"/>
        <v>0</v>
      </c>
      <c r="X356" s="1485"/>
      <c r="Y356" s="388"/>
      <c r="Z356" s="388"/>
      <c r="AA356" s="389"/>
      <c r="AB356" s="389"/>
      <c r="AC356" s="389"/>
      <c r="AD356" s="389"/>
      <c r="AE356" s="389"/>
    </row>
    <row r="357" spans="2:31" ht="15.75" customHeight="1" x14ac:dyDescent="0.35">
      <c r="B357" s="434"/>
      <c r="C357" s="1486"/>
      <c r="D357" s="1487"/>
      <c r="E357" s="1487"/>
      <c r="F357" s="441"/>
      <c r="G357" s="388"/>
      <c r="H357" s="388"/>
      <c r="I357" s="1488"/>
      <c r="J357" s="1489"/>
      <c r="K357" s="1489"/>
      <c r="L357" s="439"/>
      <c r="M357" s="1489"/>
      <c r="N357" s="1489"/>
      <c r="O357" s="1489"/>
      <c r="P357" s="1489"/>
      <c r="Q357" s="1489"/>
      <c r="R357" s="1441"/>
      <c r="S357" s="1441"/>
      <c r="T357" s="1441"/>
      <c r="U357" s="1441">
        <f t="shared" si="19"/>
        <v>0</v>
      </c>
      <c r="V357" s="1441"/>
      <c r="W357" s="1441">
        <f t="shared" si="20"/>
        <v>0</v>
      </c>
      <c r="X357" s="1485"/>
      <c r="Y357" s="388"/>
      <c r="Z357" s="388"/>
      <c r="AA357" s="389"/>
      <c r="AB357" s="389"/>
      <c r="AC357" s="389"/>
      <c r="AD357" s="389"/>
      <c r="AE357" s="389"/>
    </row>
    <row r="358" spans="2:31" ht="15.75" customHeight="1" x14ac:dyDescent="0.35">
      <c r="B358" s="434"/>
      <c r="C358" s="1486"/>
      <c r="D358" s="1487"/>
      <c r="E358" s="1487"/>
      <c r="F358" s="441"/>
      <c r="G358" s="388"/>
      <c r="H358" s="388"/>
      <c r="I358" s="1488"/>
      <c r="J358" s="1489"/>
      <c r="K358" s="1489"/>
      <c r="L358" s="439"/>
      <c r="M358" s="1489"/>
      <c r="N358" s="1489"/>
      <c r="O358" s="1489"/>
      <c r="P358" s="1489"/>
      <c r="Q358" s="1489"/>
      <c r="R358" s="1441"/>
      <c r="S358" s="1441"/>
      <c r="T358" s="1441"/>
      <c r="U358" s="1441">
        <f t="shared" si="19"/>
        <v>0</v>
      </c>
      <c r="V358" s="1441"/>
      <c r="W358" s="1441">
        <f t="shared" si="20"/>
        <v>0</v>
      </c>
      <c r="X358" s="1485"/>
      <c r="Y358" s="388"/>
      <c r="Z358" s="388"/>
      <c r="AA358" s="389"/>
      <c r="AB358" s="389"/>
      <c r="AC358" s="389"/>
      <c r="AD358" s="389"/>
      <c r="AE358" s="389"/>
    </row>
    <row r="359" spans="2:31" ht="15.75" customHeight="1" x14ac:dyDescent="0.35">
      <c r="B359" s="434"/>
      <c r="C359" s="1486"/>
      <c r="D359" s="1487"/>
      <c r="E359" s="1487"/>
      <c r="F359" s="441"/>
      <c r="G359" s="388"/>
      <c r="H359" s="388"/>
      <c r="I359" s="1488"/>
      <c r="J359" s="1489"/>
      <c r="K359" s="1489"/>
      <c r="L359" s="439"/>
      <c r="M359" s="1489"/>
      <c r="N359" s="1489"/>
      <c r="O359" s="1489"/>
      <c r="P359" s="1489"/>
      <c r="Q359" s="1489"/>
      <c r="R359" s="1441"/>
      <c r="S359" s="1441"/>
      <c r="T359" s="1441"/>
      <c r="U359" s="1441">
        <f t="shared" si="19"/>
        <v>0</v>
      </c>
      <c r="V359" s="1441"/>
      <c r="W359" s="1441">
        <f t="shared" si="20"/>
        <v>0</v>
      </c>
      <c r="X359" s="1485"/>
      <c r="Y359" s="388"/>
      <c r="Z359" s="388"/>
      <c r="AA359" s="389"/>
      <c r="AB359" s="389"/>
      <c r="AC359" s="389"/>
      <c r="AD359" s="389"/>
      <c r="AE359" s="389"/>
    </row>
    <row r="360" spans="2:31" ht="15.75" customHeight="1" x14ac:dyDescent="0.35">
      <c r="B360" s="434"/>
      <c r="C360" s="1486"/>
      <c r="D360" s="1487"/>
      <c r="E360" s="1487"/>
      <c r="F360" s="441"/>
      <c r="G360" s="388"/>
      <c r="H360" s="388"/>
      <c r="I360" s="1488"/>
      <c r="J360" s="1489"/>
      <c r="K360" s="1489"/>
      <c r="L360" s="439"/>
      <c r="M360" s="1489"/>
      <c r="N360" s="1489"/>
      <c r="O360" s="1489"/>
      <c r="P360" s="1489"/>
      <c r="Q360" s="1489"/>
      <c r="R360" s="1441"/>
      <c r="S360" s="1441"/>
      <c r="T360" s="1441"/>
      <c r="U360" s="1441">
        <f t="shared" si="19"/>
        <v>0</v>
      </c>
      <c r="V360" s="1441"/>
      <c r="W360" s="1441">
        <f t="shared" si="20"/>
        <v>0</v>
      </c>
      <c r="X360" s="1485"/>
      <c r="Y360" s="388"/>
      <c r="Z360" s="388"/>
      <c r="AA360" s="389"/>
      <c r="AB360" s="389"/>
      <c r="AC360" s="389"/>
      <c r="AD360" s="389"/>
      <c r="AE360" s="389"/>
    </row>
    <row r="361" spans="2:31" ht="15.75" customHeight="1" thickBot="1" x14ac:dyDescent="0.4">
      <c r="B361" s="434"/>
      <c r="C361" s="1503" t="s">
        <v>654</v>
      </c>
      <c r="D361" s="1504"/>
      <c r="E361" s="1504"/>
      <c r="F361" s="442">
        <f>SUM(F352:F360)</f>
        <v>0</v>
      </c>
      <c r="G361" s="388"/>
      <c r="H361" s="388"/>
      <c r="I361" s="1505" t="s">
        <v>654</v>
      </c>
      <c r="J361" s="1506"/>
      <c r="K361" s="1506"/>
      <c r="L361" s="443"/>
      <c r="M361" s="1507"/>
      <c r="N361" s="1508"/>
      <c r="O361" s="1509"/>
      <c r="P361" s="1510"/>
      <c r="Q361" s="1510"/>
      <c r="R361" s="1450">
        <f>SUM(R348:S360)</f>
        <v>0</v>
      </c>
      <c r="S361" s="1450"/>
      <c r="T361" s="1450"/>
      <c r="U361" s="1450">
        <f>SUM(U348:U360)</f>
        <v>0</v>
      </c>
      <c r="V361" s="1450"/>
      <c r="W361" s="1450">
        <f>SUM(W348:W360)</f>
        <v>0</v>
      </c>
      <c r="X361" s="1498"/>
      <c r="Y361" s="388"/>
      <c r="Z361" s="388"/>
      <c r="AA361" s="389"/>
      <c r="AB361" s="389"/>
      <c r="AC361" s="389"/>
      <c r="AD361" s="389"/>
      <c r="AE361" s="389"/>
    </row>
    <row r="362" spans="2:31" ht="15" customHeight="1" x14ac:dyDescent="0.35">
      <c r="B362" s="388"/>
      <c r="C362" s="388"/>
      <c r="D362" s="388"/>
      <c r="E362" s="388"/>
      <c r="F362" s="388"/>
      <c r="G362" s="388"/>
      <c r="H362" s="388"/>
      <c r="I362" s="388"/>
      <c r="J362" s="388"/>
      <c r="K362" s="388"/>
      <c r="L362" s="388"/>
      <c r="M362" s="388"/>
      <c r="N362" s="388"/>
      <c r="O362" s="388"/>
      <c r="P362" s="388"/>
      <c r="Q362" s="388"/>
      <c r="R362" s="388"/>
      <c r="S362" s="388"/>
      <c r="T362" s="388"/>
      <c r="U362" s="388"/>
      <c r="V362" s="388"/>
      <c r="W362" s="388"/>
      <c r="X362" s="388"/>
      <c r="Y362" s="388"/>
      <c r="Z362" s="388"/>
      <c r="AA362" s="389"/>
      <c r="AB362" s="389"/>
      <c r="AC362" s="389"/>
      <c r="AD362" s="389"/>
      <c r="AE362" s="389"/>
    </row>
    <row r="363" spans="2:31" ht="15.75" customHeight="1" x14ac:dyDescent="0.45">
      <c r="B363" s="1499" t="s">
        <v>689</v>
      </c>
      <c r="C363" s="1499"/>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388"/>
      <c r="Z363" s="388"/>
      <c r="AA363" s="389"/>
      <c r="AB363" s="389"/>
      <c r="AC363" s="389"/>
      <c r="AD363" s="389"/>
      <c r="AE363" s="389"/>
    </row>
    <row r="364" spans="2:31" ht="15" customHeight="1" x14ac:dyDescent="0.35">
      <c r="B364" s="388"/>
      <c r="C364" s="388"/>
      <c r="D364" s="388"/>
      <c r="E364" s="388"/>
      <c r="F364" s="388"/>
      <c r="G364" s="388"/>
      <c r="H364" s="388"/>
      <c r="I364" s="388"/>
      <c r="J364" s="388"/>
      <c r="K364" s="388"/>
      <c r="L364" s="388"/>
      <c r="M364" s="388"/>
      <c r="N364" s="388"/>
      <c r="O364" s="388"/>
      <c r="P364" s="388"/>
      <c r="Q364" s="388"/>
      <c r="R364" s="388"/>
      <c r="S364" s="388"/>
      <c r="T364" s="388"/>
      <c r="U364" s="388"/>
      <c r="V364" s="388"/>
      <c r="W364" s="388"/>
      <c r="X364" s="388"/>
      <c r="Y364" s="388"/>
      <c r="Z364" s="388"/>
      <c r="AA364" s="389"/>
      <c r="AB364" s="389"/>
      <c r="AC364" s="389"/>
      <c r="AD364" s="389"/>
      <c r="AE364" s="389"/>
    </row>
    <row r="365" spans="2:31" ht="15.75" customHeight="1" x14ac:dyDescent="0.45">
      <c r="B365" s="1499" t="s">
        <v>690</v>
      </c>
      <c r="C365" s="1499"/>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388"/>
      <c r="Z365" s="388"/>
      <c r="AA365" s="389"/>
      <c r="AB365" s="389"/>
      <c r="AC365" s="389"/>
      <c r="AD365" s="389"/>
      <c r="AE365" s="389"/>
    </row>
    <row r="366" spans="2:31" ht="15" customHeight="1" x14ac:dyDescent="0.35">
      <c r="B366" s="388"/>
      <c r="C366" s="388"/>
      <c r="D366" s="388"/>
      <c r="E366" s="388"/>
      <c r="F366" s="388"/>
      <c r="G366" s="388"/>
      <c r="H366" s="388"/>
      <c r="I366" s="388"/>
      <c r="J366" s="388"/>
      <c r="K366" s="388"/>
      <c r="L366" s="388"/>
      <c r="M366" s="388"/>
      <c r="N366" s="388"/>
      <c r="O366" s="388"/>
      <c r="P366" s="388"/>
      <c r="Q366" s="388"/>
      <c r="R366" s="388"/>
      <c r="S366" s="388"/>
      <c r="T366" s="388"/>
      <c r="U366" s="388"/>
      <c r="V366" s="388"/>
      <c r="W366" s="388"/>
      <c r="X366" s="388"/>
      <c r="Y366" s="388"/>
      <c r="Z366" s="388"/>
      <c r="AA366" s="389"/>
      <c r="AB366" s="389"/>
      <c r="AC366" s="389"/>
      <c r="AD366" s="389"/>
      <c r="AE366" s="389"/>
    </row>
    <row r="367" spans="2:31" ht="15.75" customHeight="1" x14ac:dyDescent="0.45">
      <c r="B367" s="1500" t="s">
        <v>691</v>
      </c>
      <c r="C367" s="1500"/>
      <c r="D367" s="1500"/>
      <c r="E367" s="1500"/>
      <c r="F367" s="1500"/>
      <c r="G367" s="1500"/>
      <c r="H367" s="1500"/>
      <c r="I367" s="1500"/>
      <c r="J367" s="1500"/>
      <c r="K367" s="1500"/>
      <c r="L367" s="1500"/>
      <c r="M367" s="1500"/>
      <c r="N367" s="1500"/>
      <c r="O367" s="1500"/>
      <c r="P367" s="1500"/>
      <c r="Q367" s="1500"/>
      <c r="R367" s="1500"/>
      <c r="S367" s="1500"/>
      <c r="T367" s="1500"/>
      <c r="U367" s="1500"/>
      <c r="V367" s="1500"/>
      <c r="W367" s="1500"/>
      <c r="X367" s="1500"/>
      <c r="Y367" s="388"/>
      <c r="Z367" s="388"/>
      <c r="AA367" s="389"/>
      <c r="AB367" s="389"/>
      <c r="AC367" s="389"/>
      <c r="AD367" s="389"/>
      <c r="AE367" s="389"/>
    </row>
    <row r="368" spans="2:31" ht="15.75" customHeight="1" thickBot="1" x14ac:dyDescent="0.4">
      <c r="B368" s="434"/>
      <c r="C368" s="388"/>
      <c r="D368" s="388"/>
      <c r="E368" s="388"/>
      <c r="F368" s="388"/>
      <c r="G368" s="388"/>
      <c r="H368" s="388"/>
      <c r="I368" s="388"/>
      <c r="J368" s="388"/>
      <c r="K368" s="388"/>
      <c r="L368" s="388"/>
      <c r="M368" s="388"/>
      <c r="N368" s="388"/>
      <c r="O368" s="388"/>
      <c r="P368" s="388"/>
      <c r="Q368" s="388"/>
      <c r="R368" s="388"/>
      <c r="S368" s="388"/>
      <c r="T368" s="388"/>
      <c r="U368" s="388"/>
      <c r="V368" s="388"/>
      <c r="W368" s="388"/>
      <c r="X368" s="388"/>
      <c r="Y368" s="388"/>
      <c r="Z368" s="388"/>
      <c r="AA368" s="389"/>
      <c r="AB368" s="389"/>
      <c r="AC368" s="389"/>
      <c r="AD368" s="389"/>
      <c r="AE368" s="389"/>
    </row>
    <row r="369" spans="2:31" ht="15.75" customHeight="1" x14ac:dyDescent="0.35">
      <c r="B369" s="434"/>
      <c r="C369" s="1492" t="s">
        <v>692</v>
      </c>
      <c r="D369" s="1493"/>
      <c r="E369" s="1493"/>
      <c r="F369" s="1493"/>
      <c r="G369" s="1493"/>
      <c r="H369" s="1493"/>
      <c r="I369" s="437" t="s">
        <v>146</v>
      </c>
      <c r="J369" s="437" t="s">
        <v>147</v>
      </c>
      <c r="K369" s="437" t="s">
        <v>148</v>
      </c>
      <c r="L369" s="438" t="s">
        <v>149</v>
      </c>
      <c r="M369" s="388"/>
      <c r="N369" s="444"/>
      <c r="O369" s="388"/>
      <c r="P369" s="388"/>
      <c r="Q369" s="388"/>
      <c r="R369" s="388"/>
      <c r="S369" s="388"/>
      <c r="T369" s="388"/>
      <c r="U369" s="388"/>
      <c r="V369" s="388"/>
      <c r="W369" s="388"/>
      <c r="X369" s="388"/>
      <c r="Y369" s="388"/>
      <c r="Z369" s="388"/>
      <c r="AA369" s="389"/>
      <c r="AB369" s="389"/>
      <c r="AC369" s="389"/>
      <c r="AD369" s="389"/>
      <c r="AE369" s="389"/>
    </row>
    <row r="370" spans="2:31" ht="15.75" customHeight="1" thickBot="1" x14ac:dyDescent="0.4">
      <c r="B370" s="434"/>
      <c r="C370" s="1501"/>
      <c r="D370" s="1502"/>
      <c r="E370" s="1502"/>
      <c r="F370" s="1502"/>
      <c r="G370" s="1502"/>
      <c r="H370" s="1502"/>
      <c r="I370" s="614">
        <f>F321</f>
        <v>4.7699999999999999E-2</v>
      </c>
      <c r="J370" s="614">
        <f>H321</f>
        <v>3.6999999999999998E-2</v>
      </c>
      <c r="K370" s="614">
        <f>J321</f>
        <v>3.1E-2</v>
      </c>
      <c r="L370" s="615">
        <f>K321</f>
        <v>3.49E-2</v>
      </c>
      <c r="M370" s="388"/>
      <c r="N370" s="445"/>
      <c r="O370" s="388"/>
      <c r="P370" s="388"/>
      <c r="Q370" s="388"/>
      <c r="R370" s="388"/>
      <c r="S370" s="388"/>
      <c r="T370" s="388"/>
      <c r="U370" s="388"/>
      <c r="V370" s="388"/>
      <c r="W370" s="388"/>
      <c r="X370" s="388"/>
      <c r="Y370" s="388"/>
      <c r="Z370" s="388"/>
      <c r="AA370" s="389"/>
      <c r="AB370" s="389"/>
      <c r="AC370" s="389"/>
      <c r="AD370" s="389"/>
      <c r="AE370" s="389"/>
    </row>
    <row r="371" spans="2:31" ht="15" customHeight="1" x14ac:dyDescent="0.35">
      <c r="B371" s="388"/>
      <c r="C371" s="388"/>
      <c r="D371" s="388"/>
      <c r="E371" s="388"/>
      <c r="F371" s="388"/>
      <c r="G371" s="388"/>
      <c r="H371" s="388"/>
      <c r="I371" s="388"/>
      <c r="J371" s="388"/>
      <c r="K371" s="388"/>
      <c r="L371" s="388"/>
      <c r="M371" s="388"/>
      <c r="N371" s="388"/>
      <c r="O371" s="388"/>
      <c r="P371" s="388"/>
      <c r="Q371" s="388"/>
      <c r="R371" s="388"/>
      <c r="S371" s="388"/>
      <c r="T371" s="388"/>
      <c r="U371" s="388"/>
      <c r="V371" s="388"/>
      <c r="W371" s="388"/>
      <c r="X371" s="388"/>
      <c r="Y371" s="388"/>
      <c r="Z371" s="388"/>
      <c r="AA371" s="389"/>
      <c r="AB371" s="389"/>
      <c r="AC371" s="389"/>
      <c r="AD371" s="389"/>
      <c r="AE371" s="389"/>
    </row>
    <row r="372" spans="2:31" ht="15" customHeight="1" thickBot="1" x14ac:dyDescent="0.4">
      <c r="B372" s="388"/>
      <c r="C372" s="388"/>
      <c r="D372" s="388"/>
      <c r="E372" s="388"/>
      <c r="F372" s="388"/>
      <c r="G372" s="388"/>
      <c r="H372" s="388"/>
      <c r="I372" s="388"/>
      <c r="J372" s="388"/>
      <c r="K372" s="388"/>
      <c r="L372" s="388"/>
      <c r="M372" s="388"/>
      <c r="N372" s="388"/>
      <c r="O372" s="388"/>
      <c r="P372" s="388"/>
      <c r="Q372" s="388"/>
      <c r="R372" s="388"/>
      <c r="S372" s="388"/>
      <c r="T372" s="388"/>
      <c r="U372" s="388"/>
      <c r="V372" s="388"/>
      <c r="W372" s="388"/>
      <c r="X372" s="388"/>
      <c r="Y372" s="388"/>
      <c r="Z372" s="388"/>
      <c r="AA372" s="389"/>
      <c r="AB372" s="389"/>
      <c r="AC372" s="389"/>
      <c r="AD372" s="389"/>
      <c r="AE372" s="389"/>
    </row>
    <row r="373" spans="2:31" ht="29.25" customHeight="1" thickBot="1" x14ac:dyDescent="0.4">
      <c r="B373" s="434"/>
      <c r="C373" s="446"/>
      <c r="D373" s="446"/>
      <c r="E373" s="446"/>
      <c r="F373" s="446"/>
      <c r="G373" s="446"/>
      <c r="H373" s="1320" t="s">
        <v>693</v>
      </c>
      <c r="I373" s="1321"/>
      <c r="J373" s="1321"/>
      <c r="K373" s="1321"/>
      <c r="L373" s="1321"/>
      <c r="M373" s="1321"/>
      <c r="N373" s="1322"/>
      <c r="O373" s="388"/>
      <c r="P373" s="388"/>
      <c r="Q373" s="388"/>
      <c r="R373" s="388"/>
      <c r="S373" s="388"/>
      <c r="T373" s="388"/>
      <c r="U373" s="388"/>
      <c r="V373" s="388"/>
      <c r="W373" s="388"/>
      <c r="X373" s="388"/>
      <c r="Y373" s="388"/>
      <c r="Z373" s="388"/>
      <c r="AA373" s="389"/>
      <c r="AB373" s="389"/>
      <c r="AC373" s="389"/>
      <c r="AD373" s="389"/>
      <c r="AE373" s="389"/>
    </row>
    <row r="374" spans="2:31" ht="48.75" customHeight="1" x14ac:dyDescent="0.35">
      <c r="B374" s="434"/>
      <c r="C374" s="1451" t="s">
        <v>673</v>
      </c>
      <c r="D374" s="1452"/>
      <c r="E374" s="429" t="s">
        <v>694</v>
      </c>
      <c r="F374" s="1452" t="s">
        <v>695</v>
      </c>
      <c r="G374" s="1452"/>
      <c r="H374" s="1452" t="s">
        <v>631</v>
      </c>
      <c r="I374" s="1452"/>
      <c r="J374" s="429" t="s">
        <v>632</v>
      </c>
      <c r="K374" s="429" t="s">
        <v>633</v>
      </c>
      <c r="L374" s="429" t="s">
        <v>634</v>
      </c>
      <c r="M374" s="1453" t="s">
        <v>635</v>
      </c>
      <c r="N374" s="1454"/>
      <c r="O374" s="388"/>
      <c r="P374" s="388"/>
      <c r="Q374" s="388"/>
      <c r="R374" s="388"/>
      <c r="S374" s="388"/>
      <c r="T374" s="388"/>
      <c r="U374" s="388"/>
      <c r="V374" s="388"/>
      <c r="W374" s="388"/>
      <c r="X374" s="388"/>
      <c r="Y374" s="388"/>
      <c r="Z374" s="388"/>
      <c r="AA374" s="389"/>
      <c r="AB374" s="389"/>
      <c r="AC374" s="389"/>
      <c r="AD374" s="389"/>
      <c r="AE374" s="389"/>
    </row>
    <row r="375" spans="2:31" ht="15" customHeight="1" x14ac:dyDescent="0.35">
      <c r="B375" s="434"/>
      <c r="C375" s="1394">
        <f>+I348</f>
        <v>0</v>
      </c>
      <c r="D375" s="1455"/>
      <c r="E375" s="423">
        <v>12</v>
      </c>
      <c r="F375" s="1440">
        <f t="shared" ref="F375:F387" si="21">W348</f>
        <v>0</v>
      </c>
      <c r="G375" s="1440"/>
      <c r="H375" s="1440">
        <f t="shared" ref="H375:H387" si="22">+F375*E375</f>
        <v>0</v>
      </c>
      <c r="I375" s="1440"/>
      <c r="J375" s="430">
        <f t="shared" ref="J375:J387" si="23">(H375*$I$370)+H375</f>
        <v>0</v>
      </c>
      <c r="K375" s="430">
        <f t="shared" ref="K375:K387" si="24">+(J375*$J$370)+J375</f>
        <v>0</v>
      </c>
      <c r="L375" s="430">
        <f t="shared" ref="L375:L387" si="25">+(K375*$K$370)+K375</f>
        <v>0</v>
      </c>
      <c r="M375" s="1456">
        <f t="shared" ref="M375:M387" si="26">+(L375*$L$370)+L375</f>
        <v>0</v>
      </c>
      <c r="N375" s="1457"/>
      <c r="O375" s="388"/>
      <c r="P375" s="388"/>
      <c r="Q375" s="388"/>
      <c r="R375" s="388"/>
      <c r="S375" s="388"/>
      <c r="T375" s="388"/>
      <c r="U375" s="388"/>
      <c r="V375" s="388"/>
      <c r="W375" s="388"/>
      <c r="X375" s="388"/>
      <c r="Y375" s="388"/>
      <c r="Z375" s="388"/>
      <c r="AA375" s="389"/>
      <c r="AB375" s="389"/>
      <c r="AC375" s="389"/>
      <c r="AD375" s="389"/>
      <c r="AE375" s="389"/>
    </row>
    <row r="376" spans="2:31" ht="15.75" customHeight="1" x14ac:dyDescent="0.35">
      <c r="B376" s="434"/>
      <c r="C376" s="1394">
        <f t="shared" ref="C376:C387" si="27">+I349</f>
        <v>0</v>
      </c>
      <c r="D376" s="1455"/>
      <c r="E376" s="423">
        <v>12</v>
      </c>
      <c r="F376" s="1440">
        <f t="shared" si="21"/>
        <v>0</v>
      </c>
      <c r="G376" s="1440"/>
      <c r="H376" s="1440">
        <f t="shared" si="22"/>
        <v>0</v>
      </c>
      <c r="I376" s="1440"/>
      <c r="J376" s="430">
        <f t="shared" si="23"/>
        <v>0</v>
      </c>
      <c r="K376" s="430">
        <f t="shared" si="24"/>
        <v>0</v>
      </c>
      <c r="L376" s="430">
        <f t="shared" si="25"/>
        <v>0</v>
      </c>
      <c r="M376" s="1456">
        <f t="shared" si="26"/>
        <v>0</v>
      </c>
      <c r="N376" s="1457"/>
      <c r="O376" s="388"/>
      <c r="P376" s="388"/>
      <c r="Q376" s="388"/>
      <c r="R376" s="388"/>
      <c r="S376" s="388"/>
      <c r="T376" s="388"/>
      <c r="U376" s="388"/>
      <c r="V376" s="388"/>
      <c r="W376" s="388"/>
      <c r="X376" s="388"/>
      <c r="Y376" s="388"/>
      <c r="Z376" s="388"/>
      <c r="AA376" s="389"/>
      <c r="AB376" s="389"/>
      <c r="AC376" s="389"/>
      <c r="AD376" s="389"/>
      <c r="AE376" s="389"/>
    </row>
    <row r="377" spans="2:31" ht="15.75" customHeight="1" x14ac:dyDescent="0.35">
      <c r="B377" s="434"/>
      <c r="C377" s="1394">
        <f t="shared" si="27"/>
        <v>0</v>
      </c>
      <c r="D377" s="1455"/>
      <c r="E377" s="423">
        <v>12</v>
      </c>
      <c r="F377" s="1440">
        <f t="shared" si="21"/>
        <v>0</v>
      </c>
      <c r="G377" s="1440"/>
      <c r="H377" s="1440">
        <f t="shared" si="22"/>
        <v>0</v>
      </c>
      <c r="I377" s="1440"/>
      <c r="J377" s="430">
        <f t="shared" si="23"/>
        <v>0</v>
      </c>
      <c r="K377" s="430">
        <f t="shared" si="24"/>
        <v>0</v>
      </c>
      <c r="L377" s="430">
        <f t="shared" si="25"/>
        <v>0</v>
      </c>
      <c r="M377" s="1456">
        <f t="shared" si="26"/>
        <v>0</v>
      </c>
      <c r="N377" s="1457"/>
      <c r="O377" s="388"/>
      <c r="P377" s="388"/>
      <c r="Q377" s="388"/>
      <c r="R377" s="388"/>
      <c r="S377" s="388"/>
      <c r="T377" s="388"/>
      <c r="U377" s="388"/>
      <c r="V377" s="388"/>
      <c r="W377" s="388"/>
      <c r="X377" s="388"/>
      <c r="Y377" s="388"/>
      <c r="Z377" s="388"/>
      <c r="AA377" s="389"/>
      <c r="AB377" s="389"/>
      <c r="AC377" s="389"/>
      <c r="AD377" s="389"/>
      <c r="AE377" s="389"/>
    </row>
    <row r="378" spans="2:31" ht="15.75" customHeight="1" x14ac:dyDescent="0.35">
      <c r="B378" s="434"/>
      <c r="C378" s="1394">
        <f t="shared" si="27"/>
        <v>0</v>
      </c>
      <c r="D378" s="1455"/>
      <c r="E378" s="423">
        <v>12</v>
      </c>
      <c r="F378" s="1440">
        <f t="shared" si="21"/>
        <v>0</v>
      </c>
      <c r="G378" s="1440"/>
      <c r="H378" s="1440">
        <f t="shared" si="22"/>
        <v>0</v>
      </c>
      <c r="I378" s="1440"/>
      <c r="J378" s="430">
        <f t="shared" si="23"/>
        <v>0</v>
      </c>
      <c r="K378" s="430">
        <f t="shared" si="24"/>
        <v>0</v>
      </c>
      <c r="L378" s="430">
        <f t="shared" si="25"/>
        <v>0</v>
      </c>
      <c r="M378" s="1456">
        <f t="shared" si="26"/>
        <v>0</v>
      </c>
      <c r="N378" s="1457"/>
      <c r="O378" s="388"/>
      <c r="P378" s="388"/>
      <c r="Q378" s="388"/>
      <c r="R378" s="388"/>
      <c r="S378" s="388"/>
      <c r="T378" s="388"/>
      <c r="U378" s="388"/>
      <c r="V378" s="388"/>
      <c r="W378" s="388"/>
      <c r="X378" s="388"/>
      <c r="Y378" s="388"/>
      <c r="Z378" s="388"/>
      <c r="AA378" s="389"/>
      <c r="AB378" s="389"/>
      <c r="AC378" s="389"/>
      <c r="AD378" s="389"/>
      <c r="AE378" s="389"/>
    </row>
    <row r="379" spans="2:31" ht="15.75" customHeight="1" x14ac:dyDescent="0.35">
      <c r="B379" s="434"/>
      <c r="C379" s="1394">
        <f t="shared" si="27"/>
        <v>0</v>
      </c>
      <c r="D379" s="1455"/>
      <c r="E379" s="423">
        <v>12</v>
      </c>
      <c r="F379" s="1440">
        <f t="shared" si="21"/>
        <v>0</v>
      </c>
      <c r="G379" s="1440"/>
      <c r="H379" s="1440">
        <f t="shared" si="22"/>
        <v>0</v>
      </c>
      <c r="I379" s="1440"/>
      <c r="J379" s="430">
        <f t="shared" si="23"/>
        <v>0</v>
      </c>
      <c r="K379" s="430">
        <f t="shared" si="24"/>
        <v>0</v>
      </c>
      <c r="L379" s="430">
        <f t="shared" si="25"/>
        <v>0</v>
      </c>
      <c r="M379" s="1456">
        <f t="shared" si="26"/>
        <v>0</v>
      </c>
      <c r="N379" s="1457"/>
      <c r="O379" s="388"/>
      <c r="P379" s="388"/>
      <c r="Q379" s="388"/>
      <c r="R379" s="388"/>
      <c r="S379" s="388"/>
      <c r="T379" s="388"/>
      <c r="U379" s="388"/>
      <c r="V379" s="388"/>
      <c r="W379" s="388"/>
      <c r="X379" s="388"/>
      <c r="Y379" s="388"/>
      <c r="Z379" s="388"/>
      <c r="AA379" s="389"/>
      <c r="AB379" s="389"/>
      <c r="AC379" s="389"/>
      <c r="AD379" s="389"/>
      <c r="AE379" s="389"/>
    </row>
    <row r="380" spans="2:31" ht="15" customHeight="1" x14ac:dyDescent="0.35">
      <c r="B380" s="434"/>
      <c r="C380" s="1394">
        <f t="shared" si="27"/>
        <v>0</v>
      </c>
      <c r="D380" s="1455"/>
      <c r="E380" s="423">
        <v>12</v>
      </c>
      <c r="F380" s="1440">
        <f t="shared" si="21"/>
        <v>0</v>
      </c>
      <c r="G380" s="1440"/>
      <c r="H380" s="1440">
        <f t="shared" si="22"/>
        <v>0</v>
      </c>
      <c r="I380" s="1440"/>
      <c r="J380" s="430">
        <f t="shared" si="23"/>
        <v>0</v>
      </c>
      <c r="K380" s="430">
        <f t="shared" si="24"/>
        <v>0</v>
      </c>
      <c r="L380" s="430">
        <f t="shared" si="25"/>
        <v>0</v>
      </c>
      <c r="M380" s="1456">
        <f t="shared" si="26"/>
        <v>0</v>
      </c>
      <c r="N380" s="1457"/>
      <c r="O380" s="388"/>
      <c r="P380" s="388"/>
      <c r="Q380" s="388"/>
      <c r="R380" s="388"/>
      <c r="S380" s="388"/>
      <c r="T380" s="388"/>
      <c r="U380" s="388"/>
      <c r="V380" s="388"/>
      <c r="W380" s="388"/>
      <c r="X380" s="388"/>
      <c r="Y380" s="388"/>
      <c r="Z380" s="388"/>
      <c r="AA380" s="389"/>
      <c r="AB380" s="389"/>
      <c r="AC380" s="389"/>
      <c r="AD380" s="389"/>
      <c r="AE380" s="389"/>
    </row>
    <row r="381" spans="2:31" ht="15.75" customHeight="1" x14ac:dyDescent="0.35">
      <c r="B381" s="434"/>
      <c r="C381" s="1394">
        <f t="shared" si="27"/>
        <v>0</v>
      </c>
      <c r="D381" s="1455"/>
      <c r="E381" s="423">
        <v>12</v>
      </c>
      <c r="F381" s="1440">
        <f t="shared" si="21"/>
        <v>0</v>
      </c>
      <c r="G381" s="1440"/>
      <c r="H381" s="1440">
        <f t="shared" si="22"/>
        <v>0</v>
      </c>
      <c r="I381" s="1440"/>
      <c r="J381" s="430">
        <f t="shared" si="23"/>
        <v>0</v>
      </c>
      <c r="K381" s="430">
        <f t="shared" si="24"/>
        <v>0</v>
      </c>
      <c r="L381" s="430">
        <f t="shared" si="25"/>
        <v>0</v>
      </c>
      <c r="M381" s="1456">
        <f t="shared" si="26"/>
        <v>0</v>
      </c>
      <c r="N381" s="1457"/>
      <c r="O381" s="388"/>
      <c r="P381" s="388"/>
      <c r="Q381" s="388"/>
      <c r="R381" s="388"/>
      <c r="S381" s="388"/>
      <c r="T381" s="388"/>
      <c r="U381" s="388"/>
      <c r="V381" s="388"/>
      <c r="W381" s="388"/>
      <c r="X381" s="388"/>
      <c r="Y381" s="388"/>
      <c r="Z381" s="388"/>
      <c r="AA381" s="389"/>
      <c r="AB381" s="389"/>
      <c r="AC381" s="389"/>
      <c r="AD381" s="389"/>
      <c r="AE381" s="389"/>
    </row>
    <row r="382" spans="2:31" ht="15" customHeight="1" x14ac:dyDescent="0.35">
      <c r="B382" s="434"/>
      <c r="C382" s="1394">
        <f t="shared" si="27"/>
        <v>0</v>
      </c>
      <c r="D382" s="1455"/>
      <c r="E382" s="423">
        <v>12</v>
      </c>
      <c r="F382" s="1440">
        <f t="shared" si="21"/>
        <v>0</v>
      </c>
      <c r="G382" s="1440"/>
      <c r="H382" s="1440">
        <f t="shared" si="22"/>
        <v>0</v>
      </c>
      <c r="I382" s="1440"/>
      <c r="J382" s="430">
        <f t="shared" si="23"/>
        <v>0</v>
      </c>
      <c r="K382" s="430">
        <f t="shared" si="24"/>
        <v>0</v>
      </c>
      <c r="L382" s="430">
        <f t="shared" si="25"/>
        <v>0</v>
      </c>
      <c r="M382" s="1456">
        <f t="shared" si="26"/>
        <v>0</v>
      </c>
      <c r="N382" s="1457"/>
      <c r="O382" s="388"/>
      <c r="P382" s="388"/>
      <c r="Q382" s="388"/>
      <c r="R382" s="388"/>
      <c r="S382" s="388"/>
      <c r="T382" s="388"/>
      <c r="U382" s="388"/>
      <c r="V382" s="388"/>
      <c r="W382" s="388"/>
      <c r="X382" s="388"/>
      <c r="Y382" s="388"/>
      <c r="Z382" s="388"/>
      <c r="AA382" s="389"/>
      <c r="AB382" s="389"/>
      <c r="AC382" s="389"/>
      <c r="AD382" s="389"/>
      <c r="AE382" s="389"/>
    </row>
    <row r="383" spans="2:31" ht="15.75" customHeight="1" x14ac:dyDescent="0.35">
      <c r="B383" s="434"/>
      <c r="C383" s="1394">
        <f t="shared" si="27"/>
        <v>0</v>
      </c>
      <c r="D383" s="1455"/>
      <c r="E383" s="423">
        <v>12</v>
      </c>
      <c r="F383" s="1440">
        <f t="shared" si="21"/>
        <v>0</v>
      </c>
      <c r="G383" s="1440"/>
      <c r="H383" s="1440">
        <f t="shared" si="22"/>
        <v>0</v>
      </c>
      <c r="I383" s="1440"/>
      <c r="J383" s="430">
        <f t="shared" si="23"/>
        <v>0</v>
      </c>
      <c r="K383" s="430">
        <f t="shared" si="24"/>
        <v>0</v>
      </c>
      <c r="L383" s="430">
        <f t="shared" si="25"/>
        <v>0</v>
      </c>
      <c r="M383" s="1456">
        <f t="shared" si="26"/>
        <v>0</v>
      </c>
      <c r="N383" s="1457"/>
      <c r="O383" s="388"/>
      <c r="P383" s="388"/>
      <c r="Q383" s="388"/>
      <c r="R383" s="388"/>
      <c r="S383" s="388"/>
      <c r="T383" s="388"/>
      <c r="U383" s="388"/>
      <c r="V383" s="388"/>
      <c r="W383" s="388"/>
      <c r="X383" s="388"/>
      <c r="Y383" s="388"/>
      <c r="Z383" s="388"/>
      <c r="AA383" s="389"/>
      <c r="AB383" s="389"/>
      <c r="AC383" s="389"/>
      <c r="AD383" s="389"/>
      <c r="AE383" s="389"/>
    </row>
    <row r="384" spans="2:31" ht="15" customHeight="1" x14ac:dyDescent="0.35">
      <c r="B384" s="434"/>
      <c r="C384" s="1394">
        <f t="shared" si="27"/>
        <v>0</v>
      </c>
      <c r="D384" s="1455"/>
      <c r="E384" s="423">
        <v>12</v>
      </c>
      <c r="F384" s="1440">
        <f t="shared" si="21"/>
        <v>0</v>
      </c>
      <c r="G384" s="1440"/>
      <c r="H384" s="1440">
        <f t="shared" si="22"/>
        <v>0</v>
      </c>
      <c r="I384" s="1440"/>
      <c r="J384" s="430">
        <f t="shared" si="23"/>
        <v>0</v>
      </c>
      <c r="K384" s="430">
        <f t="shared" si="24"/>
        <v>0</v>
      </c>
      <c r="L384" s="430">
        <f t="shared" si="25"/>
        <v>0</v>
      </c>
      <c r="M384" s="1456">
        <f t="shared" si="26"/>
        <v>0</v>
      </c>
      <c r="N384" s="1457"/>
      <c r="O384" s="388"/>
      <c r="P384" s="388"/>
      <c r="Q384" s="388"/>
      <c r="R384" s="388"/>
      <c r="S384" s="388"/>
      <c r="T384" s="388"/>
      <c r="U384" s="388"/>
      <c r="V384" s="388"/>
      <c r="W384" s="388"/>
      <c r="X384" s="388"/>
      <c r="Y384" s="388"/>
      <c r="Z384" s="388"/>
      <c r="AA384" s="389"/>
      <c r="AB384" s="389"/>
      <c r="AC384" s="389"/>
      <c r="AD384" s="389"/>
      <c r="AE384" s="389"/>
    </row>
    <row r="385" spans="2:32" ht="15.75" customHeight="1" x14ac:dyDescent="0.35">
      <c r="B385" s="434"/>
      <c r="C385" s="1394">
        <f t="shared" si="27"/>
        <v>0</v>
      </c>
      <c r="D385" s="1455"/>
      <c r="E385" s="423">
        <v>12</v>
      </c>
      <c r="F385" s="1440">
        <f t="shared" si="21"/>
        <v>0</v>
      </c>
      <c r="G385" s="1440"/>
      <c r="H385" s="1440">
        <f t="shared" si="22"/>
        <v>0</v>
      </c>
      <c r="I385" s="1440"/>
      <c r="J385" s="430">
        <f t="shared" si="23"/>
        <v>0</v>
      </c>
      <c r="K385" s="430">
        <f t="shared" si="24"/>
        <v>0</v>
      </c>
      <c r="L385" s="430">
        <f t="shared" si="25"/>
        <v>0</v>
      </c>
      <c r="M385" s="1456">
        <f t="shared" si="26"/>
        <v>0</v>
      </c>
      <c r="N385" s="1457"/>
      <c r="O385" s="388"/>
      <c r="P385" s="388"/>
      <c r="Q385" s="388"/>
      <c r="R385" s="388"/>
      <c r="S385" s="388"/>
      <c r="T385" s="388"/>
      <c r="U385" s="388"/>
      <c r="V385" s="388"/>
      <c r="W385" s="388"/>
      <c r="X385" s="388"/>
      <c r="Y385" s="388"/>
      <c r="Z385" s="388"/>
      <c r="AA385" s="389"/>
      <c r="AB385" s="389"/>
      <c r="AC385" s="389"/>
      <c r="AD385" s="389"/>
      <c r="AE385" s="389"/>
    </row>
    <row r="386" spans="2:32" ht="15.75" customHeight="1" x14ac:dyDescent="0.35">
      <c r="B386" s="434"/>
      <c r="C386" s="1394">
        <f t="shared" si="27"/>
        <v>0</v>
      </c>
      <c r="D386" s="1455"/>
      <c r="E386" s="423">
        <v>12</v>
      </c>
      <c r="F386" s="1440">
        <f t="shared" si="21"/>
        <v>0</v>
      </c>
      <c r="G386" s="1440"/>
      <c r="H386" s="1440">
        <f t="shared" si="22"/>
        <v>0</v>
      </c>
      <c r="I386" s="1440"/>
      <c r="J386" s="430">
        <f t="shared" si="23"/>
        <v>0</v>
      </c>
      <c r="K386" s="430">
        <f t="shared" si="24"/>
        <v>0</v>
      </c>
      <c r="L386" s="430">
        <f t="shared" si="25"/>
        <v>0</v>
      </c>
      <c r="M386" s="1456">
        <f t="shared" si="26"/>
        <v>0</v>
      </c>
      <c r="N386" s="1457"/>
      <c r="O386" s="388"/>
      <c r="P386" s="388"/>
      <c r="Q386" s="388"/>
      <c r="R386" s="388"/>
      <c r="S386" s="388"/>
      <c r="T386" s="388"/>
      <c r="U386" s="388"/>
      <c r="V386" s="388"/>
      <c r="W386" s="388"/>
      <c r="X386" s="388"/>
      <c r="Y386" s="388"/>
      <c r="Z386" s="388"/>
      <c r="AA386" s="389"/>
      <c r="AB386" s="389"/>
      <c r="AC386" s="389"/>
      <c r="AD386" s="389"/>
      <c r="AE386" s="389"/>
    </row>
    <row r="387" spans="2:32" ht="15.75" customHeight="1" x14ac:dyDescent="0.35">
      <c r="B387" s="434"/>
      <c r="C387" s="1394">
        <f t="shared" si="27"/>
        <v>0</v>
      </c>
      <c r="D387" s="1455"/>
      <c r="E387" s="423">
        <v>12</v>
      </c>
      <c r="F387" s="1440">
        <f t="shared" si="21"/>
        <v>0</v>
      </c>
      <c r="G387" s="1440"/>
      <c r="H387" s="1440">
        <f t="shared" si="22"/>
        <v>0</v>
      </c>
      <c r="I387" s="1440"/>
      <c r="J387" s="430">
        <f t="shared" si="23"/>
        <v>0</v>
      </c>
      <c r="K387" s="430">
        <f t="shared" si="24"/>
        <v>0</v>
      </c>
      <c r="L387" s="430">
        <f t="shared" si="25"/>
        <v>0</v>
      </c>
      <c r="M387" s="1456">
        <f t="shared" si="26"/>
        <v>0</v>
      </c>
      <c r="N387" s="1457"/>
      <c r="O387" s="388"/>
      <c r="P387" s="388"/>
      <c r="Q387" s="388"/>
      <c r="R387" s="388"/>
      <c r="S387" s="388"/>
      <c r="T387" s="388"/>
      <c r="U387" s="388"/>
      <c r="V387" s="388"/>
      <c r="W387" s="388"/>
      <c r="X387" s="388"/>
      <c r="Y387" s="388"/>
      <c r="Z387" s="388"/>
      <c r="AA387" s="389"/>
      <c r="AB387" s="389"/>
      <c r="AC387" s="389"/>
      <c r="AD387" s="389"/>
      <c r="AE387" s="389"/>
    </row>
    <row r="388" spans="2:32" ht="20.25" customHeight="1" thickBot="1" x14ac:dyDescent="0.4">
      <c r="B388" s="434"/>
      <c r="C388" s="1447" t="s">
        <v>688</v>
      </c>
      <c r="D388" s="1448"/>
      <c r="E388" s="431"/>
      <c r="F388" s="1449">
        <f>SUM(F375:F387)</f>
        <v>0</v>
      </c>
      <c r="G388" s="1449"/>
      <c r="H388" s="1449">
        <f>SUM(H375:H387)</f>
        <v>0</v>
      </c>
      <c r="I388" s="1449"/>
      <c r="J388" s="425">
        <f>SUM(J375:J387)</f>
        <v>0</v>
      </c>
      <c r="K388" s="425">
        <f>SUM(K375:K387)</f>
        <v>0</v>
      </c>
      <c r="L388" s="425">
        <f>SUM(L375:L387)</f>
        <v>0</v>
      </c>
      <c r="M388" s="1482">
        <f>SUM(M375:M387)</f>
        <v>0</v>
      </c>
      <c r="N388" s="1483"/>
      <c r="O388" s="388"/>
      <c r="P388" s="388"/>
      <c r="Q388" s="388"/>
      <c r="R388" s="388"/>
      <c r="S388" s="388"/>
      <c r="T388" s="388"/>
      <c r="U388" s="388"/>
      <c r="V388" s="388"/>
      <c r="W388" s="388"/>
      <c r="X388" s="388"/>
      <c r="Y388" s="388"/>
      <c r="Z388" s="388"/>
      <c r="AA388" s="389"/>
      <c r="AB388" s="389"/>
      <c r="AC388" s="389"/>
      <c r="AD388" s="389"/>
      <c r="AE388" s="389"/>
    </row>
    <row r="389" spans="2:32" ht="15" customHeight="1" x14ac:dyDescent="0.35">
      <c r="B389" s="388"/>
      <c r="C389" s="388"/>
      <c r="D389" s="388"/>
      <c r="E389" s="388"/>
      <c r="F389" s="388"/>
      <c r="G389" s="388"/>
      <c r="H389" s="388"/>
      <c r="I389" s="388"/>
      <c r="J389" s="388"/>
      <c r="K389" s="388"/>
      <c r="L389" s="388"/>
      <c r="M389" s="388"/>
      <c r="N389" s="388"/>
      <c r="O389" s="388"/>
      <c r="P389" s="388"/>
      <c r="Q389" s="388"/>
      <c r="R389" s="388"/>
      <c r="S389" s="388"/>
      <c r="T389" s="388"/>
      <c r="U389" s="388"/>
      <c r="V389" s="388"/>
      <c r="W389" s="388"/>
      <c r="X389" s="388"/>
      <c r="Y389" s="388"/>
      <c r="Z389" s="388"/>
      <c r="AA389" s="389"/>
      <c r="AB389" s="389"/>
      <c r="AC389" s="389"/>
      <c r="AD389" s="389"/>
      <c r="AE389" s="389"/>
    </row>
    <row r="390" spans="2:32" ht="15" customHeight="1" x14ac:dyDescent="0.35">
      <c r="B390" s="388"/>
      <c r="C390" s="388"/>
      <c r="D390" s="388"/>
      <c r="E390" s="388"/>
      <c r="F390" s="388"/>
      <c r="G390" s="388"/>
      <c r="H390" s="388"/>
      <c r="I390" s="388"/>
      <c r="J390" s="388"/>
      <c r="K390" s="388"/>
      <c r="L390" s="388"/>
      <c r="M390" s="388"/>
      <c r="N390" s="388"/>
      <c r="O390" s="388"/>
      <c r="P390" s="388"/>
      <c r="Q390" s="388"/>
      <c r="R390" s="388"/>
      <c r="S390" s="388"/>
      <c r="T390" s="388"/>
      <c r="U390" s="388"/>
      <c r="V390" s="388"/>
      <c r="W390" s="388"/>
      <c r="X390" s="388"/>
      <c r="Y390" s="388"/>
      <c r="Z390" s="388"/>
      <c r="AA390" s="389"/>
      <c r="AB390" s="389"/>
      <c r="AC390" s="389"/>
      <c r="AD390" s="389"/>
      <c r="AE390" s="389"/>
    </row>
    <row r="391" spans="2:32" ht="24" customHeight="1" x14ac:dyDescent="0.35">
      <c r="B391" s="1067" t="s">
        <v>701</v>
      </c>
      <c r="C391" s="1067"/>
      <c r="D391" s="1067"/>
      <c r="E391" s="1067"/>
      <c r="F391" s="1067"/>
      <c r="G391" s="1067"/>
      <c r="H391" s="1067"/>
      <c r="I391" s="1067"/>
      <c r="J391" s="1067"/>
      <c r="K391" s="1067"/>
      <c r="L391" s="1067"/>
      <c r="M391" s="1067"/>
      <c r="N391" s="1067"/>
      <c r="O391" s="1067"/>
      <c r="P391" s="1067"/>
      <c r="Q391" s="1067"/>
      <c r="R391" s="1067"/>
      <c r="S391" s="1067"/>
      <c r="T391" s="1067"/>
      <c r="U391" s="1067"/>
      <c r="V391" s="1067"/>
      <c r="W391" s="1067"/>
      <c r="X391" s="1067"/>
      <c r="Y391" s="1067"/>
      <c r="Z391" s="392"/>
      <c r="AA391" s="393"/>
      <c r="AB391" s="393"/>
      <c r="AC391" s="393"/>
      <c r="AD391" s="393"/>
      <c r="AE391" s="393"/>
    </row>
    <row r="392" spans="2:32" ht="15" customHeight="1" thickBot="1" x14ac:dyDescent="0.4">
      <c r="B392" s="388"/>
      <c r="C392" s="388"/>
      <c r="D392" s="388"/>
      <c r="E392" s="388"/>
      <c r="F392" s="388"/>
      <c r="G392" s="388"/>
      <c r="H392" s="388"/>
      <c r="I392" s="388"/>
      <c r="J392" s="388"/>
      <c r="K392" s="388"/>
      <c r="L392" s="388"/>
      <c r="M392" s="388"/>
      <c r="N392" s="388"/>
      <c r="O392" s="388"/>
      <c r="P392" s="388"/>
      <c r="Q392" s="388"/>
      <c r="R392" s="388"/>
      <c r="S392" s="388"/>
      <c r="T392" s="388"/>
      <c r="U392" s="388"/>
      <c r="V392" s="388"/>
      <c r="W392" s="388"/>
      <c r="X392" s="388"/>
      <c r="Y392" s="388"/>
      <c r="Z392" s="388"/>
      <c r="AA392" s="389"/>
      <c r="AB392" s="389"/>
      <c r="AC392" s="389"/>
      <c r="AD392" s="389"/>
      <c r="AE392" s="389"/>
    </row>
    <row r="393" spans="2:32" ht="24" customHeight="1" thickBot="1" x14ac:dyDescent="0.4">
      <c r="B393" s="1517" t="s">
        <v>849</v>
      </c>
      <c r="C393" s="1518"/>
      <c r="D393" s="1519" t="str">
        <f>E151</f>
        <v>Gestión integral de Cartera y Cobranza</v>
      </c>
      <c r="E393" s="1519"/>
      <c r="F393" s="1519"/>
      <c r="G393" s="1519"/>
      <c r="H393" s="1519"/>
      <c r="I393" s="1520"/>
      <c r="J393" s="388"/>
      <c r="K393" s="388"/>
      <c r="L393" s="388"/>
      <c r="M393" s="388"/>
      <c r="N393" s="388"/>
      <c r="O393" s="388"/>
      <c r="P393" s="388"/>
      <c r="Q393" s="388"/>
      <c r="R393" s="388"/>
      <c r="S393" s="401"/>
      <c r="T393" s="388"/>
      <c r="U393" s="392"/>
      <c r="V393" s="392"/>
      <c r="W393" s="392"/>
      <c r="X393" s="392"/>
      <c r="Y393" s="392"/>
      <c r="Z393" s="392"/>
      <c r="AA393" s="393"/>
      <c r="AB393" s="393"/>
      <c r="AC393" s="393"/>
      <c r="AD393" s="393"/>
      <c r="AE393" s="393"/>
    </row>
    <row r="394" spans="2:32" ht="15" customHeight="1" thickBot="1" x14ac:dyDescent="0.4">
      <c r="B394" s="388"/>
      <c r="C394" s="388"/>
      <c r="D394" s="388"/>
      <c r="E394" s="388"/>
      <c r="F394" s="388"/>
      <c r="G394" s="388"/>
      <c r="H394" s="388"/>
      <c r="I394" s="388"/>
      <c r="J394" s="388"/>
      <c r="K394" s="388"/>
      <c r="L394" s="388"/>
      <c r="M394" s="388"/>
      <c r="N394" s="388"/>
      <c r="O394" s="388"/>
      <c r="P394" s="388"/>
      <c r="Q394" s="388"/>
      <c r="R394" s="388"/>
      <c r="S394" s="388"/>
      <c r="T394" s="388"/>
      <c r="U394" s="388"/>
      <c r="V394" s="388"/>
      <c r="W394" s="388"/>
      <c r="X394" s="388"/>
      <c r="Y394" s="388"/>
      <c r="Z394" s="388"/>
      <c r="AA394" s="389"/>
      <c r="AB394" s="389"/>
      <c r="AC394" s="389"/>
      <c r="AD394" s="389"/>
      <c r="AE394" s="389"/>
    </row>
    <row r="395" spans="2:32" ht="31.5" customHeight="1" x14ac:dyDescent="0.35">
      <c r="B395" s="1306" t="s">
        <v>702</v>
      </c>
      <c r="C395" s="1307"/>
      <c r="D395" s="1307"/>
      <c r="E395" s="1307"/>
      <c r="F395" s="1307"/>
      <c r="G395" s="1307"/>
      <c r="H395" s="1307"/>
      <c r="I395" s="1316"/>
      <c r="J395" s="1511" t="s">
        <v>630</v>
      </c>
      <c r="K395" s="1307"/>
      <c r="L395" s="1316"/>
      <c r="M395" s="1512" t="s">
        <v>703</v>
      </c>
      <c r="N395" s="1513"/>
      <c r="O395" s="1514"/>
      <c r="P395" s="1515" t="s">
        <v>865</v>
      </c>
      <c r="Q395" s="1307"/>
      <c r="R395" s="1316"/>
      <c r="S395" s="1511" t="s">
        <v>1177</v>
      </c>
      <c r="T395" s="1307"/>
      <c r="U395" s="447" t="s">
        <v>631</v>
      </c>
      <c r="V395" s="447" t="s">
        <v>632</v>
      </c>
      <c r="W395" s="447" t="s">
        <v>633</v>
      </c>
      <c r="X395" s="447" t="s">
        <v>634</v>
      </c>
      <c r="Y395" s="448" t="s">
        <v>635</v>
      </c>
      <c r="Z395" s="388"/>
      <c r="AA395" s="389"/>
      <c r="AB395" s="449" t="s">
        <v>705</v>
      </c>
      <c r="AC395" s="450" t="s">
        <v>645</v>
      </c>
      <c r="AD395" s="389"/>
      <c r="AE395" s="389"/>
    </row>
    <row r="396" spans="2:32" ht="15.75" customHeight="1" x14ac:dyDescent="0.35">
      <c r="B396" s="1516" t="s">
        <v>850</v>
      </c>
      <c r="C396" s="1031"/>
      <c r="D396" s="1031"/>
      <c r="E396" s="1031"/>
      <c r="F396" s="1031"/>
      <c r="G396" s="1031"/>
      <c r="H396" s="1031"/>
      <c r="I396" s="1032"/>
      <c r="J396" s="1030" t="s">
        <v>864</v>
      </c>
      <c r="K396" s="1031"/>
      <c r="L396" s="1032"/>
      <c r="M396" s="1030">
        <v>145000</v>
      </c>
      <c r="N396" s="1033"/>
      <c r="O396" s="1034"/>
      <c r="P396" s="1035">
        <v>0.57399999999999995</v>
      </c>
      <c r="Q396" s="1031"/>
      <c r="R396" s="1032"/>
      <c r="S396" s="1038">
        <f>M396*P396</f>
        <v>83230</v>
      </c>
      <c r="T396" s="1039"/>
      <c r="U396" s="451">
        <f>S396*12</f>
        <v>998760</v>
      </c>
      <c r="V396" s="451">
        <f>U396*(1+$AC$396)</f>
        <v>1046400.8520000001</v>
      </c>
      <c r="W396" s="451">
        <f>V396*(1+$AC$397)</f>
        <v>1085117.683524</v>
      </c>
      <c r="X396" s="451">
        <f>W396*(1+$AC$398)</f>
        <v>1118756.3317132439</v>
      </c>
      <c r="Y396" s="452">
        <f>X396*(1+$AC$399)</f>
        <v>1157800.9276900359</v>
      </c>
      <c r="Z396" s="388"/>
      <c r="AB396" s="453" t="s">
        <v>720</v>
      </c>
      <c r="AC396" s="454">
        <f>'Estudio de Mercados'!I324</f>
        <v>4.7699999999999999E-2</v>
      </c>
      <c r="AF396" s="389"/>
    </row>
    <row r="397" spans="2:32" ht="15.75" customHeight="1" x14ac:dyDescent="0.35">
      <c r="B397" s="1516" t="s">
        <v>1179</v>
      </c>
      <c r="C397" s="1031"/>
      <c r="D397" s="1031"/>
      <c r="E397" s="1031"/>
      <c r="F397" s="1031"/>
      <c r="G397" s="1031"/>
      <c r="H397" s="1031"/>
      <c r="I397" s="1032"/>
      <c r="J397" s="1030" t="s">
        <v>862</v>
      </c>
      <c r="K397" s="1031"/>
      <c r="L397" s="1032"/>
      <c r="M397" s="1030">
        <v>500000</v>
      </c>
      <c r="N397" s="1033"/>
      <c r="O397" s="1034"/>
      <c r="P397" s="1035">
        <v>5.5599999999999997E-2</v>
      </c>
      <c r="Q397" s="1031"/>
      <c r="R397" s="1032"/>
      <c r="S397" s="1038">
        <f>M397*P397</f>
        <v>27800</v>
      </c>
      <c r="T397" s="1039"/>
      <c r="U397" s="451">
        <f>S397*12</f>
        <v>333600</v>
      </c>
      <c r="V397" s="451">
        <f>U397*(1+$AC$396)</f>
        <v>349512.72000000003</v>
      </c>
      <c r="W397" s="451">
        <f>V397*(1+$AC$397)</f>
        <v>362444.69063999999</v>
      </c>
      <c r="X397" s="451">
        <f>W397*(1+$AC$398)</f>
        <v>373680.47604983993</v>
      </c>
      <c r="Y397" s="452">
        <f>X397*(1+$AC$399)</f>
        <v>386721.92466397933</v>
      </c>
      <c r="Z397" s="388"/>
      <c r="AB397" s="453" t="s">
        <v>721</v>
      </c>
      <c r="AC397" s="454">
        <f>'Estudio de Mercados'!J324</f>
        <v>3.6999999999999998E-2</v>
      </c>
      <c r="AF397" s="389"/>
    </row>
    <row r="398" spans="2:32" ht="15.75" customHeight="1" x14ac:dyDescent="0.35">
      <c r="B398" s="1516" t="s">
        <v>860</v>
      </c>
      <c r="C398" s="1031"/>
      <c r="D398" s="1031"/>
      <c r="E398" s="1031"/>
      <c r="F398" s="1031"/>
      <c r="G398" s="1031"/>
      <c r="H398" s="1031"/>
      <c r="I398" s="1032"/>
      <c r="J398" s="1030" t="s">
        <v>861</v>
      </c>
      <c r="K398" s="1031"/>
      <c r="L398" s="1032"/>
      <c r="M398" s="1030">
        <v>15000</v>
      </c>
      <c r="N398" s="1033"/>
      <c r="O398" s="1034"/>
      <c r="P398" s="1035">
        <v>7.4130000000000003</v>
      </c>
      <c r="Q398" s="1031"/>
      <c r="R398" s="1032"/>
      <c r="S398" s="1038">
        <f>M398*P398</f>
        <v>111195</v>
      </c>
      <c r="T398" s="1039"/>
      <c r="U398" s="451">
        <f>S398*12</f>
        <v>1334340</v>
      </c>
      <c r="V398" s="451">
        <f>U398*(1+$AC$396)</f>
        <v>1397988.0180000002</v>
      </c>
      <c r="W398" s="451">
        <f>V398*(1+$AC$397)</f>
        <v>1449713.574666</v>
      </c>
      <c r="X398" s="451">
        <f>W398*(1+$AC$398)</f>
        <v>1494654.6954806459</v>
      </c>
      <c r="Y398" s="452">
        <f>X398*(1+$AC$399)</f>
        <v>1546818.1443529204</v>
      </c>
      <c r="Z398" s="388"/>
      <c r="AB398" s="453" t="s">
        <v>722</v>
      </c>
      <c r="AC398" s="454">
        <f>'Estudio de Mercados'!K324</f>
        <v>3.1E-2</v>
      </c>
      <c r="AF398" s="389"/>
    </row>
    <row r="399" spans="2:32" ht="15.75" customHeight="1" x14ac:dyDescent="0.35">
      <c r="B399" s="1516"/>
      <c r="C399" s="1031"/>
      <c r="D399" s="1031"/>
      <c r="E399" s="1031"/>
      <c r="F399" s="1031"/>
      <c r="G399" s="1031"/>
      <c r="H399" s="1031"/>
      <c r="I399" s="1032"/>
      <c r="J399" s="1030"/>
      <c r="K399" s="1031"/>
      <c r="L399" s="1032"/>
      <c r="M399" s="1030"/>
      <c r="N399" s="1033"/>
      <c r="O399" s="1034"/>
      <c r="P399" s="1035"/>
      <c r="Q399" s="1031"/>
      <c r="R399" s="1032"/>
      <c r="S399" s="1038">
        <f>M399*P399</f>
        <v>0</v>
      </c>
      <c r="T399" s="1039"/>
      <c r="U399" s="451">
        <f>S399*12</f>
        <v>0</v>
      </c>
      <c r="V399" s="451">
        <f>U399*(1+$AC$396)</f>
        <v>0</v>
      </c>
      <c r="W399" s="451">
        <f>V399*(1+$AC$397)</f>
        <v>0</v>
      </c>
      <c r="X399" s="451">
        <f>W399*(1+$AC$398)</f>
        <v>0</v>
      </c>
      <c r="Y399" s="452">
        <f>X399*(1+$AC$399)</f>
        <v>0</v>
      </c>
      <c r="Z399" s="388"/>
      <c r="AB399" s="453" t="s">
        <v>723</v>
      </c>
      <c r="AC399" s="454">
        <f>'Estudio de Mercados'!L324</f>
        <v>3.49E-2</v>
      </c>
      <c r="AF399" s="389"/>
    </row>
    <row r="400" spans="2:32" ht="15.75" customHeight="1" x14ac:dyDescent="0.35">
      <c r="B400" s="1516"/>
      <c r="C400" s="1031"/>
      <c r="D400" s="1031"/>
      <c r="E400" s="1031"/>
      <c r="F400" s="1031"/>
      <c r="G400" s="1031"/>
      <c r="H400" s="1031"/>
      <c r="I400" s="1032"/>
      <c r="J400" s="1030"/>
      <c r="K400" s="1031"/>
      <c r="L400" s="1032"/>
      <c r="M400" s="1030"/>
      <c r="N400" s="1033"/>
      <c r="O400" s="1034"/>
      <c r="P400" s="1035"/>
      <c r="Q400" s="1031"/>
      <c r="R400" s="1032"/>
      <c r="S400" s="1038">
        <f>M400*P400</f>
        <v>0</v>
      </c>
      <c r="T400" s="1039"/>
      <c r="U400" s="451">
        <f>S400*12</f>
        <v>0</v>
      </c>
      <c r="V400" s="451">
        <f>U400*(1+$AC$396)</f>
        <v>0</v>
      </c>
      <c r="W400" s="451">
        <f>V400*(1+$AC$397)</f>
        <v>0</v>
      </c>
      <c r="X400" s="451">
        <f>W400*(1+$AC$398)</f>
        <v>0</v>
      </c>
      <c r="Y400" s="452">
        <f>X400*(1+$AC$399)</f>
        <v>0</v>
      </c>
      <c r="Z400" s="388"/>
      <c r="AF400" s="389"/>
    </row>
    <row r="401" spans="2:32" ht="15.75" customHeight="1" x14ac:dyDescent="0.35">
      <c r="B401" s="1521" t="s">
        <v>706</v>
      </c>
      <c r="C401" s="1076"/>
      <c r="D401" s="1076"/>
      <c r="E401" s="1076"/>
      <c r="F401" s="1076"/>
      <c r="G401" s="1076"/>
      <c r="H401" s="1076"/>
      <c r="I401" s="1039"/>
      <c r="J401" s="455"/>
      <c r="K401" s="395"/>
      <c r="L401" s="395"/>
      <c r="M401" s="395"/>
      <c r="N401" s="395"/>
      <c r="O401" s="395"/>
      <c r="P401" s="395"/>
      <c r="Q401" s="395"/>
      <c r="R401" s="395"/>
      <c r="S401" s="1522">
        <f>SUM(S396:T400)</f>
        <v>222225</v>
      </c>
      <c r="T401" s="1523"/>
      <c r="U401" s="456">
        <f>SUM(U396:U400)</f>
        <v>2666700</v>
      </c>
      <c r="V401" s="456">
        <f>SUM(V396:V400)</f>
        <v>2793901.5900000003</v>
      </c>
      <c r="W401" s="456">
        <f>SUM(W396:W400)</f>
        <v>2897275.9488300001</v>
      </c>
      <c r="X401" s="456">
        <f>SUM(X396:X400)</f>
        <v>2987091.5032437295</v>
      </c>
      <c r="Y401" s="457">
        <f>SUM(Y396:Y400)</f>
        <v>3091340.9967069356</v>
      </c>
      <c r="Z401" s="388"/>
      <c r="AF401" s="389"/>
    </row>
    <row r="402" spans="2:32" ht="17.25" customHeight="1" x14ac:dyDescent="0.35">
      <c r="B402" s="1524" t="s">
        <v>707</v>
      </c>
      <c r="C402" s="1076"/>
      <c r="D402" s="1076"/>
      <c r="E402" s="1076"/>
      <c r="F402" s="1076"/>
      <c r="G402" s="1076"/>
      <c r="H402" s="1076"/>
      <c r="I402" s="1039"/>
      <c r="J402" s="1038"/>
      <c r="K402" s="1525"/>
      <c r="L402" s="1525"/>
      <c r="M402" s="1525"/>
      <c r="N402" s="1525"/>
      <c r="O402" s="1525"/>
      <c r="P402" s="1525"/>
      <c r="Q402" s="1525"/>
      <c r="R402" s="1525"/>
      <c r="S402" s="1525"/>
      <c r="T402" s="1526"/>
      <c r="U402" s="451"/>
      <c r="V402" s="451"/>
      <c r="W402" s="451"/>
      <c r="X402" s="451"/>
      <c r="Y402" s="452"/>
      <c r="Z402" s="388"/>
      <c r="AF402" s="389"/>
    </row>
    <row r="403" spans="2:32" ht="15.75" customHeight="1" x14ac:dyDescent="0.35">
      <c r="B403" s="1516" t="s">
        <v>765</v>
      </c>
      <c r="C403" s="1031"/>
      <c r="D403" s="1031"/>
      <c r="E403" s="1031"/>
      <c r="F403" s="1031"/>
      <c r="G403" s="1031"/>
      <c r="H403" s="1031"/>
      <c r="I403" s="1032"/>
      <c r="J403" s="1030" t="s">
        <v>859</v>
      </c>
      <c r="K403" s="1031"/>
      <c r="L403" s="1032"/>
      <c r="M403" s="1030">
        <f>L299/184</f>
        <v>11322.467391304348</v>
      </c>
      <c r="N403" s="1033"/>
      <c r="O403" s="1034"/>
      <c r="P403" s="1035">
        <v>61</v>
      </c>
      <c r="Q403" s="1031"/>
      <c r="R403" s="1032"/>
      <c r="S403" s="1038">
        <f>M403*P403</f>
        <v>690670.51086956519</v>
      </c>
      <c r="T403" s="1039"/>
      <c r="U403" s="451">
        <f>S403*12</f>
        <v>8288046.1304347822</v>
      </c>
      <c r="V403" s="451">
        <f>U403*(1+$AC$396)</f>
        <v>8683385.9308565222</v>
      </c>
      <c r="W403" s="451">
        <f>V403*(1+$AC$397)</f>
        <v>9004671.2102982122</v>
      </c>
      <c r="X403" s="451">
        <f>W403*(1+$AC$398)</f>
        <v>9283816.0178174563</v>
      </c>
      <c r="Y403" s="452">
        <f>X403*(1+$AC$399)</f>
        <v>9607821.1968392842</v>
      </c>
      <c r="Z403" s="388"/>
      <c r="AA403" s="389"/>
      <c r="AB403" s="389"/>
      <c r="AC403" s="389"/>
      <c r="AD403" s="389"/>
      <c r="AE403" s="389"/>
    </row>
    <row r="404" spans="2:32" ht="15.75" customHeight="1" x14ac:dyDescent="0.35">
      <c r="B404" s="1516" t="s">
        <v>767</v>
      </c>
      <c r="C404" s="1031"/>
      <c r="D404" s="1031"/>
      <c r="E404" s="1031"/>
      <c r="F404" s="1031"/>
      <c r="G404" s="1031"/>
      <c r="H404" s="1031"/>
      <c r="I404" s="1032"/>
      <c r="J404" s="1030" t="s">
        <v>859</v>
      </c>
      <c r="K404" s="1033"/>
      <c r="L404" s="1034"/>
      <c r="M404" s="1030">
        <f>L300/184</f>
        <v>16304.347826086956</v>
      </c>
      <c r="N404" s="1033"/>
      <c r="O404" s="1034"/>
      <c r="P404" s="1035">
        <v>12</v>
      </c>
      <c r="Q404" s="1031"/>
      <c r="R404" s="1032"/>
      <c r="S404" s="1038">
        <f>M404*P404</f>
        <v>195652.17391304346</v>
      </c>
      <c r="T404" s="1039"/>
      <c r="U404" s="451">
        <f>S404*12</f>
        <v>2347826.0869565215</v>
      </c>
      <c r="V404" s="451">
        <f>U404*(1+$AC$396)</f>
        <v>2459817.3913043477</v>
      </c>
      <c r="W404" s="451">
        <f>V404*(1+$AC$397)</f>
        <v>2550830.6347826081</v>
      </c>
      <c r="X404" s="451">
        <f>W404*(1+$AC$398)</f>
        <v>2629906.3844608688</v>
      </c>
      <c r="Y404" s="452">
        <f>X404*(1+$AC$399)</f>
        <v>2721690.1172785531</v>
      </c>
      <c r="Z404" s="388"/>
      <c r="AA404" s="389"/>
      <c r="AB404" s="389"/>
      <c r="AC404" s="389"/>
      <c r="AD404" s="389"/>
      <c r="AE404" s="389"/>
    </row>
    <row r="405" spans="2:32" ht="15.75" customHeight="1" x14ac:dyDescent="0.35">
      <c r="B405" s="1516" t="s">
        <v>851</v>
      </c>
      <c r="C405" s="1031"/>
      <c r="D405" s="1031"/>
      <c r="E405" s="1031"/>
      <c r="F405" s="1031"/>
      <c r="G405" s="1031"/>
      <c r="H405" s="1031"/>
      <c r="I405" s="1032"/>
      <c r="J405" s="1030" t="s">
        <v>863</v>
      </c>
      <c r="K405" s="1031"/>
      <c r="L405" s="1032"/>
      <c r="M405" s="1030">
        <v>4500000</v>
      </c>
      <c r="N405" s="1033"/>
      <c r="O405" s="1034"/>
      <c r="P405" s="1035">
        <v>0.05</v>
      </c>
      <c r="Q405" s="1031"/>
      <c r="R405" s="1032"/>
      <c r="S405" s="1038">
        <f>M405*P405</f>
        <v>225000</v>
      </c>
      <c r="T405" s="1039"/>
      <c r="U405" s="451">
        <f>S405*12</f>
        <v>2700000</v>
      </c>
      <c r="V405" s="451">
        <f>U405*(1+$AC$396)</f>
        <v>2828790</v>
      </c>
      <c r="W405" s="451">
        <f>V405*(1+$AC$397)</f>
        <v>2933455.23</v>
      </c>
      <c r="X405" s="451">
        <f>W405*(1+$AC$398)</f>
        <v>3024392.3421299998</v>
      </c>
      <c r="Y405" s="452">
        <f>X405*(1+$AC$399)</f>
        <v>3129943.6348703364</v>
      </c>
      <c r="Z405" s="388"/>
      <c r="AA405" s="389"/>
      <c r="AB405" s="389"/>
      <c r="AC405" s="389"/>
      <c r="AD405" s="389"/>
      <c r="AE405" s="389"/>
    </row>
    <row r="406" spans="2:32" ht="15.75" customHeight="1" x14ac:dyDescent="0.35">
      <c r="B406" s="1516"/>
      <c r="C406" s="1031"/>
      <c r="D406" s="1031"/>
      <c r="E406" s="1031"/>
      <c r="F406" s="1031"/>
      <c r="G406" s="1031"/>
      <c r="H406" s="1031"/>
      <c r="I406" s="1032"/>
      <c r="J406" s="1030"/>
      <c r="K406" s="1031"/>
      <c r="L406" s="1032"/>
      <c r="M406" s="1030"/>
      <c r="N406" s="1033"/>
      <c r="O406" s="1034"/>
      <c r="P406" s="1035"/>
      <c r="Q406" s="1031"/>
      <c r="R406" s="1032"/>
      <c r="S406" s="1038">
        <f>M406*P406</f>
        <v>0</v>
      </c>
      <c r="T406" s="1039"/>
      <c r="U406" s="451">
        <f>S406*12</f>
        <v>0</v>
      </c>
      <c r="V406" s="451">
        <f>U406*(1+$AC$396)</f>
        <v>0</v>
      </c>
      <c r="W406" s="451">
        <f>V406*(1+$AC$397)</f>
        <v>0</v>
      </c>
      <c r="X406" s="451">
        <f>W406*(1+$AC$398)</f>
        <v>0</v>
      </c>
      <c r="Y406" s="452">
        <f>X406*(1+$AC$399)</f>
        <v>0</v>
      </c>
      <c r="Z406" s="388"/>
      <c r="AA406" s="389"/>
      <c r="AB406" s="389"/>
      <c r="AC406" s="389"/>
      <c r="AD406" s="389"/>
      <c r="AE406" s="389"/>
    </row>
    <row r="407" spans="2:32" ht="15.75" customHeight="1" x14ac:dyDescent="0.35">
      <c r="B407" s="1516"/>
      <c r="C407" s="1031"/>
      <c r="D407" s="1031"/>
      <c r="E407" s="1031"/>
      <c r="F407" s="1031"/>
      <c r="G407" s="1031"/>
      <c r="H407" s="1031"/>
      <c r="I407" s="1032"/>
      <c r="J407" s="1030"/>
      <c r="K407" s="1031"/>
      <c r="L407" s="1032"/>
      <c r="M407" s="1030"/>
      <c r="N407" s="1033"/>
      <c r="O407" s="1034"/>
      <c r="P407" s="1035"/>
      <c r="Q407" s="1036"/>
      <c r="R407" s="1037"/>
      <c r="S407" s="1038">
        <f>M407*P407</f>
        <v>0</v>
      </c>
      <c r="T407" s="1039"/>
      <c r="U407" s="451">
        <f>S407*12</f>
        <v>0</v>
      </c>
      <c r="V407" s="451">
        <f>U407*(1+$AC$396)</f>
        <v>0</v>
      </c>
      <c r="W407" s="451">
        <f>V407*(1+$AC$397)</f>
        <v>0</v>
      </c>
      <c r="X407" s="451">
        <f>W407*(1+$AC$398)</f>
        <v>0</v>
      </c>
      <c r="Y407" s="452">
        <f>X407*(1+$AC$399)</f>
        <v>0</v>
      </c>
      <c r="Z407" s="388"/>
      <c r="AA407" s="389"/>
      <c r="AB407" s="389"/>
      <c r="AC407" s="389"/>
      <c r="AD407" s="389"/>
      <c r="AE407" s="389"/>
    </row>
    <row r="408" spans="2:32" ht="15.75" customHeight="1" x14ac:dyDescent="0.35">
      <c r="B408" s="1521" t="s">
        <v>708</v>
      </c>
      <c r="C408" s="1076"/>
      <c r="D408" s="1076"/>
      <c r="E408" s="1076"/>
      <c r="F408" s="1076"/>
      <c r="G408" s="1076"/>
      <c r="H408" s="1076"/>
      <c r="I408" s="1039"/>
      <c r="J408" s="455"/>
      <c r="K408" s="395"/>
      <c r="L408" s="395"/>
      <c r="M408" s="395"/>
      <c r="N408" s="395"/>
      <c r="O408" s="395"/>
      <c r="P408" s="395"/>
      <c r="Q408" s="395"/>
      <c r="R408" s="395"/>
      <c r="S408" s="1522">
        <f>SUM(S403:T407)</f>
        <v>1111322.6847826086</v>
      </c>
      <c r="T408" s="1523"/>
      <c r="U408" s="456">
        <f>SUM(U403:U407)</f>
        <v>13335872.217391305</v>
      </c>
      <c r="V408" s="456">
        <f>SUM(V403:V407)</f>
        <v>13971993.32216087</v>
      </c>
      <c r="W408" s="456">
        <f>SUM(W403:W407)</f>
        <v>14488957.075080821</v>
      </c>
      <c r="X408" s="456">
        <f>SUM(X403:X407)</f>
        <v>14938114.744408324</v>
      </c>
      <c r="Y408" s="457">
        <f>SUM(Y403:Y407)</f>
        <v>15459454.948988173</v>
      </c>
      <c r="Z408" s="388"/>
      <c r="AA408" s="389"/>
      <c r="AB408" s="389"/>
      <c r="AC408" s="389"/>
      <c r="AD408" s="389"/>
      <c r="AE408" s="389"/>
    </row>
    <row r="409" spans="2:32" ht="15.75" customHeight="1" x14ac:dyDescent="0.35">
      <c r="B409" s="1524" t="s">
        <v>709</v>
      </c>
      <c r="C409" s="1076"/>
      <c r="D409" s="1076"/>
      <c r="E409" s="1076"/>
      <c r="F409" s="1076"/>
      <c r="G409" s="1076"/>
      <c r="H409" s="1076"/>
      <c r="I409" s="1039"/>
      <c r="J409" s="1038"/>
      <c r="K409" s="1076"/>
      <c r="L409" s="1039"/>
      <c r="M409" s="1038"/>
      <c r="N409" s="1525"/>
      <c r="O409" s="1526"/>
      <c r="P409" s="1537"/>
      <c r="Q409" s="1076"/>
      <c r="R409" s="1039"/>
      <c r="S409" s="1038"/>
      <c r="T409" s="1039"/>
      <c r="U409" s="451"/>
      <c r="V409" s="451"/>
      <c r="W409" s="451"/>
      <c r="X409" s="451"/>
      <c r="Y409" s="452"/>
      <c r="Z409" s="388"/>
      <c r="AA409" s="389"/>
      <c r="AB409" s="389"/>
      <c r="AC409" s="389"/>
      <c r="AD409" s="389"/>
      <c r="AE409" s="389"/>
    </row>
    <row r="410" spans="2:32" ht="15.75" customHeight="1" x14ac:dyDescent="0.35">
      <c r="B410" s="1516" t="s">
        <v>852</v>
      </c>
      <c r="C410" s="1031"/>
      <c r="D410" s="1031"/>
      <c r="E410" s="1031"/>
      <c r="F410" s="1031"/>
      <c r="G410" s="1031"/>
      <c r="H410" s="1031"/>
      <c r="I410" s="1032"/>
      <c r="J410" s="1030" t="s">
        <v>863</v>
      </c>
      <c r="K410" s="1031"/>
      <c r="L410" s="1032"/>
      <c r="M410" s="1030">
        <v>3000000</v>
      </c>
      <c r="N410" s="1033"/>
      <c r="O410" s="1034"/>
      <c r="P410" s="1035">
        <v>5.5550000000000002E-2</v>
      </c>
      <c r="Q410" s="1036"/>
      <c r="R410" s="1037"/>
      <c r="S410" s="1038">
        <f>M410*P410</f>
        <v>166650</v>
      </c>
      <c r="T410" s="1039"/>
      <c r="U410" s="451">
        <f t="shared" ref="U410:U417" si="28">S410*12</f>
        <v>1999800</v>
      </c>
      <c r="V410" s="451">
        <f>U410*(1+$AC$396)</f>
        <v>2095190.4600000002</v>
      </c>
      <c r="W410" s="451">
        <f>V410*(1+$AC$397)</f>
        <v>2172712.5070199999</v>
      </c>
      <c r="X410" s="451">
        <f>W410*(1+$AC$398)</f>
        <v>2240066.5947376196</v>
      </c>
      <c r="Y410" s="452">
        <f>X410*(1+$AC$399)</f>
        <v>2318244.9188939622</v>
      </c>
      <c r="Z410" s="388"/>
      <c r="AA410" s="389"/>
      <c r="AB410" s="389"/>
      <c r="AC410" s="389"/>
      <c r="AD410" s="389"/>
      <c r="AE410" s="389"/>
    </row>
    <row r="411" spans="2:32" ht="15.75" customHeight="1" x14ac:dyDescent="0.35">
      <c r="B411" s="1516" t="s">
        <v>853</v>
      </c>
      <c r="C411" s="1031"/>
      <c r="D411" s="1031"/>
      <c r="E411" s="1031"/>
      <c r="F411" s="1031"/>
      <c r="G411" s="1031"/>
      <c r="H411" s="1031"/>
      <c r="I411" s="1032"/>
      <c r="J411" s="1030" t="s">
        <v>863</v>
      </c>
      <c r="K411" s="1031"/>
      <c r="L411" s="1032"/>
      <c r="M411" s="1030">
        <v>3886000</v>
      </c>
      <c r="N411" s="1033"/>
      <c r="O411" s="1034"/>
      <c r="P411" s="1035">
        <v>5.5550000000000002E-2</v>
      </c>
      <c r="Q411" s="1036"/>
      <c r="R411" s="1037"/>
      <c r="S411" s="1038">
        <f>M411*P411</f>
        <v>215867.30000000002</v>
      </c>
      <c r="T411" s="1039"/>
      <c r="U411" s="451">
        <f t="shared" si="28"/>
        <v>2590407.6</v>
      </c>
      <c r="V411" s="451">
        <f>U411*(1+$AC$396)</f>
        <v>2713970.0425200001</v>
      </c>
      <c r="W411" s="451">
        <f>V411*(1+$AC$397)</f>
        <v>2814386.9340932397</v>
      </c>
      <c r="X411" s="451">
        <f>W411*(1+$AC$398)</f>
        <v>2901632.9290501298</v>
      </c>
      <c r="Y411" s="452">
        <f>X411*(1+$AC$399)</f>
        <v>3002899.9182739793</v>
      </c>
      <c r="Z411" s="388"/>
      <c r="AA411" s="389"/>
      <c r="AB411" s="389"/>
      <c r="AC411" s="389"/>
      <c r="AD411" s="389"/>
      <c r="AE411" s="389"/>
    </row>
    <row r="412" spans="2:32" ht="15.75" customHeight="1" x14ac:dyDescent="0.35">
      <c r="B412" s="1516" t="s">
        <v>854</v>
      </c>
      <c r="C412" s="1031"/>
      <c r="D412" s="1031"/>
      <c r="E412" s="1031"/>
      <c r="F412" s="1031"/>
      <c r="G412" s="1031"/>
      <c r="H412" s="1031"/>
      <c r="I412" s="1032"/>
      <c r="J412" s="1030" t="s">
        <v>863</v>
      </c>
      <c r="K412" s="1031"/>
      <c r="L412" s="1032"/>
      <c r="M412" s="1030">
        <v>1500000</v>
      </c>
      <c r="N412" s="1033"/>
      <c r="O412" s="1034"/>
      <c r="P412" s="1035">
        <v>5.5550000000000002E-2</v>
      </c>
      <c r="Q412" s="1036"/>
      <c r="R412" s="1037"/>
      <c r="S412" s="1038">
        <f t="shared" ref="S412:S415" si="29">M412*P412</f>
        <v>83325</v>
      </c>
      <c r="T412" s="1039"/>
      <c r="U412" s="451">
        <f t="shared" si="28"/>
        <v>999900</v>
      </c>
      <c r="V412" s="451">
        <f t="shared" ref="V412:V416" si="30">U412*(1+$AC$396)</f>
        <v>1047595.2300000001</v>
      </c>
      <c r="W412" s="451">
        <f t="shared" ref="W412:W416" si="31">V412*(1+$AC$397)</f>
        <v>1086356.25351</v>
      </c>
      <c r="X412" s="451">
        <f t="shared" ref="X412:X416" si="32">W412*(1+$AC$398)</f>
        <v>1120033.2973688098</v>
      </c>
      <c r="Y412" s="452">
        <f t="shared" ref="Y412:Y416" si="33">X412*(1+$AC$399)</f>
        <v>1159122.4594469811</v>
      </c>
      <c r="Z412" s="388"/>
      <c r="AA412" s="389"/>
      <c r="AB412" s="389"/>
      <c r="AC412" s="389"/>
      <c r="AD412" s="389"/>
      <c r="AE412" s="389"/>
    </row>
    <row r="413" spans="2:32" ht="15.75" customHeight="1" x14ac:dyDescent="0.35">
      <c r="B413" s="1516" t="s">
        <v>855</v>
      </c>
      <c r="C413" s="1031"/>
      <c r="D413" s="1031"/>
      <c r="E413" s="1031"/>
      <c r="F413" s="1031"/>
      <c r="G413" s="1031"/>
      <c r="H413" s="1031"/>
      <c r="I413" s="1032"/>
      <c r="J413" s="1030" t="s">
        <v>863</v>
      </c>
      <c r="K413" s="1031"/>
      <c r="L413" s="1032"/>
      <c r="M413" s="1030">
        <v>1068000</v>
      </c>
      <c r="N413" s="1033"/>
      <c r="O413" s="1034"/>
      <c r="P413" s="1035">
        <v>5.5550000000000002E-2</v>
      </c>
      <c r="Q413" s="1036"/>
      <c r="R413" s="1037"/>
      <c r="S413" s="1038">
        <f t="shared" si="29"/>
        <v>59327.4</v>
      </c>
      <c r="T413" s="1039"/>
      <c r="U413" s="451">
        <f t="shared" si="28"/>
        <v>711928.8</v>
      </c>
      <c r="V413" s="451">
        <f t="shared" si="30"/>
        <v>745887.80376000016</v>
      </c>
      <c r="W413" s="451">
        <f t="shared" si="31"/>
        <v>773485.6524991201</v>
      </c>
      <c r="X413" s="451">
        <f t="shared" si="32"/>
        <v>797463.70772659278</v>
      </c>
      <c r="Y413" s="452">
        <f t="shared" si="33"/>
        <v>825295.19112625078</v>
      </c>
      <c r="Z413" s="388"/>
      <c r="AA413" s="389"/>
      <c r="AB413" s="389"/>
      <c r="AC413" s="389"/>
      <c r="AD413" s="389"/>
      <c r="AE413" s="389"/>
    </row>
    <row r="414" spans="2:32" ht="15.75" customHeight="1" x14ac:dyDescent="0.35">
      <c r="B414" s="1516" t="s">
        <v>856</v>
      </c>
      <c r="C414" s="1031"/>
      <c r="D414" s="1031"/>
      <c r="E414" s="1031"/>
      <c r="F414" s="1031"/>
      <c r="G414" s="1031"/>
      <c r="H414" s="1031"/>
      <c r="I414" s="1032"/>
      <c r="J414" s="1030" t="s">
        <v>863</v>
      </c>
      <c r="K414" s="1031"/>
      <c r="L414" s="1032"/>
      <c r="M414" s="1030">
        <v>2000000</v>
      </c>
      <c r="N414" s="1033"/>
      <c r="O414" s="1034"/>
      <c r="P414" s="1035">
        <v>5.5550000000000002E-2</v>
      </c>
      <c r="Q414" s="1036"/>
      <c r="R414" s="1037"/>
      <c r="S414" s="1038">
        <f t="shared" si="29"/>
        <v>111100</v>
      </c>
      <c r="T414" s="1039"/>
      <c r="U414" s="451">
        <f t="shared" si="28"/>
        <v>1333200</v>
      </c>
      <c r="V414" s="451">
        <f t="shared" si="30"/>
        <v>1396793.6400000001</v>
      </c>
      <c r="W414" s="451">
        <f t="shared" si="31"/>
        <v>1448475.00468</v>
      </c>
      <c r="X414" s="451">
        <f t="shared" si="32"/>
        <v>1493377.7298250799</v>
      </c>
      <c r="Y414" s="452">
        <f t="shared" si="33"/>
        <v>1545496.6125959752</v>
      </c>
      <c r="Z414" s="388"/>
      <c r="AA414" s="389"/>
      <c r="AB414" s="389"/>
      <c r="AC414" s="389"/>
      <c r="AD414" s="389"/>
      <c r="AE414" s="389"/>
    </row>
    <row r="415" spans="2:32" ht="15.75" customHeight="1" x14ac:dyDescent="0.35">
      <c r="B415" s="1516" t="s">
        <v>857</v>
      </c>
      <c r="C415" s="1031"/>
      <c r="D415" s="1031"/>
      <c r="E415" s="1031"/>
      <c r="F415" s="1031"/>
      <c r="G415" s="1031"/>
      <c r="H415" s="1031"/>
      <c r="I415" s="1032"/>
      <c r="J415" s="1030" t="s">
        <v>863</v>
      </c>
      <c r="K415" s="1031"/>
      <c r="L415" s="1032"/>
      <c r="M415" s="1030">
        <v>15100000</v>
      </c>
      <c r="N415" s="1033"/>
      <c r="O415" s="1034"/>
      <c r="P415" s="1035">
        <v>5.5550000000000002E-2</v>
      </c>
      <c r="Q415" s="1036"/>
      <c r="R415" s="1037"/>
      <c r="S415" s="1038">
        <f t="shared" si="29"/>
        <v>838805</v>
      </c>
      <c r="T415" s="1039"/>
      <c r="U415" s="451">
        <f t="shared" si="28"/>
        <v>10065660</v>
      </c>
      <c r="V415" s="451">
        <f t="shared" si="30"/>
        <v>10545791.982000001</v>
      </c>
      <c r="W415" s="451">
        <f t="shared" si="31"/>
        <v>10935986.285334</v>
      </c>
      <c r="X415" s="451">
        <f t="shared" si="32"/>
        <v>11275001.860179354</v>
      </c>
      <c r="Y415" s="452">
        <f t="shared" si="33"/>
        <v>11668499.425099611</v>
      </c>
      <c r="Z415" s="388"/>
      <c r="AA415" s="389"/>
      <c r="AB415" s="389"/>
      <c r="AC415" s="389"/>
      <c r="AD415" s="389"/>
      <c r="AE415" s="389"/>
    </row>
    <row r="416" spans="2:32" ht="15.75" customHeight="1" x14ac:dyDescent="0.35">
      <c r="B416" s="1516" t="s">
        <v>1152</v>
      </c>
      <c r="C416" s="1031"/>
      <c r="D416" s="1031"/>
      <c r="E416" s="1031"/>
      <c r="F416" s="1031"/>
      <c r="G416" s="1031"/>
      <c r="H416" s="1031"/>
      <c r="I416" s="1032"/>
      <c r="J416" s="1030" t="s">
        <v>863</v>
      </c>
      <c r="K416" s="1031"/>
      <c r="L416" s="1032"/>
      <c r="M416" s="1030">
        <v>1220000</v>
      </c>
      <c r="N416" s="1033"/>
      <c r="O416" s="1034"/>
      <c r="P416" s="1035">
        <v>5.5550000000000002E-2</v>
      </c>
      <c r="Q416" s="1036"/>
      <c r="R416" s="1037"/>
      <c r="S416" s="1038">
        <f t="shared" ref="S416" si="34">M416*P416</f>
        <v>67771</v>
      </c>
      <c r="T416" s="1039"/>
      <c r="U416" s="451">
        <f t="shared" si="28"/>
        <v>813252</v>
      </c>
      <c r="V416" s="451">
        <f t="shared" si="30"/>
        <v>852044.12040000001</v>
      </c>
      <c r="W416" s="451">
        <f t="shared" si="31"/>
        <v>883569.75285479997</v>
      </c>
      <c r="X416" s="451">
        <f t="shared" si="32"/>
        <v>910960.41519329872</v>
      </c>
      <c r="Y416" s="452">
        <f t="shared" si="33"/>
        <v>942752.93368354475</v>
      </c>
      <c r="Z416" s="388"/>
      <c r="AA416" s="389"/>
      <c r="AB416" s="389"/>
      <c r="AC416" s="389"/>
      <c r="AD416" s="389"/>
      <c r="AE416" s="389"/>
    </row>
    <row r="417" spans="2:31" ht="15.75" customHeight="1" x14ac:dyDescent="0.35">
      <c r="B417" s="1516" t="s">
        <v>858</v>
      </c>
      <c r="C417" s="1031"/>
      <c r="D417" s="1031"/>
      <c r="E417" s="1031"/>
      <c r="F417" s="1031"/>
      <c r="G417" s="1031"/>
      <c r="H417" s="1031"/>
      <c r="I417" s="1032"/>
      <c r="J417" s="1030" t="s">
        <v>863</v>
      </c>
      <c r="K417" s="1031"/>
      <c r="L417" s="1032"/>
      <c r="M417" s="1030">
        <v>4400000</v>
      </c>
      <c r="N417" s="1033"/>
      <c r="O417" s="1034"/>
      <c r="P417" s="1035">
        <v>5.5550000000000002E-2</v>
      </c>
      <c r="Q417" s="1036"/>
      <c r="R417" s="1037"/>
      <c r="S417" s="1038">
        <f>M417*P417</f>
        <v>244420</v>
      </c>
      <c r="T417" s="1039"/>
      <c r="U417" s="451">
        <f t="shared" si="28"/>
        <v>2933040</v>
      </c>
      <c r="V417" s="451">
        <f>U417*(1+$AC$396)</f>
        <v>3072946.0080000004</v>
      </c>
      <c r="W417" s="451">
        <f>V417*(1+$AC$397)</f>
        <v>3186645.0102960002</v>
      </c>
      <c r="X417" s="451">
        <f>W417*(1+$AC$398)</f>
        <v>3285431.0056151757</v>
      </c>
      <c r="Y417" s="452">
        <f>X417*(1+$AC$399)</f>
        <v>3400092.5477111451</v>
      </c>
      <c r="Z417" s="388"/>
      <c r="AA417" s="389"/>
      <c r="AB417" s="389"/>
      <c r="AC417" s="389"/>
      <c r="AD417" s="389"/>
      <c r="AE417" s="389"/>
    </row>
    <row r="418" spans="2:31" ht="15.75" customHeight="1" x14ac:dyDescent="0.35">
      <c r="B418" s="1521" t="s">
        <v>710</v>
      </c>
      <c r="C418" s="1076"/>
      <c r="D418" s="1076"/>
      <c r="E418" s="1076"/>
      <c r="F418" s="1076"/>
      <c r="G418" s="1076"/>
      <c r="H418" s="1076"/>
      <c r="I418" s="1039"/>
      <c r="J418" s="455"/>
      <c r="K418" s="395"/>
      <c r="L418" s="395"/>
      <c r="M418" s="395"/>
      <c r="N418" s="395"/>
      <c r="O418" s="395"/>
      <c r="P418" s="395"/>
      <c r="Q418" s="395"/>
      <c r="R418" s="395"/>
      <c r="S418" s="1522">
        <f>SUM(S410:T417)</f>
        <v>1787265.7000000002</v>
      </c>
      <c r="T418" s="1523"/>
      <c r="U418" s="456">
        <f>SUM(U410:U417)</f>
        <v>21447188.399999999</v>
      </c>
      <c r="V418" s="456">
        <f>SUM(V410:V417)</f>
        <v>22470219.286680002</v>
      </c>
      <c r="W418" s="456">
        <f>SUM(W410:W417)</f>
        <v>23301617.400287159</v>
      </c>
      <c r="X418" s="456">
        <f>SUM(X410:X417)</f>
        <v>24023967.53969606</v>
      </c>
      <c r="Y418" s="457">
        <f>SUM(Y410:Y417)</f>
        <v>24862404.006831449</v>
      </c>
      <c r="Z418" s="388"/>
      <c r="AA418" s="389"/>
      <c r="AB418" s="389"/>
      <c r="AC418" s="389"/>
      <c r="AD418" s="389"/>
      <c r="AE418" s="389"/>
    </row>
    <row r="419" spans="2:31" ht="17.25" customHeight="1" thickBot="1" x14ac:dyDescent="0.4">
      <c r="B419" s="1527" t="s">
        <v>1178</v>
      </c>
      <c r="C419" s="1062"/>
      <c r="D419" s="1062"/>
      <c r="E419" s="1062"/>
      <c r="F419" s="1062"/>
      <c r="G419" s="1062"/>
      <c r="H419" s="1062"/>
      <c r="I419" s="1063"/>
      <c r="J419" s="458"/>
      <c r="K419" s="394"/>
      <c r="L419" s="394"/>
      <c r="M419" s="394"/>
      <c r="N419" s="394"/>
      <c r="O419" s="394"/>
      <c r="P419" s="394"/>
      <c r="Q419" s="394"/>
      <c r="R419" s="394"/>
      <c r="S419" s="1528">
        <f>+S401+S408+S418</f>
        <v>3120813.3847826086</v>
      </c>
      <c r="T419" s="1529"/>
      <c r="U419" s="459">
        <f>U401+U408+U418</f>
        <v>37449760.617391303</v>
      </c>
      <c r="V419" s="459">
        <f>V401+V408+V418</f>
        <v>39236114.198840871</v>
      </c>
      <c r="W419" s="459">
        <f>W401+W408+W418</f>
        <v>40687850.424197979</v>
      </c>
      <c r="X419" s="459">
        <f>X401+X408+X418</f>
        <v>41949173.787348114</v>
      </c>
      <c r="Y419" s="460">
        <f>Y401+Y408+Y418</f>
        <v>43413199.952526554</v>
      </c>
      <c r="Z419" s="388"/>
      <c r="AA419" s="389"/>
      <c r="AB419" s="389"/>
      <c r="AC419" s="389"/>
      <c r="AD419" s="389"/>
      <c r="AE419" s="389"/>
    </row>
    <row r="420" spans="2:31" ht="15" hidden="1" customHeight="1" x14ac:dyDescent="0.35">
      <c r="B420" s="388"/>
      <c r="C420" s="388"/>
      <c r="D420" s="388"/>
      <c r="E420" s="388"/>
      <c r="F420" s="388"/>
      <c r="G420" s="388"/>
      <c r="H420" s="388"/>
      <c r="I420" s="388"/>
      <c r="J420" s="388"/>
      <c r="K420" s="388"/>
      <c r="L420" s="388"/>
      <c r="M420" s="388"/>
      <c r="N420" s="388"/>
      <c r="O420" s="388"/>
      <c r="P420" s="388"/>
      <c r="Q420" s="388"/>
      <c r="R420" s="388"/>
      <c r="S420" s="388"/>
      <c r="T420" s="388"/>
      <c r="U420" s="388"/>
      <c r="V420" s="388"/>
      <c r="W420" s="388"/>
      <c r="X420" s="388"/>
      <c r="Y420" s="388"/>
      <c r="Z420" s="388"/>
      <c r="AA420" s="389"/>
      <c r="AB420" s="389"/>
      <c r="AC420" s="389"/>
      <c r="AD420" s="389"/>
      <c r="AE420" s="389"/>
    </row>
    <row r="421" spans="2:31" ht="24" hidden="1" customHeight="1" thickBot="1" x14ac:dyDescent="0.4">
      <c r="B421" s="1368" t="s">
        <v>711</v>
      </c>
      <c r="C421" s="1369"/>
      <c r="D421" s="1530" t="str">
        <f>'Estudio de Mercados'!$B$226</f>
        <v>Escriba aquì el nombre de su producto ó servicio 2</v>
      </c>
      <c r="E421" s="1530"/>
      <c r="F421" s="1530"/>
      <c r="G421" s="1530"/>
      <c r="H421" s="1530"/>
      <c r="I421" s="1531"/>
      <c r="J421" s="388"/>
      <c r="K421" s="388"/>
      <c r="L421" s="388"/>
      <c r="M421" s="388"/>
      <c r="N421" s="388"/>
      <c r="O421" s="388"/>
      <c r="P421" s="388"/>
      <c r="Q421" s="388"/>
      <c r="R421" s="388"/>
      <c r="S421" s="388"/>
      <c r="T421" s="388"/>
      <c r="U421" s="392"/>
      <c r="V421" s="392"/>
      <c r="W421" s="392"/>
      <c r="X421" s="392"/>
      <c r="Y421" s="392"/>
      <c r="Z421" s="392"/>
      <c r="AA421" s="393"/>
      <c r="AB421" s="393"/>
      <c r="AC421" s="393"/>
      <c r="AD421" s="393"/>
      <c r="AE421" s="393"/>
    </row>
    <row r="422" spans="2:31" ht="15" hidden="1" customHeight="1" thickBot="1" x14ac:dyDescent="0.4">
      <c r="B422" s="388"/>
      <c r="C422" s="388"/>
      <c r="D422" s="388"/>
      <c r="E422" s="388"/>
      <c r="F422" s="388"/>
      <c r="G422" s="388"/>
      <c r="H422" s="388"/>
      <c r="I422" s="388"/>
      <c r="J422" s="388"/>
      <c r="K422" s="388"/>
      <c r="L422" s="388"/>
      <c r="M422" s="388"/>
      <c r="N422" s="388"/>
      <c r="O422" s="388"/>
      <c r="P422" s="388"/>
      <c r="Q422" s="388"/>
      <c r="R422" s="388"/>
      <c r="S422" s="388"/>
      <c r="T422" s="388"/>
      <c r="U422" s="388"/>
      <c r="V422" s="388"/>
      <c r="W422" s="388"/>
      <c r="X422" s="388"/>
      <c r="Y422" s="388"/>
      <c r="Z422" s="388"/>
      <c r="AA422" s="389"/>
      <c r="AB422" s="389"/>
      <c r="AC422" s="389"/>
      <c r="AD422" s="389"/>
      <c r="AE422" s="389"/>
    </row>
    <row r="423" spans="2:31" ht="31.5" hidden="1" customHeight="1" thickBot="1" x14ac:dyDescent="0.4">
      <c r="B423" s="1306" t="s">
        <v>702</v>
      </c>
      <c r="C423" s="1307"/>
      <c r="D423" s="1307"/>
      <c r="E423" s="1307"/>
      <c r="F423" s="1307"/>
      <c r="G423" s="1307"/>
      <c r="H423" s="1307"/>
      <c r="I423" s="1316"/>
      <c r="J423" s="1511" t="s">
        <v>630</v>
      </c>
      <c r="K423" s="1307"/>
      <c r="L423" s="1316"/>
      <c r="M423" s="1105" t="s">
        <v>703</v>
      </c>
      <c r="N423" s="1302"/>
      <c r="O423" s="1303"/>
      <c r="P423" s="1515" t="s">
        <v>704</v>
      </c>
      <c r="Q423" s="1307"/>
      <c r="R423" s="1316"/>
      <c r="S423" s="1511" t="s">
        <v>618</v>
      </c>
      <c r="T423" s="1307"/>
      <c r="U423" s="447" t="s">
        <v>631</v>
      </c>
      <c r="V423" s="447" t="s">
        <v>632</v>
      </c>
      <c r="W423" s="447" t="s">
        <v>633</v>
      </c>
      <c r="X423" s="447" t="s">
        <v>634</v>
      </c>
      <c r="Y423" s="448" t="s">
        <v>635</v>
      </c>
      <c r="Z423" s="388"/>
      <c r="AA423" s="389"/>
      <c r="AB423" s="389"/>
      <c r="AC423" s="389"/>
      <c r="AD423" s="389"/>
      <c r="AE423" s="389"/>
    </row>
    <row r="424" spans="2:31" ht="15.75" hidden="1" customHeight="1" x14ac:dyDescent="0.35">
      <c r="B424" s="1532"/>
      <c r="C424" s="1310"/>
      <c r="D424" s="1310"/>
      <c r="E424" s="1310"/>
      <c r="F424" s="1310"/>
      <c r="G424" s="1310"/>
      <c r="H424" s="1310"/>
      <c r="I424" s="1311"/>
      <c r="J424" s="1314"/>
      <c r="K424" s="1310"/>
      <c r="L424" s="1311"/>
      <c r="M424" s="1314"/>
      <c r="N424" s="1533"/>
      <c r="O424" s="1534"/>
      <c r="P424" s="1535"/>
      <c r="Q424" s="1310"/>
      <c r="R424" s="1311"/>
      <c r="S424" s="1536">
        <f>M424*P424</f>
        <v>0</v>
      </c>
      <c r="T424" s="1256"/>
      <c r="U424" s="461">
        <f>S424</f>
        <v>0</v>
      </c>
      <c r="V424" s="461">
        <f>U424*(1+$AC$396)</f>
        <v>0</v>
      </c>
      <c r="W424" s="461">
        <f>V424*(1+$AC$397)</f>
        <v>0</v>
      </c>
      <c r="X424" s="461">
        <f>W424*(1+$AC$398)</f>
        <v>0</v>
      </c>
      <c r="Y424" s="462">
        <f>X424*(1+$AC$399)</f>
        <v>0</v>
      </c>
      <c r="Z424" s="388"/>
      <c r="AA424" s="389"/>
      <c r="AB424" s="389"/>
      <c r="AC424" s="389"/>
      <c r="AD424" s="389"/>
      <c r="AE424" s="389"/>
    </row>
    <row r="425" spans="2:31" ht="15.75" hidden="1" customHeight="1" x14ac:dyDescent="0.35">
      <c r="B425" s="1516"/>
      <c r="C425" s="1031"/>
      <c r="D425" s="1031"/>
      <c r="E425" s="1031"/>
      <c r="F425" s="1031"/>
      <c r="G425" s="1031"/>
      <c r="H425" s="1031"/>
      <c r="I425" s="1032"/>
      <c r="J425" s="1030"/>
      <c r="K425" s="1031"/>
      <c r="L425" s="1032"/>
      <c r="M425" s="1030"/>
      <c r="N425" s="1033"/>
      <c r="O425" s="1034"/>
      <c r="P425" s="1035"/>
      <c r="Q425" s="1031"/>
      <c r="R425" s="1032"/>
      <c r="S425" s="1038">
        <f>M425*P425</f>
        <v>0</v>
      </c>
      <c r="T425" s="1039"/>
      <c r="U425" s="451">
        <f>S425</f>
        <v>0</v>
      </c>
      <c r="V425" s="451">
        <f>U425*(1+$AC$396)</f>
        <v>0</v>
      </c>
      <c r="W425" s="451">
        <f>V425*(1+$AC$397)</f>
        <v>0</v>
      </c>
      <c r="X425" s="451">
        <f>W425*(1+$AC$398)</f>
        <v>0</v>
      </c>
      <c r="Y425" s="452">
        <f>X425*(1+$AC$399)</f>
        <v>0</v>
      </c>
      <c r="Z425" s="388"/>
      <c r="AA425" s="389"/>
      <c r="AB425" s="389"/>
      <c r="AC425" s="389"/>
      <c r="AD425" s="389"/>
      <c r="AE425" s="389"/>
    </row>
    <row r="426" spans="2:31" ht="15.75" hidden="1" customHeight="1" x14ac:dyDescent="0.35">
      <c r="B426" s="1516"/>
      <c r="C426" s="1031"/>
      <c r="D426" s="1031"/>
      <c r="E426" s="1031"/>
      <c r="F426" s="1031"/>
      <c r="G426" s="1031"/>
      <c r="H426" s="1031"/>
      <c r="I426" s="1032"/>
      <c r="J426" s="1030"/>
      <c r="K426" s="1031"/>
      <c r="L426" s="1032"/>
      <c r="M426" s="1030"/>
      <c r="N426" s="1033"/>
      <c r="O426" s="1034"/>
      <c r="P426" s="1035"/>
      <c r="Q426" s="1031"/>
      <c r="R426" s="1032"/>
      <c r="S426" s="1038">
        <f>M426*P426</f>
        <v>0</v>
      </c>
      <c r="T426" s="1039"/>
      <c r="U426" s="451">
        <f>S426</f>
        <v>0</v>
      </c>
      <c r="V426" s="451">
        <f>U426*(1+$AC$396)</f>
        <v>0</v>
      </c>
      <c r="W426" s="451">
        <f>V426*(1+$AC$397)</f>
        <v>0</v>
      </c>
      <c r="X426" s="451">
        <f>W426*(1+$AC$398)</f>
        <v>0</v>
      </c>
      <c r="Y426" s="452">
        <f>X426*(1+$AC$399)</f>
        <v>0</v>
      </c>
      <c r="Z426" s="388"/>
      <c r="AA426" s="389"/>
      <c r="AB426" s="463"/>
      <c r="AC426" s="389"/>
      <c r="AD426" s="389"/>
      <c r="AE426" s="389"/>
    </row>
    <row r="427" spans="2:31" ht="15.75" hidden="1" customHeight="1" x14ac:dyDescent="0.35">
      <c r="B427" s="1516"/>
      <c r="C427" s="1031"/>
      <c r="D427" s="1031"/>
      <c r="E427" s="1031"/>
      <c r="F427" s="1031"/>
      <c r="G427" s="1031"/>
      <c r="H427" s="1031"/>
      <c r="I427" s="1032"/>
      <c r="J427" s="1030"/>
      <c r="K427" s="1031"/>
      <c r="L427" s="1032"/>
      <c r="M427" s="1030"/>
      <c r="N427" s="1033"/>
      <c r="O427" s="1034"/>
      <c r="P427" s="1035"/>
      <c r="Q427" s="1031"/>
      <c r="R427" s="1032"/>
      <c r="S427" s="1038">
        <f>M427*P427</f>
        <v>0</v>
      </c>
      <c r="T427" s="1039"/>
      <c r="U427" s="451">
        <f>S427</f>
        <v>0</v>
      </c>
      <c r="V427" s="451">
        <f>U427*(1+$AC$396)</f>
        <v>0</v>
      </c>
      <c r="W427" s="451">
        <f>V427*(1+$AC$397)</f>
        <v>0</v>
      </c>
      <c r="X427" s="451">
        <f>W427*(1+$AC$398)</f>
        <v>0</v>
      </c>
      <c r="Y427" s="452">
        <f>X427*(1+$AC$399)</f>
        <v>0</v>
      </c>
      <c r="Z427" s="388"/>
      <c r="AA427" s="389"/>
      <c r="AB427" s="464"/>
      <c r="AC427" s="389"/>
      <c r="AD427" s="389"/>
      <c r="AE427" s="389"/>
    </row>
    <row r="428" spans="2:31" ht="15.75" hidden="1" customHeight="1" x14ac:dyDescent="0.35">
      <c r="B428" s="1516"/>
      <c r="C428" s="1031"/>
      <c r="D428" s="1031"/>
      <c r="E428" s="1031"/>
      <c r="F428" s="1031"/>
      <c r="G428" s="1031"/>
      <c r="H428" s="1031"/>
      <c r="I428" s="1032"/>
      <c r="J428" s="1030"/>
      <c r="K428" s="1031"/>
      <c r="L428" s="1032"/>
      <c r="M428" s="1030"/>
      <c r="N428" s="1033"/>
      <c r="O428" s="1034"/>
      <c r="P428" s="1035"/>
      <c r="Q428" s="1031"/>
      <c r="R428" s="1032"/>
      <c r="S428" s="1038">
        <f>M428*P428</f>
        <v>0</v>
      </c>
      <c r="T428" s="1039"/>
      <c r="U428" s="451">
        <f>S428</f>
        <v>0</v>
      </c>
      <c r="V428" s="451">
        <f>U428*(1+$AC$396)</f>
        <v>0</v>
      </c>
      <c r="W428" s="451">
        <f>V428*(1+$AC$397)</f>
        <v>0</v>
      </c>
      <c r="X428" s="451">
        <f>W428*(1+$AC$398)</f>
        <v>0</v>
      </c>
      <c r="Y428" s="452">
        <f>X428*(1+$AC$399)</f>
        <v>0</v>
      </c>
      <c r="Z428" s="388"/>
      <c r="AA428" s="389"/>
      <c r="AB428" s="464"/>
      <c r="AC428" s="389"/>
      <c r="AD428" s="389"/>
      <c r="AE428" s="389"/>
    </row>
    <row r="429" spans="2:31" ht="15.75" hidden="1" customHeight="1" x14ac:dyDescent="0.35">
      <c r="B429" s="1521" t="s">
        <v>706</v>
      </c>
      <c r="C429" s="1076"/>
      <c r="D429" s="1076"/>
      <c r="E429" s="1076"/>
      <c r="F429" s="1076"/>
      <c r="G429" s="1076"/>
      <c r="H429" s="1076"/>
      <c r="I429" s="1039"/>
      <c r="J429" s="455"/>
      <c r="K429" s="395"/>
      <c r="L429" s="395"/>
      <c r="M429" s="395"/>
      <c r="N429" s="395"/>
      <c r="O429" s="395"/>
      <c r="P429" s="395"/>
      <c r="Q429" s="395"/>
      <c r="R429" s="395"/>
      <c r="S429" s="1522">
        <f>SUM(S424:T428)</f>
        <v>0</v>
      </c>
      <c r="T429" s="1523"/>
      <c r="U429" s="456">
        <f>SUM(U424:U428)</f>
        <v>0</v>
      </c>
      <c r="V429" s="456">
        <f>SUM(V424:V428)</f>
        <v>0</v>
      </c>
      <c r="W429" s="456">
        <f>SUM(W424:W428)</f>
        <v>0</v>
      </c>
      <c r="X429" s="456">
        <f>SUM(X424:X428)</f>
        <v>0</v>
      </c>
      <c r="Y429" s="457">
        <f>SUM(Y424:Y428)</f>
        <v>0</v>
      </c>
      <c r="Z429" s="388"/>
      <c r="AA429" s="389"/>
      <c r="AB429" s="464"/>
      <c r="AC429" s="389"/>
      <c r="AD429" s="389"/>
      <c r="AE429" s="389"/>
    </row>
    <row r="430" spans="2:31" ht="17.25" hidden="1" customHeight="1" x14ac:dyDescent="0.35">
      <c r="B430" s="1524" t="s">
        <v>707</v>
      </c>
      <c r="C430" s="1076"/>
      <c r="D430" s="1076"/>
      <c r="E430" s="1076"/>
      <c r="F430" s="1076"/>
      <c r="G430" s="1076"/>
      <c r="H430" s="1076"/>
      <c r="I430" s="1039"/>
      <c r="J430" s="1038"/>
      <c r="K430" s="1525"/>
      <c r="L430" s="1525"/>
      <c r="M430" s="1525"/>
      <c r="N430" s="1525"/>
      <c r="O430" s="1525"/>
      <c r="P430" s="1525"/>
      <c r="Q430" s="1525"/>
      <c r="R430" s="1525"/>
      <c r="S430" s="1525"/>
      <c r="T430" s="1526"/>
      <c r="U430" s="451"/>
      <c r="V430" s="451"/>
      <c r="W430" s="451"/>
      <c r="X430" s="451"/>
      <c r="Y430" s="452"/>
      <c r="Z430" s="388"/>
      <c r="AA430" s="389"/>
      <c r="AB430" s="464"/>
      <c r="AC430" s="389"/>
      <c r="AD430" s="389"/>
      <c r="AE430" s="389"/>
    </row>
    <row r="431" spans="2:31" ht="15.75" hidden="1" customHeight="1" x14ac:dyDescent="0.35">
      <c r="B431" s="1516"/>
      <c r="C431" s="1031"/>
      <c r="D431" s="1031"/>
      <c r="E431" s="1031"/>
      <c r="F431" s="1031"/>
      <c r="G431" s="1031"/>
      <c r="H431" s="1031"/>
      <c r="I431" s="1032"/>
      <c r="J431" s="1030"/>
      <c r="K431" s="1031"/>
      <c r="L431" s="1032"/>
      <c r="M431" s="1030"/>
      <c r="N431" s="1033"/>
      <c r="O431" s="1034"/>
      <c r="P431" s="1035"/>
      <c r="Q431" s="1031"/>
      <c r="R431" s="1032"/>
      <c r="S431" s="1038">
        <f>M431*P431</f>
        <v>0</v>
      </c>
      <c r="T431" s="1039"/>
      <c r="U431" s="451">
        <f>S431</f>
        <v>0</v>
      </c>
      <c r="V431" s="451">
        <f>U431*(1+$AC$396)</f>
        <v>0</v>
      </c>
      <c r="W431" s="451">
        <f>V431*(1+$AC$397)</f>
        <v>0</v>
      </c>
      <c r="X431" s="451">
        <f>W431*(1+$AC$398)</f>
        <v>0</v>
      </c>
      <c r="Y431" s="452">
        <f>X431*(1+$AC$399)</f>
        <v>0</v>
      </c>
      <c r="Z431" s="388"/>
      <c r="AA431" s="389"/>
      <c r="AB431" s="389"/>
      <c r="AC431" s="389"/>
      <c r="AD431" s="389"/>
      <c r="AE431" s="389"/>
    </row>
    <row r="432" spans="2:31" ht="15.75" hidden="1" customHeight="1" x14ac:dyDescent="0.35">
      <c r="B432" s="1516"/>
      <c r="C432" s="1031"/>
      <c r="D432" s="1031"/>
      <c r="E432" s="1031"/>
      <c r="F432" s="1031"/>
      <c r="G432" s="1031"/>
      <c r="H432" s="1031"/>
      <c r="I432" s="1032"/>
      <c r="J432" s="1030"/>
      <c r="K432" s="1031"/>
      <c r="L432" s="1032"/>
      <c r="M432" s="1030"/>
      <c r="N432" s="1033"/>
      <c r="O432" s="1034"/>
      <c r="P432" s="1035"/>
      <c r="Q432" s="1031"/>
      <c r="R432" s="1032"/>
      <c r="S432" s="1038">
        <f>M432*P432</f>
        <v>0</v>
      </c>
      <c r="T432" s="1039"/>
      <c r="U432" s="451">
        <f>S432</f>
        <v>0</v>
      </c>
      <c r="V432" s="451">
        <f>U432*(1+$AC$396)</f>
        <v>0</v>
      </c>
      <c r="W432" s="451">
        <f>V432*(1+$AC$397)</f>
        <v>0</v>
      </c>
      <c r="X432" s="451">
        <f>W432*(1+$AC$398)</f>
        <v>0</v>
      </c>
      <c r="Y432" s="452">
        <f>X432*(1+$AC$399)</f>
        <v>0</v>
      </c>
      <c r="Z432" s="388"/>
      <c r="AA432" s="389"/>
      <c r="AB432" s="389"/>
      <c r="AC432" s="389"/>
      <c r="AD432" s="389"/>
      <c r="AE432" s="389"/>
    </row>
    <row r="433" spans="2:31" ht="15.75" hidden="1" customHeight="1" x14ac:dyDescent="0.35">
      <c r="B433" s="1516"/>
      <c r="C433" s="1031"/>
      <c r="D433" s="1031"/>
      <c r="E433" s="1031"/>
      <c r="F433" s="1031"/>
      <c r="G433" s="1031"/>
      <c r="H433" s="1031"/>
      <c r="I433" s="1032"/>
      <c r="J433" s="1030"/>
      <c r="K433" s="1031"/>
      <c r="L433" s="1032"/>
      <c r="M433" s="1030"/>
      <c r="N433" s="1033"/>
      <c r="O433" s="1034"/>
      <c r="P433" s="1035"/>
      <c r="Q433" s="1031"/>
      <c r="R433" s="1032"/>
      <c r="S433" s="1038">
        <f>M433*P433</f>
        <v>0</v>
      </c>
      <c r="T433" s="1039"/>
      <c r="U433" s="451">
        <f>S433</f>
        <v>0</v>
      </c>
      <c r="V433" s="451">
        <f>U433*(1+$AC$396)</f>
        <v>0</v>
      </c>
      <c r="W433" s="451">
        <f>V433*(1+$AC$397)</f>
        <v>0</v>
      </c>
      <c r="X433" s="451">
        <f>W433*(1+$AC$398)</f>
        <v>0</v>
      </c>
      <c r="Y433" s="452">
        <f>X433*(1+$AC$399)</f>
        <v>0</v>
      </c>
      <c r="Z433" s="388"/>
      <c r="AA433" s="389"/>
      <c r="AB433" s="389"/>
      <c r="AC433" s="389"/>
      <c r="AD433" s="389"/>
      <c r="AE433" s="389"/>
    </row>
    <row r="434" spans="2:31" ht="15.75" hidden="1" customHeight="1" x14ac:dyDescent="0.35">
      <c r="B434" s="1516"/>
      <c r="C434" s="1031"/>
      <c r="D434" s="1031"/>
      <c r="E434" s="1031"/>
      <c r="F434" s="1031"/>
      <c r="G434" s="1031"/>
      <c r="H434" s="1031"/>
      <c r="I434" s="1032"/>
      <c r="J434" s="1030"/>
      <c r="K434" s="1031"/>
      <c r="L434" s="1032"/>
      <c r="M434" s="1030"/>
      <c r="N434" s="1033"/>
      <c r="O434" s="1034"/>
      <c r="P434" s="1035"/>
      <c r="Q434" s="1031"/>
      <c r="R434" s="1032"/>
      <c r="S434" s="1038">
        <f>M434*P434</f>
        <v>0</v>
      </c>
      <c r="T434" s="1039"/>
      <c r="U434" s="451">
        <f>S434</f>
        <v>0</v>
      </c>
      <c r="V434" s="451">
        <f>U434*(1+$AC$396)</f>
        <v>0</v>
      </c>
      <c r="W434" s="451">
        <f>V434*(1+$AC$397)</f>
        <v>0</v>
      </c>
      <c r="X434" s="451">
        <f>W434*(1+$AC$398)</f>
        <v>0</v>
      </c>
      <c r="Y434" s="452">
        <f>X434*(1+$AC$399)</f>
        <v>0</v>
      </c>
      <c r="Z434" s="388"/>
      <c r="AA434" s="389"/>
      <c r="AB434" s="389"/>
      <c r="AC434" s="389"/>
      <c r="AD434" s="389"/>
      <c r="AE434" s="389"/>
    </row>
    <row r="435" spans="2:31" ht="15.75" hidden="1" customHeight="1" x14ac:dyDescent="0.35">
      <c r="B435" s="1521" t="s">
        <v>708</v>
      </c>
      <c r="C435" s="1076"/>
      <c r="D435" s="1076"/>
      <c r="E435" s="1076"/>
      <c r="F435" s="1076"/>
      <c r="G435" s="1076"/>
      <c r="H435" s="1076"/>
      <c r="I435" s="1039"/>
      <c r="J435" s="455"/>
      <c r="K435" s="395"/>
      <c r="L435" s="395"/>
      <c r="M435" s="395"/>
      <c r="N435" s="395"/>
      <c r="O435" s="395"/>
      <c r="P435" s="395"/>
      <c r="Q435" s="395"/>
      <c r="R435" s="395"/>
      <c r="S435" s="1522">
        <f>SUM(S431:T434)</f>
        <v>0</v>
      </c>
      <c r="T435" s="1523"/>
      <c r="U435" s="456">
        <f>SUM(U431:U434)</f>
        <v>0</v>
      </c>
      <c r="V435" s="456">
        <f>SUM(V431:V434)</f>
        <v>0</v>
      </c>
      <c r="W435" s="456">
        <f>SUM(W431:W434)</f>
        <v>0</v>
      </c>
      <c r="X435" s="456">
        <f>SUM(X431:X434)</f>
        <v>0</v>
      </c>
      <c r="Y435" s="457">
        <f>SUM(Y431:Y434)</f>
        <v>0</v>
      </c>
      <c r="Z435" s="388"/>
      <c r="AA435" s="389"/>
      <c r="AB435" s="389"/>
      <c r="AC435" s="389"/>
      <c r="AD435" s="389"/>
      <c r="AE435" s="389"/>
    </row>
    <row r="436" spans="2:31" ht="15.75" hidden="1" customHeight="1" x14ac:dyDescent="0.35">
      <c r="B436" s="1524" t="s">
        <v>709</v>
      </c>
      <c r="C436" s="1076"/>
      <c r="D436" s="1076"/>
      <c r="E436" s="1076"/>
      <c r="F436" s="1076"/>
      <c r="G436" s="1076"/>
      <c r="H436" s="1076"/>
      <c r="I436" s="1039"/>
      <c r="J436" s="1038"/>
      <c r="K436" s="1076"/>
      <c r="L436" s="1039"/>
      <c r="M436" s="1038"/>
      <c r="N436" s="1525"/>
      <c r="O436" s="1526"/>
      <c r="P436" s="1537"/>
      <c r="Q436" s="1076"/>
      <c r="R436" s="1039"/>
      <c r="S436" s="1038"/>
      <c r="T436" s="1039"/>
      <c r="U436" s="451"/>
      <c r="V436" s="451"/>
      <c r="W436" s="451"/>
      <c r="X436" s="451"/>
      <c r="Y436" s="452"/>
      <c r="Z436" s="388"/>
      <c r="AA436" s="389"/>
      <c r="AB436" s="389"/>
      <c r="AC436" s="389"/>
      <c r="AD436" s="389"/>
      <c r="AE436" s="389"/>
    </row>
    <row r="437" spans="2:31" ht="15.75" hidden="1" customHeight="1" x14ac:dyDescent="0.35">
      <c r="B437" s="1516"/>
      <c r="C437" s="1031"/>
      <c r="D437" s="1031"/>
      <c r="E437" s="1031"/>
      <c r="F437" s="1031"/>
      <c r="G437" s="1031"/>
      <c r="H437" s="1031"/>
      <c r="I437" s="1032"/>
      <c r="J437" s="1030"/>
      <c r="K437" s="1031"/>
      <c r="L437" s="1032"/>
      <c r="M437" s="1030"/>
      <c r="N437" s="1033"/>
      <c r="O437" s="1034"/>
      <c r="P437" s="1035"/>
      <c r="Q437" s="1031"/>
      <c r="R437" s="1032"/>
      <c r="S437" s="1038">
        <f>M437*P437</f>
        <v>0</v>
      </c>
      <c r="T437" s="1039"/>
      <c r="U437" s="451">
        <f>S437</f>
        <v>0</v>
      </c>
      <c r="V437" s="451">
        <f>U437*(1+$AC$396)</f>
        <v>0</v>
      </c>
      <c r="W437" s="451">
        <f>V437*(1+$AC$397)</f>
        <v>0</v>
      </c>
      <c r="X437" s="451">
        <f>W437*(1+$AC$398)</f>
        <v>0</v>
      </c>
      <c r="Y437" s="452">
        <f>X437*(1+$AC$399)</f>
        <v>0</v>
      </c>
      <c r="Z437" s="388"/>
      <c r="AA437" s="389"/>
      <c r="AB437" s="389"/>
      <c r="AC437" s="389"/>
      <c r="AD437" s="389"/>
      <c r="AE437" s="389"/>
    </row>
    <row r="438" spans="2:31" ht="15.75" hidden="1" customHeight="1" x14ac:dyDescent="0.35">
      <c r="B438" s="1516"/>
      <c r="C438" s="1031"/>
      <c r="D438" s="1031"/>
      <c r="E438" s="1031"/>
      <c r="F438" s="1031"/>
      <c r="G438" s="1031"/>
      <c r="H438" s="1031"/>
      <c r="I438" s="1032"/>
      <c r="J438" s="1030"/>
      <c r="K438" s="1031"/>
      <c r="L438" s="1032"/>
      <c r="M438" s="1030"/>
      <c r="N438" s="1033"/>
      <c r="O438" s="1034"/>
      <c r="P438" s="1035"/>
      <c r="Q438" s="1031"/>
      <c r="R438" s="1032"/>
      <c r="S438" s="1038">
        <f>M438*P438</f>
        <v>0</v>
      </c>
      <c r="T438" s="1039"/>
      <c r="U438" s="451">
        <f>S438</f>
        <v>0</v>
      </c>
      <c r="V438" s="451">
        <f>U438*(1+$AC$396)</f>
        <v>0</v>
      </c>
      <c r="W438" s="451">
        <f>V438*(1+$AC$397)</f>
        <v>0</v>
      </c>
      <c r="X438" s="451">
        <f>W438*(1+$AC$398)</f>
        <v>0</v>
      </c>
      <c r="Y438" s="452">
        <f>X438*(1+$AC$399)</f>
        <v>0</v>
      </c>
      <c r="Z438" s="388"/>
      <c r="AA438" s="389"/>
      <c r="AB438" s="389"/>
      <c r="AC438" s="389"/>
      <c r="AD438" s="389"/>
      <c r="AE438" s="389"/>
    </row>
    <row r="439" spans="2:31" ht="15.75" hidden="1" customHeight="1" x14ac:dyDescent="0.35">
      <c r="B439" s="1516"/>
      <c r="C439" s="1031"/>
      <c r="D439" s="1031"/>
      <c r="E439" s="1031"/>
      <c r="F439" s="1031"/>
      <c r="G439" s="1031"/>
      <c r="H439" s="1031"/>
      <c r="I439" s="1032"/>
      <c r="J439" s="1030"/>
      <c r="K439" s="1031"/>
      <c r="L439" s="1032"/>
      <c r="M439" s="1030"/>
      <c r="N439" s="1033"/>
      <c r="O439" s="1034"/>
      <c r="P439" s="1035"/>
      <c r="Q439" s="1031"/>
      <c r="R439" s="1032"/>
      <c r="S439" s="1038">
        <f>M439*P439</f>
        <v>0</v>
      </c>
      <c r="T439" s="1039"/>
      <c r="U439" s="451">
        <f>S439</f>
        <v>0</v>
      </c>
      <c r="V439" s="451">
        <f>U439*(1+$AC$396)</f>
        <v>0</v>
      </c>
      <c r="W439" s="451">
        <f>V439*(1+$AC$397)</f>
        <v>0</v>
      </c>
      <c r="X439" s="451">
        <f>W439*(1+$AC$398)</f>
        <v>0</v>
      </c>
      <c r="Y439" s="452">
        <f>X439*(1+$AC$399)</f>
        <v>0</v>
      </c>
      <c r="Z439" s="388"/>
      <c r="AA439" s="389"/>
      <c r="AB439" s="389"/>
      <c r="AC439" s="389"/>
      <c r="AD439" s="389"/>
      <c r="AE439" s="389"/>
    </row>
    <row r="440" spans="2:31" ht="15.75" hidden="1" customHeight="1" x14ac:dyDescent="0.35">
      <c r="B440" s="1516"/>
      <c r="C440" s="1031"/>
      <c r="D440" s="1031"/>
      <c r="E440" s="1031"/>
      <c r="F440" s="1031"/>
      <c r="G440" s="1031"/>
      <c r="H440" s="1031"/>
      <c r="I440" s="1032"/>
      <c r="J440" s="1030"/>
      <c r="K440" s="1031"/>
      <c r="L440" s="1032"/>
      <c r="M440" s="1030"/>
      <c r="N440" s="1033"/>
      <c r="O440" s="1034"/>
      <c r="P440" s="1035"/>
      <c r="Q440" s="1031"/>
      <c r="R440" s="1032"/>
      <c r="S440" s="1038">
        <f>M440*P440</f>
        <v>0</v>
      </c>
      <c r="T440" s="1039"/>
      <c r="U440" s="451">
        <f>S440</f>
        <v>0</v>
      </c>
      <c r="V440" s="451">
        <f>U440*(1+$AC$396)</f>
        <v>0</v>
      </c>
      <c r="W440" s="451">
        <f>V440*(1+$AC$397)</f>
        <v>0</v>
      </c>
      <c r="X440" s="451">
        <f>W440*(1+$AC$398)</f>
        <v>0</v>
      </c>
      <c r="Y440" s="452">
        <f>X440*(1+$AC$399)</f>
        <v>0</v>
      </c>
      <c r="Z440" s="388"/>
      <c r="AA440" s="389"/>
      <c r="AB440" s="389"/>
      <c r="AC440" s="389"/>
      <c r="AD440" s="389"/>
      <c r="AE440" s="389"/>
    </row>
    <row r="441" spans="2:31" ht="15.75" hidden="1" customHeight="1" x14ac:dyDescent="0.35">
      <c r="B441" s="1516"/>
      <c r="C441" s="1031"/>
      <c r="D441" s="1031"/>
      <c r="E441" s="1031"/>
      <c r="F441" s="1031"/>
      <c r="G441" s="1031"/>
      <c r="H441" s="1031"/>
      <c r="I441" s="1032"/>
      <c r="J441" s="1030"/>
      <c r="K441" s="1031"/>
      <c r="L441" s="1032"/>
      <c r="M441" s="1030"/>
      <c r="N441" s="1033"/>
      <c r="O441" s="1034"/>
      <c r="P441" s="1035"/>
      <c r="Q441" s="1031"/>
      <c r="R441" s="1032"/>
      <c r="S441" s="1038">
        <f>M441*P441</f>
        <v>0</v>
      </c>
      <c r="T441" s="1039"/>
      <c r="U441" s="451">
        <f>S441</f>
        <v>0</v>
      </c>
      <c r="V441" s="451">
        <f>U441*(1+$AC$396)</f>
        <v>0</v>
      </c>
      <c r="W441" s="451">
        <f>V441*(1+$AC$397)</f>
        <v>0</v>
      </c>
      <c r="X441" s="451">
        <f>W441*(1+$AC$398)</f>
        <v>0</v>
      </c>
      <c r="Y441" s="452">
        <f>X441*(1+$AC$399)</f>
        <v>0</v>
      </c>
      <c r="Z441" s="388"/>
      <c r="AA441" s="389"/>
      <c r="AB441" s="389"/>
      <c r="AC441" s="389"/>
      <c r="AD441" s="389"/>
      <c r="AE441" s="389"/>
    </row>
    <row r="442" spans="2:31" ht="15.75" hidden="1" customHeight="1" x14ac:dyDescent="0.35">
      <c r="B442" s="1521" t="s">
        <v>710</v>
      </c>
      <c r="C442" s="1076"/>
      <c r="D442" s="1076"/>
      <c r="E442" s="1076"/>
      <c r="F442" s="1076"/>
      <c r="G442" s="1076"/>
      <c r="H442" s="1076"/>
      <c r="I442" s="1039"/>
      <c r="J442" s="455"/>
      <c r="K442" s="395"/>
      <c r="L442" s="395"/>
      <c r="M442" s="395"/>
      <c r="N442" s="395"/>
      <c r="O442" s="395"/>
      <c r="P442" s="395"/>
      <c r="Q442" s="395"/>
      <c r="R442" s="395"/>
      <c r="S442" s="1522">
        <f>SUM(S437:T441)</f>
        <v>0</v>
      </c>
      <c r="T442" s="1523"/>
      <c r="U442" s="456">
        <f>SUM(U437:U441)</f>
        <v>0</v>
      </c>
      <c r="V442" s="456">
        <f>SUM(V437:V441)</f>
        <v>0</v>
      </c>
      <c r="W442" s="456">
        <f>SUM(W437:W441)</f>
        <v>0</v>
      </c>
      <c r="X442" s="456">
        <f>SUM(X437:X441)</f>
        <v>0</v>
      </c>
      <c r="Y442" s="457">
        <f>SUM(Y437:Y441)</f>
        <v>0</v>
      </c>
      <c r="Z442" s="388"/>
      <c r="AA442" s="389"/>
      <c r="AB442" s="389"/>
      <c r="AC442" s="389"/>
      <c r="AD442" s="389"/>
      <c r="AE442" s="389"/>
    </row>
    <row r="443" spans="2:31" ht="17.25" hidden="1" customHeight="1" thickBot="1" x14ac:dyDescent="0.4">
      <c r="B443" s="1527" t="s">
        <v>712</v>
      </c>
      <c r="C443" s="1062"/>
      <c r="D443" s="1062"/>
      <c r="E443" s="1062"/>
      <c r="F443" s="1062"/>
      <c r="G443" s="1062"/>
      <c r="H443" s="1062"/>
      <c r="I443" s="1063"/>
      <c r="J443" s="458"/>
      <c r="K443" s="394"/>
      <c r="L443" s="394"/>
      <c r="M443" s="394"/>
      <c r="N443" s="394"/>
      <c r="O443" s="394"/>
      <c r="P443" s="394"/>
      <c r="Q443" s="394"/>
      <c r="R443" s="394"/>
      <c r="S443" s="1528">
        <f>+S429+S435+S442</f>
        <v>0</v>
      </c>
      <c r="T443" s="1529"/>
      <c r="U443" s="459">
        <f>U429+U435+U442</f>
        <v>0</v>
      </c>
      <c r="V443" s="459">
        <f>V429+V435+V442</f>
        <v>0</v>
      </c>
      <c r="W443" s="459">
        <f>W429+W435+W442</f>
        <v>0</v>
      </c>
      <c r="X443" s="459">
        <f>X429+X435+X442</f>
        <v>0</v>
      </c>
      <c r="Y443" s="460">
        <f>Y429+Y435+Y442</f>
        <v>0</v>
      </c>
      <c r="Z443" s="388"/>
      <c r="AA443" s="389"/>
      <c r="AB443" s="389"/>
      <c r="AC443" s="389"/>
      <c r="AD443" s="389"/>
      <c r="AE443" s="389"/>
    </row>
    <row r="444" spans="2:31" ht="15" hidden="1" customHeight="1" thickBot="1" x14ac:dyDescent="0.4">
      <c r="B444" s="388"/>
      <c r="C444" s="388"/>
      <c r="D444" s="388"/>
      <c r="E444" s="388"/>
      <c r="F444" s="388"/>
      <c r="G444" s="388"/>
      <c r="H444" s="388"/>
      <c r="I444" s="388"/>
      <c r="J444" s="388"/>
      <c r="K444" s="388"/>
      <c r="L444" s="388"/>
      <c r="M444" s="388"/>
      <c r="N444" s="388"/>
      <c r="O444" s="388"/>
      <c r="P444" s="388"/>
      <c r="Q444" s="388"/>
      <c r="R444" s="388"/>
      <c r="S444" s="388"/>
      <c r="T444" s="388"/>
      <c r="U444" s="388"/>
      <c r="V444" s="388"/>
      <c r="W444" s="388"/>
      <c r="X444" s="388"/>
      <c r="Y444" s="388"/>
      <c r="Z444" s="388"/>
      <c r="AA444" s="389"/>
      <c r="AB444" s="389"/>
      <c r="AC444" s="389"/>
      <c r="AD444" s="389"/>
      <c r="AE444" s="389"/>
    </row>
    <row r="445" spans="2:31" ht="24" hidden="1" customHeight="1" thickBot="1" x14ac:dyDescent="0.4">
      <c r="B445" s="1368" t="s">
        <v>713</v>
      </c>
      <c r="C445" s="1369"/>
      <c r="D445" s="1530" t="str">
        <f>'Estudio de Mercados'!$B$232</f>
        <v>Escriba aquì el nombre de su producto ó servicio 3</v>
      </c>
      <c r="E445" s="1530"/>
      <c r="F445" s="1530"/>
      <c r="G445" s="1530"/>
      <c r="H445" s="1530"/>
      <c r="I445" s="1531"/>
      <c r="J445" s="388"/>
      <c r="K445" s="388"/>
      <c r="L445" s="388"/>
      <c r="M445" s="388"/>
      <c r="N445" s="388"/>
      <c r="O445" s="388"/>
      <c r="P445" s="388"/>
      <c r="Q445" s="388"/>
      <c r="R445" s="388"/>
      <c r="S445" s="388"/>
      <c r="T445" s="388"/>
      <c r="U445" s="392"/>
      <c r="V445" s="392"/>
      <c r="W445" s="392"/>
      <c r="X445" s="392"/>
      <c r="Y445" s="392"/>
      <c r="Z445" s="392"/>
      <c r="AA445" s="393"/>
      <c r="AB445" s="393"/>
      <c r="AC445" s="393"/>
      <c r="AD445" s="393"/>
      <c r="AE445" s="393"/>
    </row>
    <row r="446" spans="2:31" ht="15" hidden="1" customHeight="1" thickBot="1" x14ac:dyDescent="0.4">
      <c r="B446" s="388"/>
      <c r="C446" s="388"/>
      <c r="D446" s="388"/>
      <c r="E446" s="388"/>
      <c r="F446" s="388"/>
      <c r="G446" s="388"/>
      <c r="H446" s="388"/>
      <c r="I446" s="388"/>
      <c r="J446" s="388"/>
      <c r="K446" s="388"/>
      <c r="L446" s="388"/>
      <c r="M446" s="388"/>
      <c r="N446" s="388"/>
      <c r="O446" s="388"/>
      <c r="P446" s="388"/>
      <c r="Q446" s="388"/>
      <c r="R446" s="388"/>
      <c r="S446" s="388"/>
      <c r="T446" s="388"/>
      <c r="U446" s="388"/>
      <c r="V446" s="388"/>
      <c r="W446" s="388"/>
      <c r="X446" s="388"/>
      <c r="Y446" s="388"/>
      <c r="Z446" s="388"/>
      <c r="AA446" s="389"/>
      <c r="AB446" s="389"/>
      <c r="AC446" s="389"/>
      <c r="AD446" s="389"/>
      <c r="AE446" s="389"/>
    </row>
    <row r="447" spans="2:31" ht="31.5" hidden="1" customHeight="1" thickBot="1" x14ac:dyDescent="0.4">
      <c r="B447" s="1306" t="s">
        <v>702</v>
      </c>
      <c r="C447" s="1307"/>
      <c r="D447" s="1307"/>
      <c r="E447" s="1307"/>
      <c r="F447" s="1307"/>
      <c r="G447" s="1307"/>
      <c r="H447" s="1307"/>
      <c r="I447" s="1316"/>
      <c r="J447" s="1511" t="s">
        <v>630</v>
      </c>
      <c r="K447" s="1307"/>
      <c r="L447" s="1316"/>
      <c r="M447" s="1105" t="s">
        <v>703</v>
      </c>
      <c r="N447" s="1302"/>
      <c r="O447" s="1303"/>
      <c r="P447" s="1515" t="s">
        <v>704</v>
      </c>
      <c r="Q447" s="1307"/>
      <c r="R447" s="1316"/>
      <c r="S447" s="1511" t="s">
        <v>618</v>
      </c>
      <c r="T447" s="1307"/>
      <c r="U447" s="447" t="s">
        <v>631</v>
      </c>
      <c r="V447" s="447" t="s">
        <v>632</v>
      </c>
      <c r="W447" s="447" t="s">
        <v>633</v>
      </c>
      <c r="X447" s="447" t="s">
        <v>634</v>
      </c>
      <c r="Y447" s="448" t="s">
        <v>635</v>
      </c>
      <c r="Z447" s="388"/>
      <c r="AA447" s="389"/>
      <c r="AB447" s="389"/>
      <c r="AC447" s="389"/>
      <c r="AD447" s="389"/>
      <c r="AE447" s="389"/>
    </row>
    <row r="448" spans="2:31" ht="15.75" hidden="1" customHeight="1" x14ac:dyDescent="0.35">
      <c r="B448" s="1532"/>
      <c r="C448" s="1310"/>
      <c r="D448" s="1310"/>
      <c r="E448" s="1310"/>
      <c r="F448" s="1310"/>
      <c r="G448" s="1310"/>
      <c r="H448" s="1310"/>
      <c r="I448" s="1311"/>
      <c r="J448" s="1314"/>
      <c r="K448" s="1310"/>
      <c r="L448" s="1311"/>
      <c r="M448" s="1314"/>
      <c r="N448" s="1533"/>
      <c r="O448" s="1534"/>
      <c r="P448" s="1535"/>
      <c r="Q448" s="1310"/>
      <c r="R448" s="1311"/>
      <c r="S448" s="1536">
        <f>M448*P448</f>
        <v>0</v>
      </c>
      <c r="T448" s="1256"/>
      <c r="U448" s="461">
        <f>S448</f>
        <v>0</v>
      </c>
      <c r="V448" s="461">
        <f>U448*(1+$AC$396)</f>
        <v>0</v>
      </c>
      <c r="W448" s="461">
        <f>V448*(1+$AC$397)</f>
        <v>0</v>
      </c>
      <c r="X448" s="461">
        <f>W448*(1+$AC$398)</f>
        <v>0</v>
      </c>
      <c r="Y448" s="462">
        <f>X448*(1+$AC$399)</f>
        <v>0</v>
      </c>
      <c r="Z448" s="388"/>
      <c r="AA448" s="389"/>
      <c r="AB448" s="389"/>
      <c r="AC448" s="389"/>
      <c r="AD448" s="389"/>
      <c r="AE448" s="389"/>
    </row>
    <row r="449" spans="2:31" ht="15.75" hidden="1" customHeight="1" x14ac:dyDescent="0.35">
      <c r="B449" s="1516"/>
      <c r="C449" s="1031"/>
      <c r="D449" s="1031"/>
      <c r="E449" s="1031"/>
      <c r="F449" s="1031"/>
      <c r="G449" s="1031"/>
      <c r="H449" s="1031"/>
      <c r="I449" s="1032"/>
      <c r="J449" s="1030"/>
      <c r="K449" s="1031"/>
      <c r="L449" s="1032"/>
      <c r="M449" s="1030"/>
      <c r="N449" s="1033"/>
      <c r="O449" s="1034"/>
      <c r="P449" s="1035"/>
      <c r="Q449" s="1031"/>
      <c r="R449" s="1032"/>
      <c r="S449" s="1038">
        <f>M449*P449</f>
        <v>0</v>
      </c>
      <c r="T449" s="1039"/>
      <c r="U449" s="451">
        <f>S449</f>
        <v>0</v>
      </c>
      <c r="V449" s="451">
        <f>U449*(1+$AC$396)</f>
        <v>0</v>
      </c>
      <c r="W449" s="451">
        <f>V449*(1+$AC$397)</f>
        <v>0</v>
      </c>
      <c r="X449" s="451">
        <f>W449*(1+$AC$398)</f>
        <v>0</v>
      </c>
      <c r="Y449" s="452">
        <f>X449*(1+$AC$399)</f>
        <v>0</v>
      </c>
      <c r="Z449" s="388"/>
      <c r="AA449" s="389"/>
      <c r="AB449" s="389"/>
      <c r="AC449" s="389"/>
      <c r="AD449" s="389"/>
      <c r="AE449" s="389"/>
    </row>
    <row r="450" spans="2:31" ht="15.75" hidden="1" customHeight="1" x14ac:dyDescent="0.35">
      <c r="B450" s="1516"/>
      <c r="C450" s="1031"/>
      <c r="D450" s="1031"/>
      <c r="E450" s="1031"/>
      <c r="F450" s="1031"/>
      <c r="G450" s="1031"/>
      <c r="H450" s="1031"/>
      <c r="I450" s="1032"/>
      <c r="J450" s="1030"/>
      <c r="K450" s="1031"/>
      <c r="L450" s="1032"/>
      <c r="M450" s="1030"/>
      <c r="N450" s="1033"/>
      <c r="O450" s="1034"/>
      <c r="P450" s="1035"/>
      <c r="Q450" s="1031"/>
      <c r="R450" s="1032"/>
      <c r="S450" s="1038">
        <f>M450*P450</f>
        <v>0</v>
      </c>
      <c r="T450" s="1039"/>
      <c r="U450" s="451">
        <f>S450</f>
        <v>0</v>
      </c>
      <c r="V450" s="451">
        <f>U450*(1+$AC$396)</f>
        <v>0</v>
      </c>
      <c r="W450" s="451">
        <f>V450*(1+$AC$397)</f>
        <v>0</v>
      </c>
      <c r="X450" s="451">
        <f>W450*(1+$AC$398)</f>
        <v>0</v>
      </c>
      <c r="Y450" s="452">
        <f>X450*(1+$AC$399)</f>
        <v>0</v>
      </c>
      <c r="Z450" s="388"/>
      <c r="AA450" s="389"/>
      <c r="AB450" s="463"/>
      <c r="AC450" s="389"/>
      <c r="AD450" s="389"/>
      <c r="AE450" s="389"/>
    </row>
    <row r="451" spans="2:31" ht="15.75" hidden="1" customHeight="1" x14ac:dyDescent="0.35">
      <c r="B451" s="1516"/>
      <c r="C451" s="1031"/>
      <c r="D451" s="1031"/>
      <c r="E451" s="1031"/>
      <c r="F451" s="1031"/>
      <c r="G451" s="1031"/>
      <c r="H451" s="1031"/>
      <c r="I451" s="1032"/>
      <c r="J451" s="1030"/>
      <c r="K451" s="1031"/>
      <c r="L451" s="1032"/>
      <c r="M451" s="1030"/>
      <c r="N451" s="1033"/>
      <c r="O451" s="1034"/>
      <c r="P451" s="1035"/>
      <c r="Q451" s="1031"/>
      <c r="R451" s="1032"/>
      <c r="S451" s="1038">
        <f>M451*P451</f>
        <v>0</v>
      </c>
      <c r="T451" s="1039"/>
      <c r="U451" s="451">
        <f>S451</f>
        <v>0</v>
      </c>
      <c r="V451" s="451">
        <f>U451*(1+$AC$396)</f>
        <v>0</v>
      </c>
      <c r="W451" s="451">
        <f>V451*(1+$AC$397)</f>
        <v>0</v>
      </c>
      <c r="X451" s="451">
        <f>W451*(1+$AC$398)</f>
        <v>0</v>
      </c>
      <c r="Y451" s="452">
        <f>X451*(1+$AC$399)</f>
        <v>0</v>
      </c>
      <c r="Z451" s="388"/>
      <c r="AA451" s="389"/>
      <c r="AB451" s="464"/>
      <c r="AC451" s="389"/>
      <c r="AD451" s="389"/>
      <c r="AE451" s="389"/>
    </row>
    <row r="452" spans="2:31" ht="15.75" hidden="1" customHeight="1" x14ac:dyDescent="0.35">
      <c r="B452" s="1516"/>
      <c r="C452" s="1031"/>
      <c r="D452" s="1031"/>
      <c r="E452" s="1031"/>
      <c r="F452" s="1031"/>
      <c r="G452" s="1031"/>
      <c r="H452" s="1031"/>
      <c r="I452" s="1032"/>
      <c r="J452" s="1030"/>
      <c r="K452" s="1031"/>
      <c r="L452" s="1032"/>
      <c r="M452" s="1030"/>
      <c r="N452" s="1033"/>
      <c r="O452" s="1034"/>
      <c r="P452" s="1035"/>
      <c r="Q452" s="1031"/>
      <c r="R452" s="1032"/>
      <c r="S452" s="1038">
        <f>M452*P452</f>
        <v>0</v>
      </c>
      <c r="T452" s="1039"/>
      <c r="U452" s="451">
        <f>S452</f>
        <v>0</v>
      </c>
      <c r="V452" s="451">
        <f>U452*(1+$AC$396)</f>
        <v>0</v>
      </c>
      <c r="W452" s="451">
        <f>V452*(1+$AC$397)</f>
        <v>0</v>
      </c>
      <c r="X452" s="451">
        <f>W452*(1+$AC$398)</f>
        <v>0</v>
      </c>
      <c r="Y452" s="452">
        <f>X452*(1+$AC$399)</f>
        <v>0</v>
      </c>
      <c r="Z452" s="388"/>
      <c r="AA452" s="389"/>
      <c r="AB452" s="464"/>
      <c r="AC452" s="389"/>
      <c r="AD452" s="389"/>
      <c r="AE452" s="389"/>
    </row>
    <row r="453" spans="2:31" ht="15.75" hidden="1" customHeight="1" x14ac:dyDescent="0.35">
      <c r="B453" s="1521" t="s">
        <v>706</v>
      </c>
      <c r="C453" s="1076"/>
      <c r="D453" s="1076"/>
      <c r="E453" s="1076"/>
      <c r="F453" s="1076"/>
      <c r="G453" s="1076"/>
      <c r="H453" s="1076"/>
      <c r="I453" s="1039"/>
      <c r="J453" s="455"/>
      <c r="K453" s="395"/>
      <c r="L453" s="395"/>
      <c r="M453" s="395"/>
      <c r="N453" s="395"/>
      <c r="O453" s="395"/>
      <c r="P453" s="395"/>
      <c r="Q453" s="395"/>
      <c r="R453" s="395"/>
      <c r="S453" s="1522">
        <f>SUM(S448:T452)</f>
        <v>0</v>
      </c>
      <c r="T453" s="1523"/>
      <c r="U453" s="456">
        <f>SUM(U448:U452)</f>
        <v>0</v>
      </c>
      <c r="V453" s="456">
        <f>SUM(V448:V452)</f>
        <v>0</v>
      </c>
      <c r="W453" s="456">
        <f>SUM(W448:W452)</f>
        <v>0</v>
      </c>
      <c r="X453" s="456">
        <f>SUM(X448:X452)</f>
        <v>0</v>
      </c>
      <c r="Y453" s="457">
        <f>SUM(Y448:Y452)</f>
        <v>0</v>
      </c>
      <c r="Z453" s="388"/>
      <c r="AA453" s="389"/>
      <c r="AB453" s="464"/>
      <c r="AC453" s="389"/>
      <c r="AD453" s="389"/>
      <c r="AE453" s="389"/>
    </row>
    <row r="454" spans="2:31" ht="17.25" hidden="1" customHeight="1" x14ac:dyDescent="0.35">
      <c r="B454" s="1524" t="s">
        <v>707</v>
      </c>
      <c r="C454" s="1076"/>
      <c r="D454" s="1076"/>
      <c r="E454" s="1076"/>
      <c r="F454" s="1076"/>
      <c r="G454" s="1076"/>
      <c r="H454" s="1076"/>
      <c r="I454" s="1039"/>
      <c r="J454" s="1038"/>
      <c r="K454" s="1525"/>
      <c r="L454" s="1525"/>
      <c r="M454" s="1525"/>
      <c r="N454" s="1525"/>
      <c r="O454" s="1525"/>
      <c r="P454" s="1525"/>
      <c r="Q454" s="1525"/>
      <c r="R454" s="1525"/>
      <c r="S454" s="1525"/>
      <c r="T454" s="1526"/>
      <c r="U454" s="451"/>
      <c r="V454" s="451"/>
      <c r="W454" s="451"/>
      <c r="X454" s="451"/>
      <c r="Y454" s="452"/>
      <c r="Z454" s="388"/>
      <c r="AA454" s="389"/>
      <c r="AB454" s="464"/>
      <c r="AC454" s="389"/>
      <c r="AD454" s="389"/>
      <c r="AE454" s="389"/>
    </row>
    <row r="455" spans="2:31" ht="15.75" hidden="1" customHeight="1" x14ac:dyDescent="0.35">
      <c r="B455" s="1516"/>
      <c r="C455" s="1031"/>
      <c r="D455" s="1031"/>
      <c r="E455" s="1031"/>
      <c r="F455" s="1031"/>
      <c r="G455" s="1031"/>
      <c r="H455" s="1031"/>
      <c r="I455" s="1032"/>
      <c r="J455" s="1030"/>
      <c r="K455" s="1031"/>
      <c r="L455" s="1032"/>
      <c r="M455" s="1030"/>
      <c r="N455" s="1033"/>
      <c r="O455" s="1034"/>
      <c r="P455" s="1035"/>
      <c r="Q455" s="1031"/>
      <c r="R455" s="1032"/>
      <c r="S455" s="1038">
        <f>M455*P455</f>
        <v>0</v>
      </c>
      <c r="T455" s="1039"/>
      <c r="U455" s="451">
        <f>S455</f>
        <v>0</v>
      </c>
      <c r="V455" s="451">
        <f>U455*(1+$AC$396)</f>
        <v>0</v>
      </c>
      <c r="W455" s="451">
        <f>V455*(1+$AC$397)</f>
        <v>0</v>
      </c>
      <c r="X455" s="451">
        <f>W455*(1+$AC$398)</f>
        <v>0</v>
      </c>
      <c r="Y455" s="452">
        <f>X455*(1+$AC$399)</f>
        <v>0</v>
      </c>
      <c r="Z455" s="388"/>
      <c r="AA455" s="389"/>
      <c r="AB455" s="389"/>
      <c r="AC455" s="389"/>
      <c r="AD455" s="389"/>
      <c r="AE455" s="389"/>
    </row>
    <row r="456" spans="2:31" ht="15.75" hidden="1" customHeight="1" x14ac:dyDescent="0.35">
      <c r="B456" s="1516"/>
      <c r="C456" s="1031"/>
      <c r="D456" s="1031"/>
      <c r="E456" s="1031"/>
      <c r="F456" s="1031"/>
      <c r="G456" s="1031"/>
      <c r="H456" s="1031"/>
      <c r="I456" s="1032"/>
      <c r="J456" s="1030"/>
      <c r="K456" s="1031"/>
      <c r="L456" s="1032"/>
      <c r="M456" s="1030"/>
      <c r="N456" s="1033"/>
      <c r="O456" s="1034"/>
      <c r="P456" s="1035"/>
      <c r="Q456" s="1031"/>
      <c r="R456" s="1032"/>
      <c r="S456" s="1038">
        <f>M456*P456</f>
        <v>0</v>
      </c>
      <c r="T456" s="1039"/>
      <c r="U456" s="451">
        <f>S456</f>
        <v>0</v>
      </c>
      <c r="V456" s="451">
        <f>U456*(1+$AC$396)</f>
        <v>0</v>
      </c>
      <c r="W456" s="451">
        <f>V456*(1+$AC$397)</f>
        <v>0</v>
      </c>
      <c r="X456" s="451">
        <f>W456*(1+$AC$398)</f>
        <v>0</v>
      </c>
      <c r="Y456" s="452">
        <f>X456*(1+$AC$399)</f>
        <v>0</v>
      </c>
      <c r="Z456" s="388"/>
      <c r="AA456" s="389"/>
      <c r="AB456" s="389"/>
      <c r="AC456" s="389"/>
      <c r="AD456" s="389"/>
      <c r="AE456" s="389"/>
    </row>
    <row r="457" spans="2:31" ht="15.75" hidden="1" customHeight="1" x14ac:dyDescent="0.35">
      <c r="B457" s="1516"/>
      <c r="C457" s="1031"/>
      <c r="D457" s="1031"/>
      <c r="E457" s="1031"/>
      <c r="F457" s="1031"/>
      <c r="G457" s="1031"/>
      <c r="H457" s="1031"/>
      <c r="I457" s="1032"/>
      <c r="J457" s="1030"/>
      <c r="K457" s="1031"/>
      <c r="L457" s="1032"/>
      <c r="M457" s="1030"/>
      <c r="N457" s="1033"/>
      <c r="O457" s="1034"/>
      <c r="P457" s="1035"/>
      <c r="Q457" s="1031"/>
      <c r="R457" s="1032"/>
      <c r="S457" s="1038">
        <f>M457*P457</f>
        <v>0</v>
      </c>
      <c r="T457" s="1039"/>
      <c r="U457" s="451">
        <f>S457</f>
        <v>0</v>
      </c>
      <c r="V457" s="451">
        <f>U457*(1+$AC$396)</f>
        <v>0</v>
      </c>
      <c r="W457" s="451">
        <f>V457*(1+$AC$397)</f>
        <v>0</v>
      </c>
      <c r="X457" s="451">
        <f>W457*(1+$AC$398)</f>
        <v>0</v>
      </c>
      <c r="Y457" s="452">
        <f>X457*(1+$AC$399)</f>
        <v>0</v>
      </c>
      <c r="Z457" s="388"/>
      <c r="AA457" s="389"/>
      <c r="AB457" s="389"/>
      <c r="AC457" s="389"/>
      <c r="AD457" s="389"/>
      <c r="AE457" s="389"/>
    </row>
    <row r="458" spans="2:31" ht="15.75" hidden="1" customHeight="1" x14ac:dyDescent="0.35">
      <c r="B458" s="1516"/>
      <c r="C458" s="1031"/>
      <c r="D458" s="1031"/>
      <c r="E458" s="1031"/>
      <c r="F458" s="1031"/>
      <c r="G458" s="1031"/>
      <c r="H458" s="1031"/>
      <c r="I458" s="1032"/>
      <c r="J458" s="1030"/>
      <c r="K458" s="1031"/>
      <c r="L458" s="1032"/>
      <c r="M458" s="1030"/>
      <c r="N458" s="1033"/>
      <c r="O458" s="1034"/>
      <c r="P458" s="1035"/>
      <c r="Q458" s="1031"/>
      <c r="R458" s="1032"/>
      <c r="S458" s="1038">
        <f>M458*P458</f>
        <v>0</v>
      </c>
      <c r="T458" s="1039"/>
      <c r="U458" s="451">
        <f>S458</f>
        <v>0</v>
      </c>
      <c r="V458" s="451">
        <f>U458*(1+$AC$396)</f>
        <v>0</v>
      </c>
      <c r="W458" s="451">
        <f>V458*(1+$AC$397)</f>
        <v>0</v>
      </c>
      <c r="X458" s="451">
        <f>W458*(1+$AC$398)</f>
        <v>0</v>
      </c>
      <c r="Y458" s="452">
        <f>X458*(1+$AC$399)</f>
        <v>0</v>
      </c>
      <c r="Z458" s="388"/>
      <c r="AA458" s="389"/>
      <c r="AB458" s="389"/>
      <c r="AC458" s="389"/>
      <c r="AD458" s="389"/>
      <c r="AE458" s="389"/>
    </row>
    <row r="459" spans="2:31" ht="15.75" hidden="1" customHeight="1" x14ac:dyDescent="0.35">
      <c r="B459" s="1521" t="s">
        <v>708</v>
      </c>
      <c r="C459" s="1076"/>
      <c r="D459" s="1076"/>
      <c r="E459" s="1076"/>
      <c r="F459" s="1076"/>
      <c r="G459" s="1076"/>
      <c r="H459" s="1076"/>
      <c r="I459" s="1039"/>
      <c r="J459" s="455"/>
      <c r="K459" s="395"/>
      <c r="L459" s="395"/>
      <c r="M459" s="395"/>
      <c r="N459" s="395"/>
      <c r="O459" s="395"/>
      <c r="P459" s="395"/>
      <c r="Q459" s="395"/>
      <c r="R459" s="395"/>
      <c r="S459" s="1522">
        <f>SUM(S455:T458)</f>
        <v>0</v>
      </c>
      <c r="T459" s="1523"/>
      <c r="U459" s="456">
        <f>SUM(U455:U458)</f>
        <v>0</v>
      </c>
      <c r="V459" s="456">
        <f>SUM(V455:V458)</f>
        <v>0</v>
      </c>
      <c r="W459" s="456">
        <f>SUM(W455:W458)</f>
        <v>0</v>
      </c>
      <c r="X459" s="456">
        <f>SUM(X455:X458)</f>
        <v>0</v>
      </c>
      <c r="Y459" s="457">
        <f>SUM(Y455:Y458)</f>
        <v>0</v>
      </c>
      <c r="Z459" s="388"/>
      <c r="AA459" s="389"/>
      <c r="AB459" s="389"/>
      <c r="AC459" s="389"/>
      <c r="AD459" s="389"/>
      <c r="AE459" s="389"/>
    </row>
    <row r="460" spans="2:31" ht="15.75" hidden="1" customHeight="1" x14ac:dyDescent="0.35">
      <c r="B460" s="1524" t="s">
        <v>709</v>
      </c>
      <c r="C460" s="1076"/>
      <c r="D460" s="1076"/>
      <c r="E460" s="1076"/>
      <c r="F460" s="1076"/>
      <c r="G460" s="1076"/>
      <c r="H460" s="1076"/>
      <c r="I460" s="1039"/>
      <c r="J460" s="1038"/>
      <c r="K460" s="1076"/>
      <c r="L460" s="1039"/>
      <c r="M460" s="1038"/>
      <c r="N460" s="1525"/>
      <c r="O460" s="1526"/>
      <c r="P460" s="1537"/>
      <c r="Q460" s="1076"/>
      <c r="R460" s="1039"/>
      <c r="S460" s="1038"/>
      <c r="T460" s="1039"/>
      <c r="U460" s="451"/>
      <c r="V460" s="451"/>
      <c r="W460" s="451"/>
      <c r="X460" s="451"/>
      <c r="Y460" s="452"/>
      <c r="Z460" s="388"/>
      <c r="AA460" s="389"/>
      <c r="AB460" s="389"/>
      <c r="AC460" s="389"/>
      <c r="AD460" s="389"/>
      <c r="AE460" s="389"/>
    </row>
    <row r="461" spans="2:31" ht="15.75" hidden="1" customHeight="1" x14ac:dyDescent="0.35">
      <c r="B461" s="1516"/>
      <c r="C461" s="1031"/>
      <c r="D461" s="1031"/>
      <c r="E461" s="1031"/>
      <c r="F461" s="1031"/>
      <c r="G461" s="1031"/>
      <c r="H461" s="1031"/>
      <c r="I461" s="1032"/>
      <c r="J461" s="1030"/>
      <c r="K461" s="1031"/>
      <c r="L461" s="1032"/>
      <c r="M461" s="1030"/>
      <c r="N461" s="1033"/>
      <c r="O461" s="1034"/>
      <c r="P461" s="1035"/>
      <c r="Q461" s="1031"/>
      <c r="R461" s="1032"/>
      <c r="S461" s="1038">
        <f>M461*P461</f>
        <v>0</v>
      </c>
      <c r="T461" s="1039"/>
      <c r="U461" s="451">
        <f>S461</f>
        <v>0</v>
      </c>
      <c r="V461" s="451">
        <f>U461*(1+$AC$396)</f>
        <v>0</v>
      </c>
      <c r="W461" s="451">
        <f>V461*(1+$AC$397)</f>
        <v>0</v>
      </c>
      <c r="X461" s="451">
        <f>W461*(1+$AC$398)</f>
        <v>0</v>
      </c>
      <c r="Y461" s="452">
        <f>X461*(1+$AC$399)</f>
        <v>0</v>
      </c>
      <c r="Z461" s="388"/>
      <c r="AA461" s="389"/>
      <c r="AB461" s="389"/>
      <c r="AC461" s="389"/>
      <c r="AD461" s="389"/>
      <c r="AE461" s="389"/>
    </row>
    <row r="462" spans="2:31" ht="15.75" hidden="1" customHeight="1" x14ac:dyDescent="0.35">
      <c r="B462" s="1516"/>
      <c r="C462" s="1031"/>
      <c r="D462" s="1031"/>
      <c r="E462" s="1031"/>
      <c r="F462" s="1031"/>
      <c r="G462" s="1031"/>
      <c r="H462" s="1031"/>
      <c r="I462" s="1032"/>
      <c r="J462" s="1030"/>
      <c r="K462" s="1031"/>
      <c r="L462" s="1032"/>
      <c r="M462" s="1030"/>
      <c r="N462" s="1033"/>
      <c r="O462" s="1034"/>
      <c r="P462" s="1035"/>
      <c r="Q462" s="1031"/>
      <c r="R462" s="1032"/>
      <c r="S462" s="1038">
        <f>M462*P462</f>
        <v>0</v>
      </c>
      <c r="T462" s="1039"/>
      <c r="U462" s="451">
        <f>S462</f>
        <v>0</v>
      </c>
      <c r="V462" s="451">
        <f>U462*(1+$AC$396)</f>
        <v>0</v>
      </c>
      <c r="W462" s="451">
        <f>V462*(1+$AC$397)</f>
        <v>0</v>
      </c>
      <c r="X462" s="451">
        <f>W462*(1+$AC$398)</f>
        <v>0</v>
      </c>
      <c r="Y462" s="452">
        <f>X462*(1+$AC$399)</f>
        <v>0</v>
      </c>
      <c r="Z462" s="388"/>
      <c r="AA462" s="389"/>
      <c r="AB462" s="389"/>
      <c r="AC462" s="389"/>
      <c r="AD462" s="389"/>
      <c r="AE462" s="389"/>
    </row>
    <row r="463" spans="2:31" ht="15.75" hidden="1" customHeight="1" x14ac:dyDescent="0.35">
      <c r="B463" s="1516"/>
      <c r="C463" s="1031"/>
      <c r="D463" s="1031"/>
      <c r="E463" s="1031"/>
      <c r="F463" s="1031"/>
      <c r="G463" s="1031"/>
      <c r="H463" s="1031"/>
      <c r="I463" s="1032"/>
      <c r="J463" s="1030"/>
      <c r="K463" s="1031"/>
      <c r="L463" s="1032"/>
      <c r="M463" s="1030"/>
      <c r="N463" s="1033"/>
      <c r="O463" s="1034"/>
      <c r="P463" s="1035"/>
      <c r="Q463" s="1031"/>
      <c r="R463" s="1032"/>
      <c r="S463" s="1038">
        <f>M463*P463</f>
        <v>0</v>
      </c>
      <c r="T463" s="1039"/>
      <c r="U463" s="451">
        <f>S463</f>
        <v>0</v>
      </c>
      <c r="V463" s="451">
        <f>U463*(1+$AC$396)</f>
        <v>0</v>
      </c>
      <c r="W463" s="451">
        <f>V463*(1+$AC$397)</f>
        <v>0</v>
      </c>
      <c r="X463" s="451">
        <f>W463*(1+$AC$398)</f>
        <v>0</v>
      </c>
      <c r="Y463" s="452">
        <f>X463*(1+$AC$399)</f>
        <v>0</v>
      </c>
      <c r="Z463" s="388"/>
      <c r="AA463" s="389"/>
      <c r="AB463" s="389"/>
      <c r="AC463" s="389"/>
      <c r="AD463" s="389"/>
      <c r="AE463" s="389"/>
    </row>
    <row r="464" spans="2:31" ht="15.75" hidden="1" customHeight="1" x14ac:dyDescent="0.35">
      <c r="B464" s="1516"/>
      <c r="C464" s="1031"/>
      <c r="D464" s="1031"/>
      <c r="E464" s="1031"/>
      <c r="F464" s="1031"/>
      <c r="G464" s="1031"/>
      <c r="H464" s="1031"/>
      <c r="I464" s="1032"/>
      <c r="J464" s="1030"/>
      <c r="K464" s="1031"/>
      <c r="L464" s="1032"/>
      <c r="M464" s="1030"/>
      <c r="N464" s="1033"/>
      <c r="O464" s="1034"/>
      <c r="P464" s="1035"/>
      <c r="Q464" s="1031"/>
      <c r="R464" s="1032"/>
      <c r="S464" s="1038">
        <f>M464*P464</f>
        <v>0</v>
      </c>
      <c r="T464" s="1039"/>
      <c r="U464" s="451">
        <f>S464</f>
        <v>0</v>
      </c>
      <c r="V464" s="451">
        <f>U464*(1+$AC$396)</f>
        <v>0</v>
      </c>
      <c r="W464" s="451">
        <f>V464*(1+$AC$397)</f>
        <v>0</v>
      </c>
      <c r="X464" s="451">
        <f>W464*(1+$AC$398)</f>
        <v>0</v>
      </c>
      <c r="Y464" s="452">
        <f>X464*(1+$AC$399)</f>
        <v>0</v>
      </c>
      <c r="Z464" s="388"/>
      <c r="AA464" s="389"/>
      <c r="AB464" s="389"/>
      <c r="AC464" s="389"/>
      <c r="AD464" s="389"/>
      <c r="AE464" s="389"/>
    </row>
    <row r="465" spans="2:31" ht="15.75" hidden="1" customHeight="1" x14ac:dyDescent="0.35">
      <c r="B465" s="1516"/>
      <c r="C465" s="1031"/>
      <c r="D465" s="1031"/>
      <c r="E465" s="1031"/>
      <c r="F465" s="1031"/>
      <c r="G465" s="1031"/>
      <c r="H465" s="1031"/>
      <c r="I465" s="1032"/>
      <c r="J465" s="1030"/>
      <c r="K465" s="1031"/>
      <c r="L465" s="1032"/>
      <c r="M465" s="1030"/>
      <c r="N465" s="1033"/>
      <c r="O465" s="1034"/>
      <c r="P465" s="1035"/>
      <c r="Q465" s="1031"/>
      <c r="R465" s="1032"/>
      <c r="S465" s="1038">
        <f>M465*P465</f>
        <v>0</v>
      </c>
      <c r="T465" s="1039"/>
      <c r="U465" s="451">
        <f>S465</f>
        <v>0</v>
      </c>
      <c r="V465" s="451">
        <f>U465*(1+$AC$396)</f>
        <v>0</v>
      </c>
      <c r="W465" s="451">
        <f>V465*(1+$AC$397)</f>
        <v>0</v>
      </c>
      <c r="X465" s="451">
        <f>W465*(1+$AC$398)</f>
        <v>0</v>
      </c>
      <c r="Y465" s="452">
        <f>X465*(1+$AC$399)</f>
        <v>0</v>
      </c>
      <c r="Z465" s="388"/>
      <c r="AA465" s="389"/>
      <c r="AB465" s="389"/>
      <c r="AC465" s="389"/>
      <c r="AD465" s="389"/>
      <c r="AE465" s="389"/>
    </row>
    <row r="466" spans="2:31" ht="15.75" hidden="1" customHeight="1" x14ac:dyDescent="0.35">
      <c r="B466" s="1521" t="s">
        <v>710</v>
      </c>
      <c r="C466" s="1076"/>
      <c r="D466" s="1076"/>
      <c r="E466" s="1076"/>
      <c r="F466" s="1076"/>
      <c r="G466" s="1076"/>
      <c r="H466" s="1076"/>
      <c r="I466" s="1039"/>
      <c r="J466" s="455"/>
      <c r="K466" s="395"/>
      <c r="L466" s="395"/>
      <c r="M466" s="395"/>
      <c r="N466" s="395"/>
      <c r="O466" s="395"/>
      <c r="P466" s="395"/>
      <c r="Q466" s="395"/>
      <c r="R466" s="395"/>
      <c r="S466" s="1522">
        <f>SUM(S461:T465)</f>
        <v>0</v>
      </c>
      <c r="T466" s="1538"/>
      <c r="U466" s="456">
        <f>SUM(U461:U465)</f>
        <v>0</v>
      </c>
      <c r="V466" s="456">
        <f>SUM(V461:V465)</f>
        <v>0</v>
      </c>
      <c r="W466" s="456">
        <f>SUM(W461:W465)</f>
        <v>0</v>
      </c>
      <c r="X466" s="456">
        <f>SUM(X461:X465)</f>
        <v>0</v>
      </c>
      <c r="Y466" s="457">
        <f>SUM(Y461:Y465)</f>
        <v>0</v>
      </c>
      <c r="Z466" s="388"/>
      <c r="AA466" s="389"/>
      <c r="AB466" s="389"/>
      <c r="AC466" s="389"/>
      <c r="AD466" s="389"/>
      <c r="AE466" s="389"/>
    </row>
    <row r="467" spans="2:31" ht="17.25" hidden="1" customHeight="1" thickBot="1" x14ac:dyDescent="0.4">
      <c r="B467" s="1527" t="s">
        <v>714</v>
      </c>
      <c r="C467" s="1062"/>
      <c r="D467" s="1062"/>
      <c r="E467" s="1062"/>
      <c r="F467" s="1062"/>
      <c r="G467" s="1062"/>
      <c r="H467" s="1062"/>
      <c r="I467" s="1063"/>
      <c r="J467" s="458"/>
      <c r="K467" s="394"/>
      <c r="L467" s="394"/>
      <c r="M467" s="394"/>
      <c r="N467" s="394"/>
      <c r="O467" s="394"/>
      <c r="P467" s="394"/>
      <c r="Q467" s="394"/>
      <c r="R467" s="394"/>
      <c r="S467" s="1528">
        <f>+S453+S459+S466</f>
        <v>0</v>
      </c>
      <c r="T467" s="1529"/>
      <c r="U467" s="459">
        <f>U453+U459+U466</f>
        <v>0</v>
      </c>
      <c r="V467" s="459">
        <f>V453+V459+V466</f>
        <v>0</v>
      </c>
      <c r="W467" s="459">
        <f>W453+W459+W466</f>
        <v>0</v>
      </c>
      <c r="X467" s="459">
        <f>X453+X459+X466</f>
        <v>0</v>
      </c>
      <c r="Y467" s="460">
        <f>Y453+Y459+Y466</f>
        <v>0</v>
      </c>
      <c r="Z467" s="388"/>
      <c r="AA467" s="389"/>
      <c r="AB467" s="389"/>
      <c r="AC467" s="389"/>
      <c r="AD467" s="389"/>
      <c r="AE467" s="389"/>
    </row>
    <row r="468" spans="2:31" ht="15" hidden="1" customHeight="1" thickBot="1" x14ac:dyDescent="0.4">
      <c r="B468" s="388"/>
      <c r="C468" s="388"/>
      <c r="D468" s="388"/>
      <c r="E468" s="388"/>
      <c r="F468" s="388"/>
      <c r="G468" s="388"/>
      <c r="H468" s="388"/>
      <c r="I468" s="388"/>
      <c r="J468" s="388"/>
      <c r="K468" s="388"/>
      <c r="L468" s="388"/>
      <c r="M468" s="388"/>
      <c r="N468" s="388"/>
      <c r="O468" s="388"/>
      <c r="P468" s="388"/>
      <c r="Q468" s="388"/>
      <c r="R468" s="388"/>
      <c r="S468" s="388"/>
      <c r="T468" s="388"/>
      <c r="U468" s="388"/>
      <c r="V468" s="388"/>
      <c r="W468" s="388"/>
      <c r="X468" s="388"/>
      <c r="Y468" s="388"/>
      <c r="Z468" s="388"/>
      <c r="AA468" s="389"/>
      <c r="AB468" s="389"/>
      <c r="AC468" s="389"/>
      <c r="AD468" s="389"/>
      <c r="AE468" s="389"/>
    </row>
    <row r="469" spans="2:31" ht="24" hidden="1" customHeight="1" thickBot="1" x14ac:dyDescent="0.4">
      <c r="B469" s="1368" t="s">
        <v>715</v>
      </c>
      <c r="C469" s="1369"/>
      <c r="D469" s="1530" t="str">
        <f>'Estudio de Mercados'!$B$238</f>
        <v>Escriba aquì el nombre de su producto ó servicio 4</v>
      </c>
      <c r="E469" s="1530"/>
      <c r="F469" s="1530"/>
      <c r="G469" s="1530"/>
      <c r="H469" s="1530"/>
      <c r="I469" s="1531"/>
      <c r="J469" s="388"/>
      <c r="K469" s="388"/>
      <c r="L469" s="388"/>
      <c r="M469" s="388"/>
      <c r="N469" s="388"/>
      <c r="O469" s="388"/>
      <c r="P469" s="388"/>
      <c r="Q469" s="388"/>
      <c r="R469" s="388"/>
      <c r="S469" s="388"/>
      <c r="T469" s="388"/>
      <c r="U469" s="392"/>
      <c r="V469" s="392"/>
      <c r="W469" s="392"/>
      <c r="X469" s="392"/>
      <c r="Y469" s="392"/>
      <c r="Z469" s="392"/>
      <c r="AA469" s="393"/>
      <c r="AB469" s="393"/>
      <c r="AC469" s="393"/>
      <c r="AD469" s="393"/>
      <c r="AE469" s="393"/>
    </row>
    <row r="470" spans="2:31" ht="15" hidden="1" customHeight="1" thickBot="1" x14ac:dyDescent="0.4">
      <c r="B470" s="388"/>
      <c r="C470" s="388"/>
      <c r="D470" s="388"/>
      <c r="E470" s="388"/>
      <c r="F470" s="388"/>
      <c r="G470" s="388"/>
      <c r="H470" s="388"/>
      <c r="I470" s="388"/>
      <c r="J470" s="388"/>
      <c r="K470" s="388"/>
      <c r="L470" s="388"/>
      <c r="M470" s="388"/>
      <c r="N470" s="388"/>
      <c r="O470" s="388"/>
      <c r="P470" s="388"/>
      <c r="Q470" s="388"/>
      <c r="R470" s="388"/>
      <c r="S470" s="388"/>
      <c r="T470" s="388"/>
      <c r="U470" s="388"/>
      <c r="V470" s="388"/>
      <c r="W470" s="388"/>
      <c r="X470" s="388"/>
      <c r="Y470" s="388"/>
      <c r="Z470" s="388"/>
      <c r="AA470" s="389"/>
      <c r="AB470" s="389"/>
      <c r="AC470" s="389"/>
      <c r="AD470" s="389"/>
      <c r="AE470" s="389"/>
    </row>
    <row r="471" spans="2:31" ht="31.5" hidden="1" customHeight="1" thickBot="1" x14ac:dyDescent="0.4">
      <c r="B471" s="1306" t="s">
        <v>702</v>
      </c>
      <c r="C471" s="1307"/>
      <c r="D471" s="1307"/>
      <c r="E471" s="1307"/>
      <c r="F471" s="1307"/>
      <c r="G471" s="1307"/>
      <c r="H471" s="1307"/>
      <c r="I471" s="1316"/>
      <c r="J471" s="1511" t="s">
        <v>630</v>
      </c>
      <c r="K471" s="1307"/>
      <c r="L471" s="1316"/>
      <c r="M471" s="1105" t="s">
        <v>703</v>
      </c>
      <c r="N471" s="1302"/>
      <c r="O471" s="1303"/>
      <c r="P471" s="1515" t="s">
        <v>704</v>
      </c>
      <c r="Q471" s="1307"/>
      <c r="R471" s="1316"/>
      <c r="S471" s="1511" t="s">
        <v>618</v>
      </c>
      <c r="T471" s="1307"/>
      <c r="U471" s="447" t="s">
        <v>631</v>
      </c>
      <c r="V471" s="447" t="s">
        <v>632</v>
      </c>
      <c r="W471" s="447" t="s">
        <v>633</v>
      </c>
      <c r="X471" s="447" t="s">
        <v>634</v>
      </c>
      <c r="Y471" s="448" t="s">
        <v>635</v>
      </c>
      <c r="Z471" s="388"/>
      <c r="AA471" s="389"/>
      <c r="AB471" s="389"/>
      <c r="AC471" s="389"/>
      <c r="AD471" s="389"/>
      <c r="AE471" s="389"/>
    </row>
    <row r="472" spans="2:31" ht="15.75" hidden="1" customHeight="1" x14ac:dyDescent="0.35">
      <c r="B472" s="1532"/>
      <c r="C472" s="1310"/>
      <c r="D472" s="1310"/>
      <c r="E472" s="1310"/>
      <c r="F472" s="1310"/>
      <c r="G472" s="1310"/>
      <c r="H472" s="1310"/>
      <c r="I472" s="1311"/>
      <c r="J472" s="1314"/>
      <c r="K472" s="1310"/>
      <c r="L472" s="1311"/>
      <c r="M472" s="1314"/>
      <c r="N472" s="1533"/>
      <c r="O472" s="1534"/>
      <c r="P472" s="1535"/>
      <c r="Q472" s="1310"/>
      <c r="R472" s="1311"/>
      <c r="S472" s="1536">
        <f>M472*P472</f>
        <v>0</v>
      </c>
      <c r="T472" s="1256"/>
      <c r="U472" s="461">
        <f>S472</f>
        <v>0</v>
      </c>
      <c r="V472" s="461">
        <f>U472*(1+$AC$396)</f>
        <v>0</v>
      </c>
      <c r="W472" s="461">
        <f>V472*(1+$AC$397)</f>
        <v>0</v>
      </c>
      <c r="X472" s="461">
        <f>W472*(1+$AC$398)</f>
        <v>0</v>
      </c>
      <c r="Y472" s="462">
        <f>X472*(1+$AC$399)</f>
        <v>0</v>
      </c>
      <c r="Z472" s="388"/>
      <c r="AA472" s="389"/>
      <c r="AB472" s="389"/>
      <c r="AC472" s="389"/>
      <c r="AD472" s="389"/>
      <c r="AE472" s="389"/>
    </row>
    <row r="473" spans="2:31" ht="15.75" hidden="1" customHeight="1" x14ac:dyDescent="0.35">
      <c r="B473" s="1516"/>
      <c r="C473" s="1031"/>
      <c r="D473" s="1031"/>
      <c r="E473" s="1031"/>
      <c r="F473" s="1031"/>
      <c r="G473" s="1031"/>
      <c r="H473" s="1031"/>
      <c r="I473" s="1032"/>
      <c r="J473" s="1030"/>
      <c r="K473" s="1031"/>
      <c r="L473" s="1032"/>
      <c r="M473" s="1030"/>
      <c r="N473" s="1033"/>
      <c r="O473" s="1034"/>
      <c r="P473" s="1035"/>
      <c r="Q473" s="1031"/>
      <c r="R473" s="1032"/>
      <c r="S473" s="1038">
        <f>M473*P473</f>
        <v>0</v>
      </c>
      <c r="T473" s="1039"/>
      <c r="U473" s="451">
        <f>S473</f>
        <v>0</v>
      </c>
      <c r="V473" s="451">
        <f>U473*(1+$AC$396)</f>
        <v>0</v>
      </c>
      <c r="W473" s="451">
        <f>V473*(1+$AC$397)</f>
        <v>0</v>
      </c>
      <c r="X473" s="451">
        <f>W473*(1+$AC$398)</f>
        <v>0</v>
      </c>
      <c r="Y473" s="452">
        <f>X473*(1+$AC$399)</f>
        <v>0</v>
      </c>
      <c r="Z473" s="388"/>
      <c r="AA473" s="389"/>
      <c r="AB473" s="389"/>
      <c r="AC473" s="389"/>
      <c r="AD473" s="389"/>
      <c r="AE473" s="389"/>
    </row>
    <row r="474" spans="2:31" ht="15.75" hidden="1" customHeight="1" x14ac:dyDescent="0.35">
      <c r="B474" s="1516"/>
      <c r="C474" s="1031"/>
      <c r="D474" s="1031"/>
      <c r="E474" s="1031"/>
      <c r="F474" s="1031"/>
      <c r="G474" s="1031"/>
      <c r="H474" s="1031"/>
      <c r="I474" s="1032"/>
      <c r="J474" s="1030"/>
      <c r="K474" s="1031"/>
      <c r="L474" s="1032"/>
      <c r="M474" s="1030"/>
      <c r="N474" s="1033"/>
      <c r="O474" s="1034"/>
      <c r="P474" s="1035"/>
      <c r="Q474" s="1031"/>
      <c r="R474" s="1032"/>
      <c r="S474" s="1038">
        <f>M474*P474</f>
        <v>0</v>
      </c>
      <c r="T474" s="1039"/>
      <c r="U474" s="451">
        <f>S474</f>
        <v>0</v>
      </c>
      <c r="V474" s="451">
        <f>U474*(1+$AC$396)</f>
        <v>0</v>
      </c>
      <c r="W474" s="451">
        <f>V474*(1+$AC$397)</f>
        <v>0</v>
      </c>
      <c r="X474" s="451">
        <f>W474*(1+$AC$398)</f>
        <v>0</v>
      </c>
      <c r="Y474" s="452">
        <f>X474*(1+$AC$399)</f>
        <v>0</v>
      </c>
      <c r="Z474" s="388"/>
      <c r="AA474" s="389"/>
      <c r="AB474" s="463"/>
      <c r="AC474" s="389"/>
      <c r="AD474" s="389"/>
      <c r="AE474" s="389"/>
    </row>
    <row r="475" spans="2:31" ht="15.75" hidden="1" customHeight="1" x14ac:dyDescent="0.35">
      <c r="B475" s="1516"/>
      <c r="C475" s="1031"/>
      <c r="D475" s="1031"/>
      <c r="E475" s="1031"/>
      <c r="F475" s="1031"/>
      <c r="G475" s="1031"/>
      <c r="H475" s="1031"/>
      <c r="I475" s="1032"/>
      <c r="J475" s="1030"/>
      <c r="K475" s="1031"/>
      <c r="L475" s="1032"/>
      <c r="M475" s="1030"/>
      <c r="N475" s="1033"/>
      <c r="O475" s="1034"/>
      <c r="P475" s="1035"/>
      <c r="Q475" s="1031"/>
      <c r="R475" s="1032"/>
      <c r="S475" s="1038">
        <f>M475*P475</f>
        <v>0</v>
      </c>
      <c r="T475" s="1039"/>
      <c r="U475" s="451">
        <f>S475</f>
        <v>0</v>
      </c>
      <c r="V475" s="451">
        <f>U475*(1+$AC$396)</f>
        <v>0</v>
      </c>
      <c r="W475" s="451">
        <f>V475*(1+$AC$397)</f>
        <v>0</v>
      </c>
      <c r="X475" s="451">
        <f>W475*(1+$AC$398)</f>
        <v>0</v>
      </c>
      <c r="Y475" s="452">
        <f>X475*(1+$AC$399)</f>
        <v>0</v>
      </c>
      <c r="Z475" s="388"/>
      <c r="AA475" s="389"/>
      <c r="AB475" s="464"/>
      <c r="AC475" s="389"/>
      <c r="AD475" s="389"/>
      <c r="AE475" s="389"/>
    </row>
    <row r="476" spans="2:31" ht="15.75" hidden="1" customHeight="1" x14ac:dyDescent="0.35">
      <c r="B476" s="1516"/>
      <c r="C476" s="1031"/>
      <c r="D476" s="1031"/>
      <c r="E476" s="1031"/>
      <c r="F476" s="1031"/>
      <c r="G476" s="1031"/>
      <c r="H476" s="1031"/>
      <c r="I476" s="1032"/>
      <c r="J476" s="1030"/>
      <c r="K476" s="1031"/>
      <c r="L476" s="1032"/>
      <c r="M476" s="1030"/>
      <c r="N476" s="1033"/>
      <c r="O476" s="1034"/>
      <c r="P476" s="1035"/>
      <c r="Q476" s="1031"/>
      <c r="R476" s="1032"/>
      <c r="S476" s="1038">
        <f>M476*P476</f>
        <v>0</v>
      </c>
      <c r="T476" s="1039"/>
      <c r="U476" s="451">
        <f>S476</f>
        <v>0</v>
      </c>
      <c r="V476" s="451">
        <f>U476*(1+$AC$396)</f>
        <v>0</v>
      </c>
      <c r="W476" s="451">
        <f>V476*(1+$AC$397)</f>
        <v>0</v>
      </c>
      <c r="X476" s="451">
        <f>W476*(1+$AC$398)</f>
        <v>0</v>
      </c>
      <c r="Y476" s="452">
        <f>X476*(1+$AC$399)</f>
        <v>0</v>
      </c>
      <c r="Z476" s="388"/>
      <c r="AA476" s="389"/>
      <c r="AB476" s="464"/>
      <c r="AC476" s="389"/>
      <c r="AD476" s="389"/>
      <c r="AE476" s="389"/>
    </row>
    <row r="477" spans="2:31" ht="15.75" hidden="1" customHeight="1" x14ac:dyDescent="0.35">
      <c r="B477" s="1521" t="s">
        <v>706</v>
      </c>
      <c r="C477" s="1076"/>
      <c r="D477" s="1076"/>
      <c r="E477" s="1076"/>
      <c r="F477" s="1076"/>
      <c r="G477" s="1076"/>
      <c r="H477" s="1076"/>
      <c r="I477" s="1039"/>
      <c r="J477" s="455"/>
      <c r="K477" s="395"/>
      <c r="L477" s="395"/>
      <c r="M477" s="395"/>
      <c r="N477" s="395"/>
      <c r="O477" s="395"/>
      <c r="P477" s="395"/>
      <c r="Q477" s="395"/>
      <c r="R477" s="395"/>
      <c r="S477" s="1522">
        <f>+S472+S473+S474+S475+S476</f>
        <v>0</v>
      </c>
      <c r="T477" s="1538"/>
      <c r="U477" s="456">
        <f>SUM(U472:U476)</f>
        <v>0</v>
      </c>
      <c r="V477" s="456">
        <f>SUM(V472:V476)</f>
        <v>0</v>
      </c>
      <c r="W477" s="456">
        <f>SUM(W472:W476)</f>
        <v>0</v>
      </c>
      <c r="X477" s="456">
        <f>SUM(X472:X476)</f>
        <v>0</v>
      </c>
      <c r="Y477" s="457">
        <f>SUM(Y472:Y476)</f>
        <v>0</v>
      </c>
      <c r="Z477" s="388"/>
      <c r="AA477" s="389"/>
      <c r="AB477" s="464"/>
      <c r="AC477" s="389"/>
      <c r="AD477" s="389"/>
      <c r="AE477" s="389"/>
    </row>
    <row r="478" spans="2:31" ht="17.25" hidden="1" customHeight="1" x14ac:dyDescent="0.35">
      <c r="B478" s="1524" t="s">
        <v>707</v>
      </c>
      <c r="C478" s="1076"/>
      <c r="D478" s="1076"/>
      <c r="E478" s="1076"/>
      <c r="F478" s="1076"/>
      <c r="G478" s="1076"/>
      <c r="H478" s="1076"/>
      <c r="I478" s="1039"/>
      <c r="J478" s="1038"/>
      <c r="K478" s="1525"/>
      <c r="L478" s="1525"/>
      <c r="M478" s="1525"/>
      <c r="N478" s="1525"/>
      <c r="O478" s="1525"/>
      <c r="P478" s="1525"/>
      <c r="Q478" s="1525"/>
      <c r="R478" s="1525"/>
      <c r="S478" s="1525"/>
      <c r="T478" s="1526"/>
      <c r="U478" s="451"/>
      <c r="V478" s="451"/>
      <c r="W478" s="451"/>
      <c r="X478" s="451"/>
      <c r="Y478" s="452"/>
      <c r="Z478" s="388"/>
      <c r="AA478" s="389"/>
      <c r="AB478" s="464"/>
      <c r="AC478" s="389"/>
      <c r="AD478" s="389"/>
      <c r="AE478" s="389"/>
    </row>
    <row r="479" spans="2:31" ht="15.75" hidden="1" customHeight="1" x14ac:dyDescent="0.35">
      <c r="B479" s="1516"/>
      <c r="C479" s="1031"/>
      <c r="D479" s="1031"/>
      <c r="E479" s="1031"/>
      <c r="F479" s="1031"/>
      <c r="G479" s="1031"/>
      <c r="H479" s="1031"/>
      <c r="I479" s="1032"/>
      <c r="J479" s="1030"/>
      <c r="K479" s="1031"/>
      <c r="L479" s="1032"/>
      <c r="M479" s="1030"/>
      <c r="N479" s="1033"/>
      <c r="O479" s="1034"/>
      <c r="P479" s="1035"/>
      <c r="Q479" s="1031"/>
      <c r="R479" s="1032"/>
      <c r="S479" s="1038">
        <f>M479*P479</f>
        <v>0</v>
      </c>
      <c r="T479" s="1039"/>
      <c r="U479" s="451">
        <f>S479</f>
        <v>0</v>
      </c>
      <c r="V479" s="451">
        <f>U479*(1+$AC$396)</f>
        <v>0</v>
      </c>
      <c r="W479" s="451">
        <f>V479*(1+$AC$397)</f>
        <v>0</v>
      </c>
      <c r="X479" s="451">
        <f>W479*(1+$AC$398)</f>
        <v>0</v>
      </c>
      <c r="Y479" s="452">
        <f>X479*(1+$AC$399)</f>
        <v>0</v>
      </c>
      <c r="Z479" s="388"/>
      <c r="AA479" s="389"/>
      <c r="AB479" s="389"/>
      <c r="AC479" s="389"/>
      <c r="AD479" s="389"/>
      <c r="AE479" s="389"/>
    </row>
    <row r="480" spans="2:31" ht="15.75" hidden="1" customHeight="1" x14ac:dyDescent="0.35">
      <c r="B480" s="1516"/>
      <c r="C480" s="1031"/>
      <c r="D480" s="1031"/>
      <c r="E480" s="1031"/>
      <c r="F480" s="1031"/>
      <c r="G480" s="1031"/>
      <c r="H480" s="1031"/>
      <c r="I480" s="1032"/>
      <c r="J480" s="1030"/>
      <c r="K480" s="1031"/>
      <c r="L480" s="1032"/>
      <c r="M480" s="1030"/>
      <c r="N480" s="1033"/>
      <c r="O480" s="1034"/>
      <c r="P480" s="1035"/>
      <c r="Q480" s="1031"/>
      <c r="R480" s="1032"/>
      <c r="S480" s="1038">
        <f>M480*P480</f>
        <v>0</v>
      </c>
      <c r="T480" s="1039"/>
      <c r="U480" s="451">
        <f>S480</f>
        <v>0</v>
      </c>
      <c r="V480" s="451">
        <f>U480*(1+$AC$396)</f>
        <v>0</v>
      </c>
      <c r="W480" s="451">
        <f>V480*(1+$AC$397)</f>
        <v>0</v>
      </c>
      <c r="X480" s="451">
        <f>W480*(1+$AC$398)</f>
        <v>0</v>
      </c>
      <c r="Y480" s="452">
        <f>X480*(1+$AC$399)</f>
        <v>0</v>
      </c>
      <c r="Z480" s="388"/>
      <c r="AA480" s="389"/>
      <c r="AB480" s="389"/>
      <c r="AC480" s="389"/>
      <c r="AD480" s="389"/>
      <c r="AE480" s="389"/>
    </row>
    <row r="481" spans="1:31" ht="15.75" hidden="1" customHeight="1" x14ac:dyDescent="0.35">
      <c r="B481" s="1516"/>
      <c r="C481" s="1031"/>
      <c r="D481" s="1031"/>
      <c r="E481" s="1031"/>
      <c r="F481" s="1031"/>
      <c r="G481" s="1031"/>
      <c r="H481" s="1031"/>
      <c r="I481" s="1032"/>
      <c r="J481" s="1030"/>
      <c r="K481" s="1031"/>
      <c r="L481" s="1032"/>
      <c r="M481" s="1030"/>
      <c r="N481" s="1033"/>
      <c r="O481" s="1034"/>
      <c r="P481" s="1035"/>
      <c r="Q481" s="1031"/>
      <c r="R481" s="1032"/>
      <c r="S481" s="1038">
        <f>M481*P481</f>
        <v>0</v>
      </c>
      <c r="T481" s="1039"/>
      <c r="U481" s="451">
        <f>S481</f>
        <v>0</v>
      </c>
      <c r="V481" s="451">
        <f>U481*(1+$AC$396)</f>
        <v>0</v>
      </c>
      <c r="W481" s="451">
        <f>V481*(1+$AC$397)</f>
        <v>0</v>
      </c>
      <c r="X481" s="451">
        <f>W481*(1+$AC$398)</f>
        <v>0</v>
      </c>
      <c r="Y481" s="452">
        <f>X481*(1+$AC$399)</f>
        <v>0</v>
      </c>
      <c r="Z481" s="388"/>
      <c r="AA481" s="389"/>
      <c r="AB481" s="389"/>
      <c r="AC481" s="389"/>
      <c r="AD481" s="389"/>
      <c r="AE481" s="389"/>
    </row>
    <row r="482" spans="1:31" ht="15.75" hidden="1" customHeight="1" x14ac:dyDescent="0.35">
      <c r="B482" s="1516"/>
      <c r="C482" s="1031"/>
      <c r="D482" s="1031"/>
      <c r="E482" s="1031"/>
      <c r="F482" s="1031"/>
      <c r="G482" s="1031"/>
      <c r="H482" s="1031"/>
      <c r="I482" s="1032"/>
      <c r="J482" s="1030"/>
      <c r="K482" s="1031"/>
      <c r="L482" s="1032"/>
      <c r="M482" s="1030"/>
      <c r="N482" s="1033"/>
      <c r="O482" s="1034"/>
      <c r="P482" s="1035"/>
      <c r="Q482" s="1031"/>
      <c r="R482" s="1032"/>
      <c r="S482" s="1038">
        <f>M482*P482</f>
        <v>0</v>
      </c>
      <c r="T482" s="1039"/>
      <c r="U482" s="451">
        <f>S482</f>
        <v>0</v>
      </c>
      <c r="V482" s="451">
        <f>U482*(1+$AC$396)</f>
        <v>0</v>
      </c>
      <c r="W482" s="451">
        <f>V482*(1+$AC$397)</f>
        <v>0</v>
      </c>
      <c r="X482" s="451">
        <f>W482*(1+$AC$398)</f>
        <v>0</v>
      </c>
      <c r="Y482" s="452">
        <f>X482*(1+$AC$399)</f>
        <v>0</v>
      </c>
      <c r="Z482" s="388"/>
      <c r="AA482" s="389"/>
      <c r="AB482" s="389"/>
      <c r="AC482" s="389"/>
      <c r="AD482" s="389"/>
      <c r="AE482" s="389"/>
    </row>
    <row r="483" spans="1:31" ht="15.75" hidden="1" customHeight="1" x14ac:dyDescent="0.35">
      <c r="B483" s="1521" t="s">
        <v>708</v>
      </c>
      <c r="C483" s="1076"/>
      <c r="D483" s="1076"/>
      <c r="E483" s="1076"/>
      <c r="F483" s="1076"/>
      <c r="G483" s="1076"/>
      <c r="H483" s="1076"/>
      <c r="I483" s="1039"/>
      <c r="J483" s="455"/>
      <c r="K483" s="395"/>
      <c r="L483" s="395"/>
      <c r="M483" s="395"/>
      <c r="N483" s="395"/>
      <c r="O483" s="395"/>
      <c r="P483" s="395"/>
      <c r="Q483" s="395"/>
      <c r="R483" s="395"/>
      <c r="S483" s="1522">
        <f>+S479+S480+S481+S482</f>
        <v>0</v>
      </c>
      <c r="T483" s="1538"/>
      <c r="U483" s="465">
        <f>SUM(U479:U482)</f>
        <v>0</v>
      </c>
      <c r="V483" s="465">
        <f>SUM(V479:V482)</f>
        <v>0</v>
      </c>
      <c r="W483" s="465">
        <f>SUM(W479:W482)</f>
        <v>0</v>
      </c>
      <c r="X483" s="465">
        <f>SUM(X479:X482)</f>
        <v>0</v>
      </c>
      <c r="Y483" s="466">
        <f>SUM(Y479:Y482)</f>
        <v>0</v>
      </c>
      <c r="Z483" s="388"/>
      <c r="AA483" s="389"/>
      <c r="AB483" s="389"/>
      <c r="AC483" s="389"/>
      <c r="AD483" s="389"/>
      <c r="AE483" s="389"/>
    </row>
    <row r="484" spans="1:31" ht="15.75" hidden="1" customHeight="1" x14ac:dyDescent="0.35">
      <c r="B484" s="1524" t="s">
        <v>709</v>
      </c>
      <c r="C484" s="1076"/>
      <c r="D484" s="1076"/>
      <c r="E484" s="1076"/>
      <c r="F484" s="1076"/>
      <c r="G484" s="1076"/>
      <c r="H484" s="1076"/>
      <c r="I484" s="1039"/>
      <c r="J484" s="1038"/>
      <c r="K484" s="1076"/>
      <c r="L484" s="1039"/>
      <c r="M484" s="1038"/>
      <c r="N484" s="1525"/>
      <c r="O484" s="1526"/>
      <c r="P484" s="1537"/>
      <c r="Q484" s="1076"/>
      <c r="R484" s="1039"/>
      <c r="S484" s="1038"/>
      <c r="T484" s="1039"/>
      <c r="U484" s="451"/>
      <c r="V484" s="451"/>
      <c r="W484" s="451"/>
      <c r="X484" s="451"/>
      <c r="Y484" s="452"/>
      <c r="Z484" s="388"/>
      <c r="AA484" s="389"/>
      <c r="AB484" s="389"/>
      <c r="AC484" s="389"/>
      <c r="AD484" s="389"/>
      <c r="AE484" s="389"/>
    </row>
    <row r="485" spans="1:31" ht="15.75" hidden="1" customHeight="1" x14ac:dyDescent="0.35">
      <c r="B485" s="1516"/>
      <c r="C485" s="1031"/>
      <c r="D485" s="1031"/>
      <c r="E485" s="1031"/>
      <c r="F485" s="1031"/>
      <c r="G485" s="1031"/>
      <c r="H485" s="1031"/>
      <c r="I485" s="1032"/>
      <c r="J485" s="1030"/>
      <c r="K485" s="1031"/>
      <c r="L485" s="1032"/>
      <c r="M485" s="1030"/>
      <c r="N485" s="1033"/>
      <c r="O485" s="1034"/>
      <c r="P485" s="1035"/>
      <c r="Q485" s="1031"/>
      <c r="R485" s="1032"/>
      <c r="S485" s="1038">
        <f>M485*P485</f>
        <v>0</v>
      </c>
      <c r="T485" s="1039"/>
      <c r="U485" s="451">
        <f>S485</f>
        <v>0</v>
      </c>
      <c r="V485" s="451">
        <f>U485*(1+$AC$396)</f>
        <v>0</v>
      </c>
      <c r="W485" s="451">
        <f>V485*(1+$AC$397)</f>
        <v>0</v>
      </c>
      <c r="X485" s="451">
        <f>W485*(1+$AC$398)</f>
        <v>0</v>
      </c>
      <c r="Y485" s="452">
        <f>X485*(1+$AC$399)</f>
        <v>0</v>
      </c>
      <c r="Z485" s="388"/>
      <c r="AA485" s="389"/>
      <c r="AB485" s="389"/>
      <c r="AC485" s="389"/>
      <c r="AD485" s="389"/>
      <c r="AE485" s="389"/>
    </row>
    <row r="486" spans="1:31" ht="15.75" hidden="1" customHeight="1" x14ac:dyDescent="0.35">
      <c r="B486" s="1516"/>
      <c r="C486" s="1031"/>
      <c r="D486" s="1031"/>
      <c r="E486" s="1031"/>
      <c r="F486" s="1031"/>
      <c r="G486" s="1031"/>
      <c r="H486" s="1031"/>
      <c r="I486" s="1032"/>
      <c r="J486" s="1030"/>
      <c r="K486" s="1031"/>
      <c r="L486" s="1032"/>
      <c r="M486" s="1030"/>
      <c r="N486" s="1033"/>
      <c r="O486" s="1034"/>
      <c r="P486" s="1035"/>
      <c r="Q486" s="1031"/>
      <c r="R486" s="1032"/>
      <c r="S486" s="1038">
        <f>M486*P486</f>
        <v>0</v>
      </c>
      <c r="T486" s="1039"/>
      <c r="U486" s="451">
        <f>S486</f>
        <v>0</v>
      </c>
      <c r="V486" s="451">
        <f>U486*(1+$AC$396)</f>
        <v>0</v>
      </c>
      <c r="W486" s="451">
        <f>V486*(1+$AC$397)</f>
        <v>0</v>
      </c>
      <c r="X486" s="451">
        <f>W486*(1+$AC$398)</f>
        <v>0</v>
      </c>
      <c r="Y486" s="452">
        <f>X486*(1+$AC$399)</f>
        <v>0</v>
      </c>
      <c r="Z486" s="388"/>
      <c r="AA486" s="389"/>
      <c r="AB486" s="389"/>
      <c r="AC486" s="389"/>
      <c r="AD486" s="389"/>
      <c r="AE486" s="389"/>
    </row>
    <row r="487" spans="1:31" ht="15.75" hidden="1" customHeight="1" x14ac:dyDescent="0.35">
      <c r="B487" s="1516"/>
      <c r="C487" s="1031"/>
      <c r="D487" s="1031"/>
      <c r="E487" s="1031"/>
      <c r="F487" s="1031"/>
      <c r="G487" s="1031"/>
      <c r="H487" s="1031"/>
      <c r="I487" s="1032"/>
      <c r="J487" s="1030"/>
      <c r="K487" s="1031"/>
      <c r="L487" s="1032"/>
      <c r="M487" s="1030"/>
      <c r="N487" s="1033"/>
      <c r="O487" s="1034"/>
      <c r="P487" s="1035"/>
      <c r="Q487" s="1031"/>
      <c r="R487" s="1032"/>
      <c r="S487" s="1038">
        <f>M487*P487</f>
        <v>0</v>
      </c>
      <c r="T487" s="1039"/>
      <c r="U487" s="451">
        <f>S487</f>
        <v>0</v>
      </c>
      <c r="V487" s="451">
        <f>U487*(1+$AC$396)</f>
        <v>0</v>
      </c>
      <c r="W487" s="451">
        <f>V487*(1+$AC$397)</f>
        <v>0</v>
      </c>
      <c r="X487" s="451">
        <f>W487*(1+$AC$398)</f>
        <v>0</v>
      </c>
      <c r="Y487" s="452">
        <f>X487*(1+$AC$399)</f>
        <v>0</v>
      </c>
      <c r="Z487" s="388"/>
      <c r="AA487" s="389"/>
      <c r="AB487" s="389"/>
      <c r="AC487" s="389"/>
      <c r="AD487" s="389"/>
      <c r="AE487" s="389"/>
    </row>
    <row r="488" spans="1:31" ht="15.75" hidden="1" customHeight="1" x14ac:dyDescent="0.35">
      <c r="B488" s="1516"/>
      <c r="C488" s="1031"/>
      <c r="D488" s="1031"/>
      <c r="E488" s="1031"/>
      <c r="F488" s="1031"/>
      <c r="G488" s="1031"/>
      <c r="H488" s="1031"/>
      <c r="I488" s="1032"/>
      <c r="J488" s="1030"/>
      <c r="K488" s="1031"/>
      <c r="L488" s="1032"/>
      <c r="M488" s="1030"/>
      <c r="N488" s="1033"/>
      <c r="O488" s="1034"/>
      <c r="P488" s="1035"/>
      <c r="Q488" s="1031"/>
      <c r="R488" s="1032"/>
      <c r="S488" s="1038">
        <f>M488*P488</f>
        <v>0</v>
      </c>
      <c r="T488" s="1039"/>
      <c r="U488" s="451">
        <f>S488</f>
        <v>0</v>
      </c>
      <c r="V488" s="451">
        <f>U488*(1+$AC$396)</f>
        <v>0</v>
      </c>
      <c r="W488" s="451">
        <f>V488*(1+$AC$397)</f>
        <v>0</v>
      </c>
      <c r="X488" s="451">
        <f>W488*(1+$AC$398)</f>
        <v>0</v>
      </c>
      <c r="Y488" s="452">
        <f>X488*(1+$AC$399)</f>
        <v>0</v>
      </c>
      <c r="Z488" s="388"/>
      <c r="AA488" s="389"/>
      <c r="AB488" s="389"/>
      <c r="AC488" s="389"/>
      <c r="AD488" s="389"/>
      <c r="AE488" s="389"/>
    </row>
    <row r="489" spans="1:31" ht="15.75" hidden="1" customHeight="1" x14ac:dyDescent="0.35">
      <c r="B489" s="1516"/>
      <c r="C489" s="1031"/>
      <c r="D489" s="1031"/>
      <c r="E489" s="1031"/>
      <c r="F489" s="1031"/>
      <c r="G489" s="1031"/>
      <c r="H489" s="1031"/>
      <c r="I489" s="1032"/>
      <c r="J489" s="1030"/>
      <c r="K489" s="1031"/>
      <c r="L489" s="1032"/>
      <c r="M489" s="1030"/>
      <c r="N489" s="1033"/>
      <c r="O489" s="1034"/>
      <c r="P489" s="1035"/>
      <c r="Q489" s="1031"/>
      <c r="R489" s="1032"/>
      <c r="S489" s="1038">
        <f>M489*P489</f>
        <v>0</v>
      </c>
      <c r="T489" s="1039"/>
      <c r="U489" s="451">
        <f>S489</f>
        <v>0</v>
      </c>
      <c r="V489" s="451">
        <f>U489*(1+$AC$396)</f>
        <v>0</v>
      </c>
      <c r="W489" s="451">
        <f>V489*(1+$AC$397)</f>
        <v>0</v>
      </c>
      <c r="X489" s="451">
        <f>W489*(1+$AC$398)</f>
        <v>0</v>
      </c>
      <c r="Y489" s="452">
        <f>X489*(1+$AC$399)</f>
        <v>0</v>
      </c>
      <c r="Z489" s="388"/>
      <c r="AA489" s="389"/>
      <c r="AB489" s="389"/>
      <c r="AC489" s="389"/>
      <c r="AD489" s="389"/>
      <c r="AE489" s="389"/>
    </row>
    <row r="490" spans="1:31" ht="15.75" hidden="1" customHeight="1" x14ac:dyDescent="0.35">
      <c r="B490" s="1521" t="s">
        <v>710</v>
      </c>
      <c r="C490" s="1076"/>
      <c r="D490" s="1076"/>
      <c r="E490" s="1076"/>
      <c r="F490" s="1076"/>
      <c r="G490" s="1076"/>
      <c r="H490" s="1076"/>
      <c r="I490" s="1039"/>
      <c r="J490" s="455"/>
      <c r="K490" s="395"/>
      <c r="L490" s="395"/>
      <c r="M490" s="395"/>
      <c r="N490" s="395"/>
      <c r="O490" s="395"/>
      <c r="P490" s="395"/>
      <c r="Q490" s="395"/>
      <c r="R490" s="395"/>
      <c r="S490" s="1541">
        <f>SUM(S485:T489)</f>
        <v>0</v>
      </c>
      <c r="T490" s="1542"/>
      <c r="U490" s="456">
        <f>SUM(U485:U489)</f>
        <v>0</v>
      </c>
      <c r="V490" s="456">
        <f>SUM(V485:V489)</f>
        <v>0</v>
      </c>
      <c r="W490" s="456">
        <f>SUM(W485:W489)</f>
        <v>0</v>
      </c>
      <c r="X490" s="456">
        <f>SUM(X485:X489)</f>
        <v>0</v>
      </c>
      <c r="Y490" s="457">
        <f>SUM(Y485:Y489)</f>
        <v>0</v>
      </c>
      <c r="Z490" s="388"/>
      <c r="AA490" s="389"/>
      <c r="AB490" s="389"/>
      <c r="AC490" s="389"/>
      <c r="AD490" s="389"/>
      <c r="AE490" s="389"/>
    </row>
    <row r="491" spans="1:31" ht="17.25" hidden="1" customHeight="1" thickBot="1" x14ac:dyDescent="0.4">
      <c r="B491" s="1527" t="s">
        <v>716</v>
      </c>
      <c r="C491" s="1062"/>
      <c r="D491" s="1062"/>
      <c r="E491" s="1062"/>
      <c r="F491" s="1062"/>
      <c r="G491" s="1062"/>
      <c r="H491" s="1062"/>
      <c r="I491" s="1063"/>
      <c r="J491" s="458"/>
      <c r="K491" s="394"/>
      <c r="L491" s="394"/>
      <c r="M491" s="394"/>
      <c r="N491" s="394"/>
      <c r="O491" s="394"/>
      <c r="P491" s="394"/>
      <c r="Q491" s="394"/>
      <c r="R491" s="394"/>
      <c r="S491" s="1528">
        <f>+S477+S483+S490</f>
        <v>0</v>
      </c>
      <c r="T491" s="1543"/>
      <c r="U491" s="459">
        <f>U477+U483+U490</f>
        <v>0</v>
      </c>
      <c r="V491" s="459">
        <f>V477+V483+V490</f>
        <v>0</v>
      </c>
      <c r="W491" s="459">
        <f>W477+W483+W490</f>
        <v>0</v>
      </c>
      <c r="X491" s="459">
        <f>X477+X483+X490</f>
        <v>0</v>
      </c>
      <c r="Y491" s="460">
        <f>Y477+Y483+Y490</f>
        <v>0</v>
      </c>
      <c r="Z491" s="388"/>
      <c r="AA491" s="389"/>
      <c r="AB491" s="389"/>
      <c r="AC491" s="389"/>
      <c r="AD491" s="389"/>
      <c r="AE491" s="389"/>
    </row>
    <row r="492" spans="1:31" ht="15" customHeight="1" x14ac:dyDescent="0.35">
      <c r="B492" s="388"/>
      <c r="C492" s="388"/>
      <c r="D492" s="388"/>
      <c r="E492" s="388"/>
      <c r="F492" s="388"/>
      <c r="G492" s="388"/>
      <c r="H492" s="388"/>
      <c r="I492" s="388"/>
      <c r="J492" s="388"/>
      <c r="K492" s="388"/>
      <c r="L492" s="388"/>
      <c r="M492" s="388"/>
      <c r="N492" s="388"/>
      <c r="O492" s="388"/>
      <c r="P492" s="388"/>
      <c r="Q492" s="388"/>
      <c r="R492" s="388"/>
      <c r="S492" s="388"/>
      <c r="T492" s="388"/>
      <c r="U492" s="388"/>
      <c r="V492" s="388"/>
      <c r="W492" s="388"/>
      <c r="X492" s="388"/>
      <c r="Y492" s="388"/>
      <c r="Z492" s="388"/>
      <c r="AA492" s="389"/>
      <c r="AB492" s="389"/>
      <c r="AC492" s="389"/>
      <c r="AD492" s="389"/>
      <c r="AE492" s="389"/>
    </row>
    <row r="493" spans="1:31" ht="15" customHeight="1" x14ac:dyDescent="0.35">
      <c r="B493" s="388"/>
      <c r="C493" s="388"/>
      <c r="D493" s="388"/>
      <c r="E493" s="388"/>
      <c r="F493" s="388"/>
      <c r="G493" s="388"/>
      <c r="H493" s="388"/>
      <c r="I493" s="388"/>
      <c r="J493" s="388"/>
      <c r="K493" s="388"/>
      <c r="L493" s="388"/>
      <c r="M493" s="388"/>
      <c r="N493" s="388"/>
      <c r="O493" s="388"/>
      <c r="P493" s="388"/>
      <c r="Q493" s="388"/>
      <c r="R493" s="388"/>
      <c r="S493" s="388"/>
      <c r="T493" s="388"/>
      <c r="U493" s="388"/>
      <c r="V493" s="388"/>
      <c r="W493" s="388"/>
      <c r="X493" s="388"/>
      <c r="Y493" s="388"/>
      <c r="Z493" s="388"/>
      <c r="AA493" s="389"/>
      <c r="AB493" s="389"/>
      <c r="AC493" s="389"/>
      <c r="AD493" s="389"/>
      <c r="AE493" s="389"/>
    </row>
    <row r="494" spans="1:31" s="389" customFormat="1" ht="21.75" customHeight="1" x14ac:dyDescent="0.35">
      <c r="A494" s="388"/>
      <c r="B494" s="1067" t="s">
        <v>717</v>
      </c>
      <c r="C494" s="1067"/>
      <c r="D494" s="1067"/>
      <c r="E494" s="1067"/>
      <c r="F494" s="1067"/>
      <c r="G494" s="1067"/>
      <c r="H494" s="1067"/>
      <c r="I494" s="1067"/>
      <c r="J494" s="1067"/>
      <c r="K494" s="1067"/>
      <c r="L494" s="1067"/>
      <c r="M494" s="1067"/>
      <c r="N494" s="1067"/>
      <c r="O494" s="1067"/>
      <c r="P494" s="1067"/>
      <c r="Q494" s="1067"/>
      <c r="R494" s="1067"/>
      <c r="S494" s="1067"/>
      <c r="T494" s="1067"/>
      <c r="U494" s="1067"/>
      <c r="V494" s="1067"/>
      <c r="W494" s="1067"/>
      <c r="X494" s="1067"/>
      <c r="Y494" s="1067"/>
      <c r="Z494" s="388"/>
    </row>
    <row r="495" spans="1:31" ht="15" customHeight="1" x14ac:dyDescent="0.35">
      <c r="B495" s="388"/>
      <c r="C495" s="388"/>
      <c r="D495" s="388"/>
      <c r="E495" s="388"/>
      <c r="F495" s="388"/>
      <c r="G495" s="388"/>
      <c r="H495" s="388"/>
      <c r="I495" s="388"/>
      <c r="J495" s="388"/>
      <c r="K495" s="388"/>
      <c r="L495" s="388"/>
      <c r="M495" s="388"/>
      <c r="N495" s="388"/>
      <c r="O495" s="388"/>
      <c r="P495" s="388"/>
      <c r="Q495" s="388"/>
      <c r="R495" s="388"/>
      <c r="S495" s="388"/>
      <c r="T495" s="388"/>
      <c r="U495" s="388"/>
      <c r="V495" s="388"/>
      <c r="W495" s="388"/>
      <c r="X495" s="388"/>
      <c r="Y495" s="388"/>
      <c r="Z495" s="388"/>
      <c r="AA495" s="389"/>
      <c r="AB495" s="389"/>
      <c r="AC495" s="389"/>
      <c r="AD495" s="389"/>
      <c r="AE495" s="389"/>
    </row>
    <row r="496" spans="1:31" ht="15" customHeight="1" thickBot="1" x14ac:dyDescent="0.4">
      <c r="B496" s="388"/>
      <c r="C496" s="388"/>
      <c r="D496" s="388"/>
      <c r="E496" s="388"/>
      <c r="F496" s="388"/>
      <c r="G496" s="388"/>
      <c r="H496" s="388"/>
      <c r="I496" s="388"/>
      <c r="J496" s="388"/>
      <c r="K496" s="388"/>
      <c r="L496" s="388"/>
      <c r="M496" s="388"/>
      <c r="N496" s="388"/>
      <c r="O496" s="388"/>
      <c r="P496" s="388"/>
      <c r="Q496" s="388"/>
      <c r="R496" s="388"/>
      <c r="S496" s="388"/>
      <c r="T496" s="388"/>
      <c r="U496" s="388"/>
      <c r="V496" s="388"/>
      <c r="W496" s="388"/>
      <c r="X496" s="388"/>
      <c r="Y496" s="388"/>
      <c r="Z496" s="388"/>
      <c r="AA496" s="389"/>
      <c r="AB496" s="389"/>
      <c r="AC496" s="389"/>
      <c r="AD496" s="389"/>
      <c r="AE496" s="389"/>
    </row>
    <row r="497" spans="1:31" s="389" customFormat="1" ht="20.25" customHeight="1" thickBot="1" x14ac:dyDescent="0.4">
      <c r="A497" s="388"/>
      <c r="B497" s="388"/>
      <c r="C497" s="388"/>
      <c r="D497" s="388"/>
      <c r="E497" s="1544"/>
      <c r="F497" s="1544"/>
      <c r="G497" s="1544"/>
      <c r="H497" s="1544"/>
      <c r="I497" s="1544"/>
      <c r="J497" s="1368" t="s">
        <v>718</v>
      </c>
      <c r="K497" s="1369"/>
      <c r="L497" s="1369"/>
      <c r="M497" s="1369"/>
      <c r="N497" s="1369"/>
      <c r="O497" s="1369"/>
      <c r="P497" s="1369"/>
      <c r="Q497" s="1369"/>
      <c r="R497" s="1369"/>
      <c r="S497" s="1369"/>
      <c r="T497" s="1369"/>
      <c r="U497" s="1369"/>
      <c r="V497" s="1369"/>
      <c r="W497" s="1370"/>
      <c r="X497" s="388"/>
      <c r="Y497" s="388"/>
      <c r="Z497" s="388"/>
    </row>
    <row r="498" spans="1:31" s="389" customFormat="1" ht="19.5" customHeight="1" x14ac:dyDescent="0.35">
      <c r="A498" s="388"/>
      <c r="B498" s="388"/>
      <c r="C498" s="388"/>
      <c r="D498" s="388"/>
      <c r="E498" s="1557" t="s">
        <v>719</v>
      </c>
      <c r="F498" s="1539"/>
      <c r="G498" s="1539"/>
      <c r="H498" s="1539"/>
      <c r="I498" s="1539"/>
      <c r="J498" s="1539" t="s">
        <v>631</v>
      </c>
      <c r="K498" s="1539"/>
      <c r="L498" s="1558" t="s">
        <v>632</v>
      </c>
      <c r="M498" s="1559"/>
      <c r="N498" s="1560"/>
      <c r="O498" s="1539" t="s">
        <v>633</v>
      </c>
      <c r="P498" s="1539"/>
      <c r="Q498" s="1539"/>
      <c r="R498" s="1539"/>
      <c r="S498" s="1539" t="s">
        <v>634</v>
      </c>
      <c r="T498" s="1539"/>
      <c r="U498" s="1539"/>
      <c r="V498" s="1539" t="s">
        <v>635</v>
      </c>
      <c r="W498" s="1540"/>
      <c r="X498" s="388"/>
      <c r="Y498" s="388"/>
      <c r="Z498" s="388"/>
    </row>
    <row r="499" spans="1:31" s="389" customFormat="1" ht="33" customHeight="1" x14ac:dyDescent="0.35">
      <c r="A499" s="388"/>
      <c r="B499" s="388"/>
      <c r="C499" s="388"/>
      <c r="D499" s="388"/>
      <c r="E499" s="1495" t="str">
        <f>D393</f>
        <v>Gestión integral de Cartera y Cobranza</v>
      </c>
      <c r="F499" s="1496"/>
      <c r="G499" s="1496"/>
      <c r="H499" s="1496"/>
      <c r="I499" s="1496"/>
      <c r="J499" s="1552">
        <f>+(T268*(U419/12))</f>
        <v>674095691.11304343</v>
      </c>
      <c r="K499" s="1552"/>
      <c r="L499" s="1553">
        <f>+(U268*(V419/12))</f>
        <v>755295198.32768679</v>
      </c>
      <c r="M499" s="1554"/>
      <c r="N499" s="1555"/>
      <c r="O499" s="1552">
        <f>+(V268*(W419/12))</f>
        <v>834100933.69605863</v>
      </c>
      <c r="P499" s="1552"/>
      <c r="Q499" s="1552"/>
      <c r="R499" s="1552"/>
      <c r="S499" s="1552">
        <f>+(W268*(X419/12))</f>
        <v>901907236.42798448</v>
      </c>
      <c r="T499" s="1552"/>
      <c r="U499" s="1552"/>
      <c r="V499" s="1552">
        <f>+(X268*(Y419/12))</f>
        <v>973179232.26913691</v>
      </c>
      <c r="W499" s="1556"/>
      <c r="X499" s="388"/>
      <c r="Y499" s="388"/>
      <c r="Z499" s="388"/>
    </row>
    <row r="500" spans="1:31" s="389" customFormat="1" ht="33" customHeight="1" x14ac:dyDescent="0.35">
      <c r="A500" s="388"/>
      <c r="B500" s="388"/>
      <c r="C500" s="388"/>
      <c r="D500" s="388"/>
      <c r="E500" s="1550" t="str">
        <f>'Estudio de Mercados'!$B$226</f>
        <v>Escriba aquì el nombre de su producto ó servicio 2</v>
      </c>
      <c r="F500" s="1551"/>
      <c r="G500" s="1551"/>
      <c r="H500" s="1551"/>
      <c r="I500" s="1551"/>
      <c r="J500" s="1552">
        <f>+(T269*U443)</f>
        <v>0</v>
      </c>
      <c r="K500" s="1552"/>
      <c r="L500" s="1553">
        <f>+(U269*V443)</f>
        <v>0</v>
      </c>
      <c r="M500" s="1554"/>
      <c r="N500" s="1555"/>
      <c r="O500" s="1552">
        <f>+(V269*W443)</f>
        <v>0</v>
      </c>
      <c r="P500" s="1552"/>
      <c r="Q500" s="1552"/>
      <c r="R500" s="1552"/>
      <c r="S500" s="1552">
        <f>+(W269*X443)</f>
        <v>0</v>
      </c>
      <c r="T500" s="1552"/>
      <c r="U500" s="1552"/>
      <c r="V500" s="1552">
        <f>+(X269*Y443)</f>
        <v>0</v>
      </c>
      <c r="W500" s="1556"/>
      <c r="X500" s="388"/>
      <c r="Y500" s="388"/>
      <c r="Z500" s="388"/>
    </row>
    <row r="501" spans="1:31" s="389" customFormat="1" ht="33" customHeight="1" x14ac:dyDescent="0.35">
      <c r="A501" s="388"/>
      <c r="B501" s="388"/>
      <c r="C501" s="388"/>
      <c r="D501" s="388"/>
      <c r="E501" s="1550" t="str">
        <f>'Estudio de Mercados'!$B$232</f>
        <v>Escriba aquì el nombre de su producto ó servicio 3</v>
      </c>
      <c r="F501" s="1551"/>
      <c r="G501" s="1551"/>
      <c r="H501" s="1551"/>
      <c r="I501" s="1551"/>
      <c r="J501" s="1552">
        <f>+(T270*U467)</f>
        <v>0</v>
      </c>
      <c r="K501" s="1552"/>
      <c r="L501" s="1553">
        <f>+(U270*V467)</f>
        <v>0</v>
      </c>
      <c r="M501" s="1554"/>
      <c r="N501" s="1555"/>
      <c r="O501" s="1552">
        <f>+(V270*W467)</f>
        <v>0</v>
      </c>
      <c r="P501" s="1552"/>
      <c r="Q501" s="1552"/>
      <c r="R501" s="1552"/>
      <c r="S501" s="1552">
        <f>+(W270*X467)</f>
        <v>0</v>
      </c>
      <c r="T501" s="1552"/>
      <c r="U501" s="1552"/>
      <c r="V501" s="1552">
        <f>+(X270*Y467)</f>
        <v>0</v>
      </c>
      <c r="W501" s="1556"/>
      <c r="X501" s="388"/>
      <c r="Y501" s="388"/>
      <c r="Z501" s="388"/>
    </row>
    <row r="502" spans="1:31" s="389" customFormat="1" ht="33" customHeight="1" x14ac:dyDescent="0.35">
      <c r="A502" s="388"/>
      <c r="B502" s="388"/>
      <c r="C502" s="388"/>
      <c r="D502" s="388"/>
      <c r="E502" s="1550" t="str">
        <f>'Estudio de Mercados'!$B$238</f>
        <v>Escriba aquì el nombre de su producto ó servicio 4</v>
      </c>
      <c r="F502" s="1551"/>
      <c r="G502" s="1551"/>
      <c r="H502" s="1551"/>
      <c r="I502" s="1551"/>
      <c r="J502" s="1552">
        <f>+(U491*T271)</f>
        <v>0</v>
      </c>
      <c r="K502" s="1552"/>
      <c r="L502" s="1553">
        <f>+(V491*U271)</f>
        <v>0</v>
      </c>
      <c r="M502" s="1554"/>
      <c r="N502" s="1555"/>
      <c r="O502" s="1552">
        <f>+(W491*V271)</f>
        <v>0</v>
      </c>
      <c r="P502" s="1552"/>
      <c r="Q502" s="1552"/>
      <c r="R502" s="1552"/>
      <c r="S502" s="1552">
        <f>+(X491*W271)</f>
        <v>0</v>
      </c>
      <c r="T502" s="1552"/>
      <c r="U502" s="1552"/>
      <c r="V502" s="1552">
        <f>+(Y491*X271)</f>
        <v>0</v>
      </c>
      <c r="W502" s="1556"/>
      <c r="X502" s="388"/>
      <c r="Y502" s="388"/>
      <c r="Z502" s="388"/>
    </row>
    <row r="503" spans="1:31" ht="30.75" customHeight="1" thickBot="1" x14ac:dyDescent="0.4">
      <c r="B503" s="388"/>
      <c r="C503" s="388"/>
      <c r="D503" s="388"/>
      <c r="E503" s="1276" t="s">
        <v>159</v>
      </c>
      <c r="F503" s="1278"/>
      <c r="G503" s="1278"/>
      <c r="H503" s="1278"/>
      <c r="I503" s="1278"/>
      <c r="J503" s="1545">
        <f>SUM(J499:K502)</f>
        <v>674095691.11304343</v>
      </c>
      <c r="K503" s="1278"/>
      <c r="L503" s="1546">
        <f>SUM(L499:N502)</f>
        <v>755295198.32768679</v>
      </c>
      <c r="M503" s="1547"/>
      <c r="N503" s="1548"/>
      <c r="O503" s="1545">
        <f>SUM(O499:R502)</f>
        <v>834100933.69605863</v>
      </c>
      <c r="P503" s="1278"/>
      <c r="Q503" s="1278"/>
      <c r="R503" s="1278"/>
      <c r="S503" s="1545">
        <f>SUM(S499:U502)</f>
        <v>901907236.42798448</v>
      </c>
      <c r="T503" s="1278"/>
      <c r="U503" s="1278"/>
      <c r="V503" s="1545">
        <f>SUM(V499:W502)</f>
        <v>973179232.26913691</v>
      </c>
      <c r="W503" s="1549"/>
      <c r="X503" s="388"/>
      <c r="Y503" s="388"/>
      <c r="Z503" s="388"/>
      <c r="AA503" s="389"/>
      <c r="AB503" s="389"/>
      <c r="AC503" s="389"/>
      <c r="AD503" s="389"/>
      <c r="AE503" s="389"/>
    </row>
    <row r="504" spans="1:31" ht="15" customHeight="1" x14ac:dyDescent="0.35">
      <c r="B504" s="388"/>
      <c r="C504" s="388"/>
      <c r="D504" s="388"/>
      <c r="E504" s="388"/>
      <c r="F504" s="388"/>
      <c r="G504" s="388"/>
      <c r="H504" s="388"/>
      <c r="I504" s="388"/>
      <c r="J504" s="388"/>
      <c r="K504" s="388"/>
      <c r="L504" s="388"/>
      <c r="M504" s="388"/>
      <c r="N504" s="388"/>
      <c r="O504" s="388"/>
      <c r="P504" s="388"/>
      <c r="Q504" s="388"/>
      <c r="R504" s="388"/>
      <c r="S504" s="388"/>
      <c r="T504" s="388"/>
      <c r="U504" s="388"/>
      <c r="V504" s="388"/>
      <c r="W504" s="388"/>
      <c r="X504" s="388"/>
      <c r="Y504" s="388"/>
      <c r="Z504" s="388"/>
      <c r="AA504" s="389"/>
      <c r="AB504" s="389"/>
      <c r="AC504" s="389"/>
      <c r="AD504" s="389"/>
      <c r="AE504" s="389"/>
    </row>
    <row r="505" spans="1:31" ht="15" customHeight="1" x14ac:dyDescent="0.35">
      <c r="B505" s="388"/>
      <c r="C505" s="388"/>
      <c r="D505" s="388"/>
      <c r="E505" s="388"/>
      <c r="F505" s="388"/>
      <c r="G505" s="388"/>
      <c r="H505" s="388"/>
      <c r="I505" s="388"/>
      <c r="J505" s="388"/>
      <c r="K505" s="388"/>
      <c r="L505" s="388"/>
      <c r="M505" s="388"/>
      <c r="N505" s="388"/>
      <c r="O505" s="388"/>
      <c r="P505" s="388"/>
      <c r="Q505" s="388"/>
      <c r="R505" s="388"/>
      <c r="S505" s="388"/>
      <c r="T505" s="388"/>
      <c r="U505" s="388"/>
      <c r="V505" s="388"/>
      <c r="W505" s="388"/>
      <c r="X505" s="388"/>
      <c r="Y505" s="388"/>
      <c r="Z505" s="388"/>
      <c r="AA505" s="389"/>
      <c r="AB505" s="389"/>
      <c r="AC505" s="389"/>
      <c r="AD505" s="389"/>
      <c r="AE505" s="389"/>
    </row>
    <row r="506" spans="1:31" ht="15" customHeight="1" x14ac:dyDescent="0.35">
      <c r="A506" s="390"/>
      <c r="B506" s="390"/>
      <c r="C506" s="390"/>
      <c r="D506" s="390"/>
      <c r="E506" s="390"/>
      <c r="F506" s="390"/>
      <c r="G506" s="390"/>
      <c r="H506" s="390"/>
      <c r="I506" s="390"/>
      <c r="J506" s="390"/>
      <c r="K506" s="390"/>
      <c r="L506" s="390"/>
      <c r="M506" s="390"/>
      <c r="N506" s="390"/>
      <c r="O506" s="390"/>
      <c r="P506" s="390"/>
      <c r="Q506" s="390"/>
      <c r="R506" s="390"/>
      <c r="S506" s="390"/>
      <c r="T506" s="390"/>
      <c r="U506" s="390"/>
      <c r="V506" s="390"/>
      <c r="W506" s="390"/>
      <c r="X506" s="390"/>
      <c r="Y506" s="390"/>
      <c r="Z506" s="390"/>
    </row>
    <row r="507" spans="1:31" ht="15" customHeight="1" x14ac:dyDescent="0.35">
      <c r="A507" s="390"/>
      <c r="B507" s="390"/>
      <c r="C507" s="390"/>
      <c r="D507" s="390"/>
      <c r="E507" s="390"/>
      <c r="F507" s="390"/>
      <c r="G507" s="390"/>
      <c r="H507" s="390"/>
      <c r="I507" s="390"/>
      <c r="J507" s="390"/>
      <c r="K507" s="390"/>
      <c r="L507" s="390"/>
      <c r="M507" s="390"/>
      <c r="N507" s="390"/>
      <c r="O507" s="390"/>
      <c r="P507" s="390"/>
      <c r="Q507" s="390"/>
      <c r="R507" s="390"/>
      <c r="S507" s="390"/>
      <c r="T507" s="390"/>
      <c r="U507" s="390"/>
      <c r="V507" s="390"/>
      <c r="W507" s="390"/>
      <c r="X507" s="390"/>
      <c r="Y507" s="390"/>
      <c r="Z507" s="390"/>
    </row>
    <row r="508" spans="1:31" ht="15" customHeight="1" x14ac:dyDescent="0.35">
      <c r="A508" s="390"/>
      <c r="B508" s="390"/>
      <c r="C508" s="390"/>
      <c r="D508" s="390"/>
      <c r="E508" s="390"/>
      <c r="F508" s="390"/>
      <c r="G508" s="390"/>
      <c r="H508" s="390"/>
      <c r="I508" s="390"/>
      <c r="J508" s="390"/>
      <c r="K508" s="390"/>
      <c r="L508" s="390"/>
      <c r="M508" s="390"/>
      <c r="N508" s="390"/>
      <c r="O508" s="390"/>
      <c r="P508" s="390"/>
      <c r="Q508" s="390"/>
      <c r="R508" s="390"/>
      <c r="S508" s="390"/>
      <c r="T508" s="390"/>
      <c r="U508" s="390"/>
      <c r="V508" s="390"/>
      <c r="W508" s="390"/>
      <c r="X508" s="390"/>
      <c r="Y508" s="390"/>
      <c r="Z508" s="390"/>
    </row>
    <row r="509" spans="1:31" ht="15" customHeight="1" x14ac:dyDescent="0.35">
      <c r="A509" s="390"/>
      <c r="B509" s="390"/>
      <c r="C509" s="390"/>
      <c r="D509" s="390"/>
      <c r="E509" s="390"/>
      <c r="F509" s="390"/>
      <c r="G509" s="390"/>
      <c r="H509" s="390"/>
      <c r="I509" s="390"/>
      <c r="J509" s="390"/>
      <c r="K509" s="390"/>
      <c r="L509" s="390"/>
      <c r="M509" s="390"/>
      <c r="N509" s="390"/>
      <c r="O509" s="390"/>
      <c r="P509" s="390"/>
      <c r="Q509" s="390"/>
      <c r="R509" s="390"/>
      <c r="S509" s="390"/>
      <c r="T509" s="390"/>
      <c r="U509" s="390"/>
      <c r="V509" s="390"/>
      <c r="W509" s="390"/>
      <c r="X509" s="390"/>
      <c r="Y509" s="390"/>
      <c r="Z509" s="390"/>
    </row>
    <row r="510" spans="1:31" ht="15" customHeight="1" x14ac:dyDescent="0.35">
      <c r="A510" s="390"/>
      <c r="B510" s="390"/>
      <c r="C510" s="390"/>
      <c r="D510" s="390"/>
      <c r="E510" s="390"/>
      <c r="F510" s="390"/>
      <c r="G510" s="390"/>
      <c r="H510" s="390"/>
      <c r="I510" s="390"/>
      <c r="J510" s="390"/>
      <c r="K510" s="390"/>
      <c r="L510" s="390"/>
      <c r="M510" s="390"/>
      <c r="N510" s="390"/>
      <c r="O510" s="390"/>
      <c r="P510" s="390"/>
      <c r="Q510" s="390"/>
      <c r="R510" s="390"/>
      <c r="S510" s="390"/>
      <c r="T510" s="390"/>
      <c r="U510" s="390"/>
      <c r="V510" s="390"/>
      <c r="W510" s="390"/>
      <c r="X510" s="390"/>
      <c r="Y510" s="390"/>
      <c r="Z510" s="390"/>
    </row>
    <row r="511" spans="1:31" ht="15" customHeight="1" x14ac:dyDescent="0.35">
      <c r="A511" s="390"/>
      <c r="B511" s="390"/>
      <c r="C511" s="390"/>
      <c r="D511" s="390"/>
      <c r="E511" s="390"/>
      <c r="F511" s="390"/>
      <c r="G511" s="390"/>
      <c r="H511" s="390"/>
      <c r="I511" s="390"/>
      <c r="J511" s="390"/>
      <c r="K511" s="390"/>
      <c r="L511" s="390"/>
      <c r="M511" s="390"/>
      <c r="N511" s="390"/>
      <c r="O511" s="390"/>
      <c r="P511" s="390"/>
      <c r="Q511" s="390"/>
      <c r="R511" s="390"/>
      <c r="S511" s="390"/>
      <c r="T511" s="390"/>
      <c r="U511" s="390"/>
      <c r="V511" s="390"/>
      <c r="W511" s="390"/>
      <c r="X511" s="390"/>
      <c r="Y511" s="390"/>
      <c r="Z511" s="390"/>
    </row>
    <row r="512" spans="1:31" ht="15" customHeight="1" x14ac:dyDescent="0.35">
      <c r="A512" s="390"/>
      <c r="B512" s="390"/>
      <c r="C512" s="390"/>
      <c r="D512" s="390"/>
      <c r="E512" s="390"/>
      <c r="F512" s="390"/>
      <c r="G512" s="390"/>
      <c r="H512" s="390"/>
      <c r="I512" s="390"/>
      <c r="J512" s="390"/>
      <c r="K512" s="390"/>
      <c r="L512" s="390"/>
      <c r="M512" s="390"/>
      <c r="N512" s="390"/>
      <c r="O512" s="390"/>
      <c r="P512" s="390"/>
      <c r="Q512" s="390"/>
      <c r="R512" s="390"/>
      <c r="S512" s="390"/>
      <c r="T512" s="390"/>
      <c r="U512" s="390"/>
      <c r="V512" s="390"/>
      <c r="W512" s="390"/>
      <c r="X512" s="390"/>
      <c r="Y512" s="390"/>
      <c r="Z512" s="390"/>
    </row>
    <row r="513" s="390" customFormat="1" ht="15" customHeight="1" x14ac:dyDescent="0.35"/>
    <row r="514" s="390" customFormat="1" ht="15" customHeight="1" x14ac:dyDescent="0.35"/>
    <row r="515" s="390" customFormat="1" ht="15" customHeight="1" x14ac:dyDescent="0.35"/>
    <row r="516" s="390" customFormat="1" ht="15" customHeight="1" x14ac:dyDescent="0.35"/>
    <row r="517" s="390" customFormat="1" ht="15" customHeight="1" x14ac:dyDescent="0.35"/>
    <row r="518" s="390" customFormat="1" ht="15" customHeight="1" x14ac:dyDescent="0.35"/>
    <row r="519" s="390" customFormat="1" ht="15" customHeight="1" x14ac:dyDescent="0.35"/>
    <row r="520" s="390" customFormat="1" ht="15" customHeight="1" x14ac:dyDescent="0.35"/>
    <row r="521" s="390" customFormat="1" ht="15" customHeight="1" x14ac:dyDescent="0.35"/>
    <row r="522" s="390" customFormat="1" ht="15" customHeight="1" x14ac:dyDescent="0.35"/>
    <row r="523" s="390" customFormat="1" ht="15" customHeight="1" x14ac:dyDescent="0.35"/>
    <row r="524" s="390" customFormat="1" ht="15" customHeight="1" x14ac:dyDescent="0.35"/>
    <row r="525" s="390" customFormat="1" ht="15" customHeight="1" x14ac:dyDescent="0.35"/>
    <row r="526" s="390" customFormat="1" ht="15" customHeight="1" x14ac:dyDescent="0.35"/>
    <row r="527" s="390" customFormat="1" ht="15" customHeight="1" x14ac:dyDescent="0.35"/>
    <row r="528" s="390" customFormat="1" ht="15" customHeight="1" x14ac:dyDescent="0.35"/>
    <row r="529" s="390" customFormat="1" ht="15" customHeight="1" x14ac:dyDescent="0.35"/>
    <row r="530" s="390" customFormat="1" ht="15" customHeight="1" x14ac:dyDescent="0.35"/>
    <row r="531" s="390" customFormat="1" ht="15" customHeight="1" x14ac:dyDescent="0.35"/>
    <row r="532" s="390" customFormat="1" ht="15" customHeight="1" x14ac:dyDescent="0.35"/>
    <row r="533" s="390" customFormat="1" ht="15" customHeight="1" x14ac:dyDescent="0.35"/>
    <row r="534" s="390" customFormat="1" ht="15" customHeight="1" x14ac:dyDescent="0.35"/>
    <row r="535" s="390" customFormat="1" ht="15" customHeight="1" x14ac:dyDescent="0.35"/>
    <row r="536" s="390" customFormat="1" ht="15" customHeight="1" x14ac:dyDescent="0.35"/>
    <row r="537" s="390" customFormat="1" ht="15" customHeight="1" x14ac:dyDescent="0.35"/>
    <row r="538" s="390" customFormat="1" ht="15" customHeight="1" x14ac:dyDescent="0.35"/>
    <row r="539" s="390" customFormat="1" ht="15" customHeight="1" x14ac:dyDescent="0.35"/>
    <row r="540" s="390" customFormat="1" ht="15" customHeight="1" x14ac:dyDescent="0.35"/>
    <row r="541" s="390" customFormat="1" ht="15" customHeight="1" x14ac:dyDescent="0.35"/>
    <row r="542" s="390" customFormat="1" ht="15" customHeight="1" x14ac:dyDescent="0.35"/>
    <row r="543" s="390" customFormat="1" ht="15" customHeight="1" x14ac:dyDescent="0.35"/>
    <row r="544" s="390" customFormat="1" ht="15" customHeight="1" x14ac:dyDescent="0.35"/>
    <row r="545" s="390" customFormat="1" ht="15" customHeight="1" x14ac:dyDescent="0.35"/>
    <row r="546" s="390" customFormat="1" ht="15" customHeight="1" x14ac:dyDescent="0.35"/>
    <row r="547" s="390" customFormat="1" ht="15" customHeight="1" x14ac:dyDescent="0.35"/>
    <row r="548" s="390" customFormat="1" ht="15" customHeight="1" x14ac:dyDescent="0.35"/>
    <row r="549" s="390" customFormat="1" ht="15" customHeight="1" x14ac:dyDescent="0.35"/>
    <row r="550" s="390" customFormat="1" ht="15" customHeight="1" x14ac:dyDescent="0.35"/>
    <row r="551" s="390" customFormat="1" ht="15" customHeight="1" x14ac:dyDescent="0.35"/>
    <row r="552" s="390" customFormat="1" ht="15" customHeight="1" x14ac:dyDescent="0.35"/>
    <row r="553" s="390" customFormat="1" ht="15" customHeight="1" x14ac:dyDescent="0.35"/>
    <row r="554" s="390" customFormat="1" ht="15" customHeight="1" x14ac:dyDescent="0.35"/>
    <row r="555" s="390" customFormat="1" ht="15" customHeight="1" x14ac:dyDescent="0.35"/>
    <row r="556" s="390" customFormat="1" ht="15" customHeight="1" x14ac:dyDescent="0.35"/>
    <row r="557" s="390" customFormat="1" ht="15" customHeight="1" x14ac:dyDescent="0.35"/>
    <row r="558" s="390" customFormat="1" ht="15" customHeight="1" x14ac:dyDescent="0.35"/>
    <row r="559" s="390" customFormat="1" ht="15" customHeight="1" x14ac:dyDescent="0.35"/>
    <row r="560" s="390" customFormat="1" ht="15" customHeight="1" x14ac:dyDescent="0.35"/>
    <row r="561" s="390" customFormat="1" ht="15" customHeight="1" x14ac:dyDescent="0.35"/>
    <row r="562" s="390" customFormat="1" ht="15" customHeight="1" x14ac:dyDescent="0.35"/>
    <row r="563" s="390" customFormat="1" ht="15" customHeight="1" x14ac:dyDescent="0.35"/>
    <row r="564" s="390" customFormat="1" ht="15" customHeight="1" x14ac:dyDescent="0.35"/>
    <row r="565" s="390" customFormat="1" ht="15" customHeight="1" x14ac:dyDescent="0.35"/>
    <row r="566" s="390" customFormat="1" ht="15" customHeight="1" x14ac:dyDescent="0.35"/>
    <row r="567" s="390" customFormat="1" ht="15" customHeight="1" x14ac:dyDescent="0.35"/>
    <row r="568" s="390" customFormat="1" ht="15" customHeight="1" x14ac:dyDescent="0.35"/>
    <row r="569" s="390" customFormat="1" ht="15" customHeight="1" x14ac:dyDescent="0.35"/>
    <row r="570" s="390" customFormat="1" ht="15" customHeight="1" x14ac:dyDescent="0.35"/>
    <row r="571" s="390" customFormat="1" ht="15" customHeight="1" x14ac:dyDescent="0.35"/>
    <row r="572" s="390" customFormat="1" ht="15" customHeight="1" x14ac:dyDescent="0.35"/>
    <row r="573" s="390" customFormat="1" ht="15" customHeight="1" x14ac:dyDescent="0.35"/>
    <row r="574" s="390" customFormat="1" ht="15" customHeight="1" x14ac:dyDescent="0.35"/>
    <row r="575" s="390" customFormat="1" ht="15" customHeight="1" x14ac:dyDescent="0.35"/>
    <row r="576" s="390" customFormat="1" ht="15" customHeight="1" x14ac:dyDescent="0.35"/>
    <row r="577" s="390" customFormat="1" ht="15" customHeight="1" x14ac:dyDescent="0.35"/>
    <row r="578" s="390" customFormat="1" ht="15" customHeight="1" x14ac:dyDescent="0.35"/>
    <row r="579" s="390" customFormat="1" ht="15" customHeight="1" x14ac:dyDescent="0.35"/>
    <row r="580" s="390" customFormat="1" ht="15" customHeight="1" x14ac:dyDescent="0.35"/>
    <row r="581" s="390" customFormat="1" ht="15" customHeight="1" x14ac:dyDescent="0.35"/>
    <row r="582" s="390" customFormat="1" ht="15" customHeight="1" x14ac:dyDescent="0.35"/>
    <row r="583" s="390" customFormat="1" ht="15" customHeight="1" x14ac:dyDescent="0.35"/>
    <row r="584" s="390" customFormat="1" ht="15" customHeight="1" x14ac:dyDescent="0.35"/>
    <row r="585" s="390" customFormat="1" ht="15" customHeight="1" x14ac:dyDescent="0.35"/>
    <row r="586" s="390" customFormat="1" ht="15" customHeight="1" x14ac:dyDescent="0.35"/>
    <row r="587" s="390" customFormat="1" ht="15" customHeight="1" x14ac:dyDescent="0.35"/>
    <row r="588" s="390" customFormat="1" ht="15" customHeight="1" x14ac:dyDescent="0.35"/>
    <row r="589" s="390" customFormat="1" ht="15" customHeight="1" x14ac:dyDescent="0.35"/>
    <row r="590" s="390" customFormat="1" ht="15" customHeight="1" x14ac:dyDescent="0.35"/>
    <row r="591" s="390" customFormat="1" ht="15" customHeight="1" x14ac:dyDescent="0.35"/>
    <row r="592" s="390" customFormat="1" ht="15" customHeight="1" x14ac:dyDescent="0.35"/>
    <row r="593" spans="1:31" ht="15" customHeight="1" x14ac:dyDescent="0.35">
      <c r="A593" s="390"/>
      <c r="B593" s="390"/>
      <c r="C593" s="390"/>
      <c r="D593" s="390"/>
      <c r="E593" s="390"/>
      <c r="F593" s="390"/>
      <c r="G593" s="390"/>
      <c r="H593" s="390"/>
      <c r="I593" s="390"/>
      <c r="J593" s="390"/>
      <c r="K593" s="390"/>
      <c r="L593" s="390"/>
      <c r="M593" s="390"/>
      <c r="N593" s="390"/>
      <c r="O593" s="390"/>
      <c r="P593" s="390"/>
      <c r="Q593" s="390"/>
      <c r="R593" s="390"/>
      <c r="S593" s="390"/>
      <c r="T593" s="390"/>
      <c r="U593" s="390"/>
      <c r="V593" s="390"/>
      <c r="W593" s="390"/>
      <c r="X593" s="390"/>
      <c r="Y593" s="390"/>
      <c r="Z593" s="390"/>
    </row>
    <row r="594" spans="1:31" ht="15" customHeight="1" x14ac:dyDescent="0.35">
      <c r="A594" s="390"/>
      <c r="B594" s="390"/>
      <c r="C594" s="390"/>
      <c r="D594" s="390"/>
      <c r="E594" s="390"/>
      <c r="F594" s="390"/>
      <c r="G594" s="390"/>
      <c r="H594" s="390"/>
      <c r="I594" s="390"/>
      <c r="J594" s="390"/>
      <c r="K594" s="390"/>
      <c r="L594" s="390"/>
      <c r="M594" s="390"/>
      <c r="N594" s="390"/>
      <c r="O594" s="390"/>
      <c r="P594" s="390"/>
      <c r="Q594" s="390"/>
      <c r="R594" s="390"/>
      <c r="S594" s="390"/>
      <c r="T594" s="390"/>
      <c r="U594" s="390"/>
      <c r="V594" s="390"/>
      <c r="W594" s="390"/>
      <c r="X594" s="390"/>
      <c r="Y594" s="390"/>
      <c r="Z594" s="390"/>
    </row>
    <row r="595" spans="1:31" ht="15.5" x14ac:dyDescent="0.35">
      <c r="A595" s="390"/>
      <c r="B595" s="389"/>
      <c r="C595" s="389"/>
      <c r="D595" s="389"/>
      <c r="E595" s="389"/>
      <c r="F595" s="389"/>
      <c r="G595" s="389"/>
      <c r="H595" s="389"/>
      <c r="I595" s="389"/>
      <c r="J595" s="389"/>
      <c r="K595" s="389"/>
      <c r="L595" s="389"/>
      <c r="M595" s="389"/>
      <c r="N595" s="389"/>
      <c r="O595" s="389"/>
      <c r="P595" s="389"/>
      <c r="Q595" s="389"/>
      <c r="R595" s="389"/>
      <c r="S595" s="389"/>
      <c r="T595" s="389"/>
      <c r="U595" s="389"/>
      <c r="V595" s="389"/>
      <c r="W595" s="389"/>
      <c r="X595" s="389"/>
      <c r="Y595" s="389"/>
      <c r="Z595" s="389"/>
      <c r="AA595" s="389"/>
      <c r="AB595" s="389"/>
      <c r="AC595" s="389"/>
      <c r="AD595" s="389"/>
      <c r="AE595" s="389"/>
    </row>
    <row r="596" spans="1:31" ht="15.5" x14ac:dyDescent="0.35">
      <c r="A596" s="390"/>
      <c r="B596" s="389"/>
      <c r="C596" s="389"/>
      <c r="D596" s="389"/>
      <c r="E596" s="389"/>
      <c r="F596" s="389"/>
      <c r="G596" s="389"/>
      <c r="H596" s="389"/>
      <c r="I596" s="389"/>
      <c r="J596" s="389"/>
      <c r="K596" s="389"/>
      <c r="L596" s="389"/>
      <c r="M596" s="389"/>
      <c r="N596" s="389"/>
      <c r="O596" s="389"/>
      <c r="P596" s="389"/>
      <c r="Q596" s="389"/>
      <c r="R596" s="389"/>
      <c r="S596" s="389"/>
      <c r="T596" s="389"/>
      <c r="U596" s="389"/>
      <c r="V596" s="389"/>
      <c r="W596" s="389"/>
      <c r="X596" s="389"/>
      <c r="Y596" s="389"/>
      <c r="Z596" s="389"/>
      <c r="AA596" s="389"/>
      <c r="AB596" s="389"/>
      <c r="AC596" s="389"/>
      <c r="AD596" s="389"/>
      <c r="AE596" s="389"/>
    </row>
    <row r="597" spans="1:31" ht="15.5" x14ac:dyDescent="0.35">
      <c r="A597" s="390"/>
      <c r="B597" s="389"/>
      <c r="C597" s="389"/>
      <c r="D597" s="389"/>
      <c r="E597" s="389"/>
      <c r="F597" s="389"/>
      <c r="G597" s="389"/>
      <c r="H597" s="389"/>
      <c r="I597" s="389"/>
      <c r="J597" s="389"/>
      <c r="K597" s="389"/>
      <c r="L597" s="389"/>
      <c r="M597" s="389"/>
      <c r="N597" s="389"/>
      <c r="O597" s="389"/>
      <c r="P597" s="389"/>
      <c r="Q597" s="389"/>
      <c r="R597" s="389"/>
      <c r="S597" s="389"/>
      <c r="T597" s="389"/>
      <c r="U597" s="389"/>
      <c r="V597" s="389"/>
      <c r="W597" s="389"/>
      <c r="X597" s="389"/>
      <c r="Y597" s="389"/>
      <c r="Z597" s="389"/>
      <c r="AA597" s="389"/>
      <c r="AB597" s="389"/>
      <c r="AC597" s="389"/>
      <c r="AD597" s="389"/>
      <c r="AE597" s="389"/>
    </row>
    <row r="598" spans="1:31" ht="15.5" x14ac:dyDescent="0.35">
      <c r="A598" s="390"/>
      <c r="B598" s="389"/>
      <c r="C598" s="389"/>
      <c r="D598" s="389"/>
      <c r="E598" s="389"/>
      <c r="F598" s="389"/>
      <c r="G598" s="389"/>
      <c r="H598" s="389"/>
      <c r="I598" s="389"/>
      <c r="J598" s="389"/>
      <c r="K598" s="389"/>
      <c r="L598" s="389"/>
      <c r="M598" s="389"/>
      <c r="N598" s="389"/>
      <c r="O598" s="389"/>
      <c r="P598" s="389"/>
      <c r="Q598" s="389"/>
      <c r="R598" s="389"/>
      <c r="S598" s="389"/>
      <c r="T598" s="389"/>
      <c r="U598" s="389"/>
      <c r="V598" s="389"/>
      <c r="W598" s="389"/>
      <c r="X598" s="389"/>
      <c r="Y598" s="389"/>
      <c r="Z598" s="389"/>
      <c r="AA598" s="389"/>
      <c r="AB598" s="389"/>
      <c r="AC598" s="389"/>
      <c r="AD598" s="389"/>
      <c r="AE598" s="389"/>
    </row>
    <row r="599" spans="1:31" ht="15.5" x14ac:dyDescent="0.35">
      <c r="A599" s="390"/>
      <c r="B599" s="389"/>
      <c r="C599" s="389"/>
      <c r="D599" s="389"/>
      <c r="E599" s="389"/>
      <c r="F599" s="389"/>
      <c r="G599" s="389"/>
      <c r="H599" s="389"/>
      <c r="I599" s="389"/>
      <c r="J599" s="389"/>
      <c r="K599" s="389"/>
      <c r="L599" s="389"/>
      <c r="M599" s="389"/>
      <c r="N599" s="389"/>
      <c r="O599" s="389"/>
      <c r="P599" s="389"/>
      <c r="Q599" s="389"/>
      <c r="R599" s="389"/>
      <c r="S599" s="389"/>
      <c r="T599" s="389"/>
      <c r="U599" s="389"/>
      <c r="V599" s="389"/>
      <c r="W599" s="389"/>
      <c r="X599" s="389"/>
      <c r="Y599" s="389"/>
      <c r="Z599" s="389"/>
      <c r="AA599" s="389"/>
      <c r="AB599" s="389"/>
      <c r="AC599" s="389"/>
      <c r="AD599" s="389"/>
      <c r="AE599" s="389"/>
    </row>
    <row r="600" spans="1:31" ht="15.5" x14ac:dyDescent="0.35">
      <c r="A600" s="390"/>
      <c r="B600" s="389"/>
      <c r="C600" s="389"/>
      <c r="D600" s="389"/>
      <c r="E600" s="389"/>
      <c r="F600" s="389"/>
      <c r="G600" s="389"/>
      <c r="H600" s="389"/>
      <c r="I600" s="389"/>
      <c r="J600" s="389"/>
      <c r="K600" s="389"/>
      <c r="L600" s="389"/>
      <c r="M600" s="389"/>
      <c r="N600" s="389"/>
      <c r="O600" s="389"/>
      <c r="P600" s="389"/>
      <c r="Q600" s="389"/>
      <c r="R600" s="389"/>
      <c r="S600" s="389"/>
      <c r="T600" s="389"/>
      <c r="U600" s="389"/>
      <c r="V600" s="389"/>
      <c r="W600" s="389"/>
      <c r="X600" s="389"/>
      <c r="Y600" s="389"/>
      <c r="Z600" s="389"/>
      <c r="AA600" s="389"/>
      <c r="AB600" s="389"/>
      <c r="AC600" s="389"/>
      <c r="AD600" s="389"/>
      <c r="AE600" s="389"/>
    </row>
    <row r="601" spans="1:31" ht="15.5" x14ac:dyDescent="0.35">
      <c r="A601" s="390"/>
      <c r="B601" s="389"/>
      <c r="C601" s="389"/>
      <c r="D601" s="389"/>
      <c r="E601" s="389"/>
      <c r="F601" s="389"/>
      <c r="G601" s="389"/>
      <c r="H601" s="389"/>
      <c r="I601" s="389"/>
      <c r="J601" s="389"/>
      <c r="K601" s="389"/>
      <c r="L601" s="389"/>
      <c r="M601" s="389"/>
      <c r="N601" s="389"/>
      <c r="O601" s="389"/>
      <c r="P601" s="389"/>
      <c r="Q601" s="389"/>
      <c r="R601" s="389"/>
      <c r="S601" s="389"/>
      <c r="T601" s="389"/>
      <c r="U601" s="389"/>
      <c r="V601" s="389"/>
      <c r="W601" s="389"/>
      <c r="X601" s="389"/>
      <c r="Y601" s="389"/>
      <c r="Z601" s="389"/>
      <c r="AA601" s="389"/>
      <c r="AB601" s="389"/>
      <c r="AC601" s="389"/>
      <c r="AD601" s="389"/>
      <c r="AE601" s="389"/>
    </row>
    <row r="602" spans="1:31" ht="15.5" x14ac:dyDescent="0.35">
      <c r="A602" s="390"/>
      <c r="B602" s="389"/>
      <c r="C602" s="389"/>
      <c r="D602" s="389"/>
      <c r="E602" s="389"/>
      <c r="F602" s="389"/>
      <c r="G602" s="389"/>
      <c r="H602" s="389"/>
      <c r="I602" s="389"/>
      <c r="J602" s="389"/>
      <c r="K602" s="389"/>
      <c r="L602" s="389"/>
      <c r="M602" s="389"/>
      <c r="N602" s="389"/>
      <c r="O602" s="389"/>
      <c r="P602" s="389"/>
      <c r="Q602" s="389"/>
      <c r="R602" s="389"/>
      <c r="S602" s="389"/>
      <c r="T602" s="389"/>
      <c r="U602" s="389"/>
      <c r="V602" s="389"/>
      <c r="W602" s="389"/>
      <c r="X602" s="389"/>
      <c r="Y602" s="389"/>
      <c r="Z602" s="389"/>
      <c r="AA602" s="389"/>
      <c r="AB602" s="389"/>
      <c r="AC602" s="389"/>
      <c r="AD602" s="389"/>
      <c r="AE602" s="389"/>
    </row>
    <row r="603" spans="1:31" ht="15.5" x14ac:dyDescent="0.35">
      <c r="A603" s="390"/>
      <c r="B603" s="389"/>
      <c r="C603" s="389"/>
      <c r="D603" s="389"/>
      <c r="E603" s="389"/>
      <c r="F603" s="389"/>
      <c r="G603" s="389"/>
      <c r="H603" s="389"/>
      <c r="I603" s="389"/>
      <c r="J603" s="389"/>
      <c r="K603" s="389"/>
      <c r="L603" s="389"/>
      <c r="M603" s="389"/>
      <c r="N603" s="389"/>
      <c r="O603" s="389"/>
      <c r="P603" s="389"/>
      <c r="Q603" s="389"/>
      <c r="R603" s="389"/>
      <c r="S603" s="389"/>
      <c r="T603" s="389"/>
      <c r="U603" s="389"/>
      <c r="V603" s="389"/>
      <c r="W603" s="389"/>
      <c r="X603" s="389"/>
      <c r="Y603" s="389"/>
      <c r="Z603" s="389"/>
      <c r="AA603" s="389"/>
      <c r="AB603" s="389"/>
      <c r="AC603" s="389"/>
      <c r="AD603" s="389"/>
      <c r="AE603" s="389"/>
    </row>
    <row r="604" spans="1:31" ht="15.5" x14ac:dyDescent="0.35">
      <c r="A604" s="390"/>
      <c r="B604" s="389"/>
      <c r="C604" s="389"/>
      <c r="D604" s="389"/>
      <c r="E604" s="389"/>
      <c r="F604" s="389"/>
      <c r="G604" s="389"/>
      <c r="H604" s="389"/>
      <c r="I604" s="389"/>
      <c r="J604" s="389"/>
      <c r="K604" s="389"/>
      <c r="L604" s="389"/>
      <c r="M604" s="389"/>
      <c r="N604" s="389"/>
      <c r="O604" s="389"/>
      <c r="P604" s="389"/>
      <c r="Q604" s="389"/>
      <c r="R604" s="389"/>
      <c r="S604" s="389"/>
      <c r="T604" s="389"/>
      <c r="U604" s="389"/>
      <c r="V604" s="389"/>
      <c r="W604" s="389"/>
      <c r="X604" s="389"/>
      <c r="Y604" s="389"/>
      <c r="Z604" s="389"/>
      <c r="AA604" s="389"/>
      <c r="AB604" s="389"/>
      <c r="AC604" s="389"/>
      <c r="AD604" s="389"/>
      <c r="AE604" s="389"/>
    </row>
    <row r="605" spans="1:31" ht="15.5" x14ac:dyDescent="0.35">
      <c r="A605" s="390"/>
      <c r="B605" s="389"/>
      <c r="C605" s="389"/>
      <c r="D605" s="389"/>
      <c r="E605" s="389"/>
      <c r="F605" s="389"/>
      <c r="G605" s="389"/>
      <c r="H605" s="389"/>
      <c r="I605" s="389"/>
      <c r="J605" s="389"/>
      <c r="K605" s="389"/>
      <c r="L605" s="389"/>
      <c r="M605" s="389"/>
      <c r="N605" s="389"/>
      <c r="O605" s="389"/>
      <c r="P605" s="389"/>
      <c r="Q605" s="389"/>
      <c r="R605" s="389"/>
      <c r="S605" s="389"/>
      <c r="T605" s="389"/>
      <c r="U605" s="389"/>
      <c r="V605" s="389"/>
      <c r="W605" s="389"/>
      <c r="X605" s="389"/>
      <c r="Y605" s="389"/>
      <c r="Z605" s="389"/>
      <c r="AA605" s="389"/>
      <c r="AB605" s="389"/>
      <c r="AC605" s="389"/>
      <c r="AD605" s="389"/>
      <c r="AE605" s="389"/>
    </row>
    <row r="606" spans="1:31" ht="15.5" x14ac:dyDescent="0.35">
      <c r="A606" s="390"/>
      <c r="B606" s="389"/>
      <c r="C606" s="389"/>
      <c r="D606" s="389"/>
      <c r="E606" s="389"/>
      <c r="F606" s="389"/>
      <c r="G606" s="389"/>
      <c r="H606" s="389"/>
      <c r="I606" s="389"/>
      <c r="J606" s="389"/>
      <c r="K606" s="389"/>
      <c r="L606" s="389"/>
      <c r="M606" s="389"/>
      <c r="N606" s="389"/>
      <c r="O606" s="389"/>
      <c r="P606" s="389"/>
      <c r="Q606" s="389"/>
      <c r="R606" s="389"/>
      <c r="S606" s="389"/>
      <c r="T606" s="389"/>
      <c r="U606" s="389"/>
      <c r="V606" s="389"/>
      <c r="W606" s="389"/>
      <c r="X606" s="389"/>
      <c r="Y606" s="389"/>
      <c r="Z606" s="389"/>
      <c r="AA606" s="389"/>
      <c r="AB606" s="389"/>
      <c r="AC606" s="389"/>
      <c r="AD606" s="389"/>
      <c r="AE606" s="389"/>
    </row>
    <row r="607" spans="1:31" ht="15.5" x14ac:dyDescent="0.35">
      <c r="A607" s="390"/>
      <c r="B607" s="389"/>
      <c r="C607" s="389"/>
      <c r="D607" s="389"/>
      <c r="E607" s="389"/>
      <c r="F607" s="389"/>
      <c r="G607" s="389"/>
      <c r="H607" s="389"/>
      <c r="I607" s="389"/>
      <c r="J607" s="389"/>
      <c r="K607" s="389"/>
      <c r="L607" s="389"/>
      <c r="M607" s="389"/>
      <c r="N607" s="389"/>
      <c r="O607" s="389"/>
      <c r="P607" s="389"/>
      <c r="Q607" s="389"/>
      <c r="R607" s="389"/>
      <c r="S607" s="389"/>
      <c r="T607" s="389"/>
      <c r="U607" s="389"/>
      <c r="V607" s="389"/>
      <c r="W607" s="389"/>
      <c r="X607" s="389"/>
      <c r="Y607" s="389"/>
      <c r="Z607" s="389"/>
      <c r="AA607" s="389"/>
      <c r="AB607" s="389"/>
      <c r="AC607" s="389"/>
      <c r="AD607" s="389"/>
      <c r="AE607" s="389"/>
    </row>
    <row r="608" spans="1:31" ht="15.5" x14ac:dyDescent="0.35">
      <c r="A608" s="390"/>
      <c r="B608" s="389"/>
      <c r="C608" s="389"/>
      <c r="D608" s="389"/>
      <c r="E608" s="389"/>
      <c r="F608" s="389"/>
      <c r="G608" s="389"/>
      <c r="H608" s="389"/>
      <c r="I608" s="389"/>
      <c r="J608" s="389"/>
      <c r="K608" s="389"/>
      <c r="L608" s="389"/>
      <c r="M608" s="389"/>
      <c r="N608" s="389"/>
      <c r="O608" s="389"/>
      <c r="P608" s="389"/>
      <c r="Q608" s="389"/>
      <c r="R608" s="389"/>
      <c r="S608" s="389"/>
      <c r="T608" s="389"/>
      <c r="U608" s="389"/>
      <c r="V608" s="389"/>
      <c r="W608" s="389"/>
      <c r="X608" s="389"/>
      <c r="Y608" s="389"/>
      <c r="Z608" s="389"/>
      <c r="AA608" s="389"/>
      <c r="AB608" s="389"/>
      <c r="AC608" s="389"/>
      <c r="AD608" s="389"/>
      <c r="AE608" s="389"/>
    </row>
    <row r="609" spans="1:31" ht="15.5" x14ac:dyDescent="0.35">
      <c r="A609" s="390"/>
      <c r="B609" s="389"/>
      <c r="C609" s="389"/>
      <c r="D609" s="389"/>
      <c r="E609" s="389"/>
      <c r="F609" s="389"/>
      <c r="G609" s="389"/>
      <c r="H609" s="389"/>
      <c r="I609" s="389"/>
      <c r="J609" s="389"/>
      <c r="K609" s="389"/>
      <c r="L609" s="389"/>
      <c r="M609" s="389"/>
      <c r="N609" s="389"/>
      <c r="O609" s="389"/>
      <c r="P609" s="389"/>
      <c r="Q609" s="389"/>
      <c r="R609" s="389"/>
      <c r="S609" s="389"/>
      <c r="T609" s="389"/>
      <c r="U609" s="389"/>
      <c r="V609" s="389"/>
      <c r="W609" s="389"/>
      <c r="X609" s="389"/>
      <c r="Y609" s="389"/>
      <c r="Z609" s="389"/>
      <c r="AA609" s="389"/>
      <c r="AB609" s="389"/>
      <c r="AC609" s="389"/>
      <c r="AD609" s="389"/>
      <c r="AE609" s="389"/>
    </row>
    <row r="610" spans="1:31" ht="15.5" x14ac:dyDescent="0.35">
      <c r="A610" s="390"/>
      <c r="B610" s="389"/>
      <c r="C610" s="389"/>
      <c r="D610" s="389"/>
      <c r="E610" s="389"/>
      <c r="F610" s="389"/>
      <c r="G610" s="389"/>
      <c r="H610" s="389"/>
      <c r="I610" s="389"/>
      <c r="J610" s="389"/>
      <c r="K610" s="389"/>
      <c r="L610" s="389"/>
      <c r="M610" s="389"/>
      <c r="N610" s="389"/>
      <c r="O610" s="389"/>
      <c r="P610" s="389"/>
      <c r="Q610" s="389"/>
      <c r="R610" s="389"/>
      <c r="S610" s="389"/>
      <c r="T610" s="389"/>
      <c r="U610" s="389"/>
      <c r="V610" s="389"/>
      <c r="W610" s="389"/>
      <c r="X610" s="389"/>
      <c r="Y610" s="389"/>
      <c r="Z610" s="389"/>
      <c r="AA610" s="389"/>
      <c r="AB610" s="389"/>
      <c r="AC610" s="389"/>
      <c r="AD610" s="389"/>
      <c r="AE610" s="389"/>
    </row>
    <row r="611" spans="1:31" ht="15.5" x14ac:dyDescent="0.35">
      <c r="A611" s="390"/>
      <c r="B611" s="389"/>
      <c r="C611" s="389"/>
      <c r="D611" s="389"/>
      <c r="E611" s="389"/>
      <c r="F611" s="389"/>
      <c r="G611" s="389"/>
      <c r="H611" s="389"/>
      <c r="I611" s="389"/>
      <c r="J611" s="389"/>
      <c r="K611" s="389"/>
      <c r="L611" s="389"/>
      <c r="M611" s="389"/>
      <c r="N611" s="389"/>
      <c r="O611" s="389"/>
      <c r="P611" s="389"/>
      <c r="Q611" s="389"/>
      <c r="R611" s="389"/>
      <c r="S611" s="389"/>
      <c r="T611" s="389"/>
      <c r="U611" s="389"/>
      <c r="V611" s="389"/>
      <c r="W611" s="389"/>
      <c r="X611" s="389"/>
      <c r="Y611" s="389"/>
      <c r="Z611" s="389"/>
      <c r="AA611" s="389"/>
      <c r="AB611" s="389"/>
      <c r="AC611" s="389"/>
      <c r="AD611" s="389"/>
      <c r="AE611" s="389"/>
    </row>
    <row r="612" spans="1:31" ht="15.5" x14ac:dyDescent="0.35">
      <c r="A612" s="390"/>
      <c r="B612" s="389"/>
      <c r="C612" s="389"/>
      <c r="D612" s="389"/>
      <c r="E612" s="389"/>
      <c r="F612" s="389"/>
      <c r="G612" s="389"/>
      <c r="H612" s="389"/>
      <c r="I612" s="389"/>
      <c r="J612" s="389"/>
      <c r="K612" s="389"/>
      <c r="L612" s="389"/>
      <c r="M612" s="389"/>
      <c r="N612" s="389"/>
      <c r="O612" s="389"/>
      <c r="P612" s="389"/>
      <c r="Q612" s="389"/>
      <c r="R612" s="389"/>
      <c r="S612" s="389"/>
      <c r="T612" s="389"/>
      <c r="U612" s="389"/>
      <c r="V612" s="389"/>
      <c r="W612" s="389"/>
      <c r="X612" s="389"/>
      <c r="Y612" s="389"/>
      <c r="Z612" s="389"/>
      <c r="AA612" s="389"/>
      <c r="AB612" s="389"/>
      <c r="AC612" s="389"/>
      <c r="AD612" s="389"/>
      <c r="AE612" s="389"/>
    </row>
    <row r="613" spans="1:31" ht="15.5" x14ac:dyDescent="0.35">
      <c r="A613" s="390"/>
      <c r="B613" s="389"/>
      <c r="C613" s="389"/>
      <c r="D613" s="389"/>
      <c r="E613" s="389"/>
      <c r="F613" s="389"/>
      <c r="G613" s="389"/>
      <c r="H613" s="389"/>
      <c r="I613" s="389"/>
      <c r="J613" s="389"/>
      <c r="K613" s="389"/>
      <c r="L613" s="389"/>
      <c r="M613" s="389"/>
      <c r="N613" s="389"/>
      <c r="O613" s="389"/>
      <c r="P613" s="389"/>
      <c r="Q613" s="389"/>
      <c r="R613" s="389"/>
      <c r="S613" s="389"/>
      <c r="T613" s="389"/>
      <c r="U613" s="389"/>
      <c r="V613" s="389"/>
      <c r="W613" s="389"/>
      <c r="X613" s="389"/>
      <c r="Y613" s="389"/>
      <c r="Z613" s="389"/>
      <c r="AA613" s="389"/>
      <c r="AB613" s="389"/>
      <c r="AC613" s="389"/>
      <c r="AD613" s="389"/>
      <c r="AE613" s="389"/>
    </row>
    <row r="614" spans="1:31" ht="15.5" x14ac:dyDescent="0.35">
      <c r="A614" s="390"/>
      <c r="B614" s="389"/>
      <c r="C614" s="389"/>
      <c r="D614" s="389"/>
      <c r="E614" s="389"/>
      <c r="F614" s="389"/>
      <c r="G614" s="389"/>
      <c r="H614" s="389"/>
      <c r="I614" s="389"/>
      <c r="J614" s="389"/>
      <c r="K614" s="389"/>
      <c r="L614" s="389"/>
      <c r="M614" s="389"/>
      <c r="N614" s="389"/>
      <c r="O614" s="389"/>
      <c r="P614" s="389"/>
      <c r="Q614" s="389"/>
      <c r="R614" s="389"/>
      <c r="S614" s="389"/>
      <c r="T614" s="389"/>
      <c r="U614" s="389"/>
      <c r="V614" s="389"/>
      <c r="W614" s="389"/>
      <c r="X614" s="389"/>
      <c r="Y614" s="389"/>
      <c r="Z614" s="389"/>
      <c r="AA614" s="389"/>
      <c r="AB614" s="389"/>
      <c r="AC614" s="389"/>
      <c r="AD614" s="389"/>
      <c r="AE614" s="389"/>
    </row>
    <row r="615" spans="1:31" ht="15.5" x14ac:dyDescent="0.35">
      <c r="A615" s="390"/>
      <c r="B615" s="389"/>
      <c r="C615" s="389"/>
      <c r="D615" s="389"/>
      <c r="E615" s="389"/>
      <c r="F615" s="389"/>
      <c r="G615" s="389"/>
      <c r="H615" s="389"/>
      <c r="I615" s="389"/>
      <c r="J615" s="389"/>
      <c r="K615" s="389"/>
      <c r="L615" s="389"/>
      <c r="M615" s="389"/>
      <c r="N615" s="389"/>
      <c r="O615" s="389"/>
      <c r="P615" s="389"/>
      <c r="Q615" s="389"/>
      <c r="R615" s="389"/>
      <c r="S615" s="389"/>
      <c r="T615" s="389"/>
      <c r="U615" s="389"/>
      <c r="V615" s="389"/>
      <c r="W615" s="389"/>
      <c r="X615" s="389"/>
      <c r="Y615" s="389"/>
      <c r="Z615" s="389"/>
      <c r="AA615" s="389"/>
      <c r="AB615" s="389"/>
      <c r="AC615" s="389"/>
      <c r="AD615" s="389"/>
      <c r="AE615" s="389"/>
    </row>
    <row r="616" spans="1:31" ht="15.5" x14ac:dyDescent="0.35">
      <c r="A616" s="390"/>
      <c r="B616" s="389"/>
      <c r="C616" s="389"/>
      <c r="D616" s="389"/>
      <c r="E616" s="389"/>
      <c r="F616" s="389"/>
      <c r="G616" s="389"/>
      <c r="H616" s="389"/>
      <c r="I616" s="389"/>
      <c r="J616" s="389"/>
      <c r="K616" s="389"/>
      <c r="L616" s="389"/>
      <c r="M616" s="389"/>
      <c r="N616" s="389"/>
      <c r="O616" s="389"/>
      <c r="P616" s="389"/>
      <c r="Q616" s="389"/>
      <c r="R616" s="389"/>
      <c r="S616" s="389"/>
      <c r="T616" s="389"/>
      <c r="U616" s="389"/>
      <c r="V616" s="389"/>
      <c r="W616" s="389"/>
      <c r="X616" s="389"/>
      <c r="Y616" s="389"/>
      <c r="Z616" s="389"/>
      <c r="AA616" s="389"/>
      <c r="AB616" s="389"/>
      <c r="AC616" s="389"/>
      <c r="AD616" s="389"/>
      <c r="AE616" s="389"/>
    </row>
    <row r="617" spans="1:31" ht="15.5" x14ac:dyDescent="0.35">
      <c r="A617" s="390"/>
      <c r="B617" s="389"/>
      <c r="C617" s="389"/>
      <c r="D617" s="389"/>
      <c r="E617" s="389"/>
      <c r="F617" s="389"/>
      <c r="G617" s="389"/>
      <c r="H617" s="389"/>
      <c r="I617" s="389"/>
      <c r="J617" s="389"/>
      <c r="K617" s="389"/>
      <c r="L617" s="389"/>
      <c r="M617" s="389"/>
      <c r="N617" s="389"/>
      <c r="O617" s="389"/>
      <c r="P617" s="389"/>
      <c r="Q617" s="389"/>
      <c r="R617" s="389"/>
      <c r="S617" s="389"/>
      <c r="T617" s="389"/>
      <c r="U617" s="389"/>
      <c r="V617" s="389"/>
      <c r="W617" s="389"/>
      <c r="X617" s="389"/>
      <c r="Y617" s="389"/>
      <c r="Z617" s="389"/>
      <c r="AA617" s="389"/>
      <c r="AB617" s="389"/>
      <c r="AC617" s="389"/>
      <c r="AD617" s="389"/>
      <c r="AE617" s="389"/>
    </row>
    <row r="618" spans="1:31" ht="15.5" x14ac:dyDescent="0.35">
      <c r="A618" s="390"/>
      <c r="B618" s="389"/>
      <c r="C618" s="389"/>
      <c r="D618" s="389"/>
      <c r="E618" s="389"/>
      <c r="F618" s="389"/>
      <c r="G618" s="389"/>
      <c r="H618" s="389"/>
      <c r="I618" s="389"/>
      <c r="J618" s="389"/>
      <c r="K618" s="389"/>
      <c r="L618" s="389"/>
      <c r="M618" s="389"/>
      <c r="N618" s="389"/>
      <c r="O618" s="389"/>
      <c r="P618" s="389"/>
      <c r="Q618" s="389"/>
      <c r="R618" s="389"/>
      <c r="S618" s="389"/>
      <c r="T618" s="389"/>
      <c r="U618" s="389"/>
      <c r="V618" s="389"/>
      <c r="W618" s="389"/>
      <c r="X618" s="389"/>
      <c r="Y618" s="389"/>
      <c r="Z618" s="389"/>
      <c r="AA618" s="389"/>
      <c r="AB618" s="389"/>
      <c r="AC618" s="389"/>
      <c r="AD618" s="389"/>
      <c r="AE618" s="389"/>
    </row>
    <row r="619" spans="1:31" ht="15.5" x14ac:dyDescent="0.35">
      <c r="A619" s="390"/>
      <c r="B619" s="389"/>
      <c r="C619" s="389"/>
      <c r="D619" s="389"/>
      <c r="E619" s="389"/>
      <c r="F619" s="389"/>
      <c r="G619" s="389"/>
      <c r="H619" s="389"/>
      <c r="I619" s="389"/>
      <c r="J619" s="389"/>
      <c r="K619" s="389"/>
      <c r="L619" s="389"/>
      <c r="M619" s="389"/>
      <c r="N619" s="389"/>
      <c r="O619" s="389"/>
      <c r="P619" s="389"/>
      <c r="Q619" s="389"/>
      <c r="R619" s="389"/>
      <c r="S619" s="389"/>
      <c r="T619" s="389"/>
      <c r="U619" s="389"/>
      <c r="V619" s="389"/>
      <c r="W619" s="389"/>
      <c r="X619" s="389"/>
      <c r="Y619" s="389"/>
      <c r="Z619" s="389"/>
      <c r="AA619" s="389"/>
      <c r="AB619" s="389"/>
      <c r="AC619" s="389"/>
      <c r="AD619" s="389"/>
      <c r="AE619" s="389"/>
    </row>
    <row r="620" spans="1:31" ht="15.5" x14ac:dyDescent="0.35">
      <c r="A620" s="390"/>
      <c r="B620" s="389"/>
      <c r="C620" s="389"/>
      <c r="D620" s="389"/>
      <c r="E620" s="389"/>
      <c r="F620" s="389"/>
      <c r="G620" s="389"/>
      <c r="H620" s="389"/>
      <c r="I620" s="389"/>
      <c r="J620" s="389"/>
      <c r="K620" s="389"/>
      <c r="L620" s="389"/>
      <c r="M620" s="389"/>
      <c r="N620" s="389"/>
      <c r="O620" s="389"/>
      <c r="P620" s="389"/>
      <c r="Q620" s="389"/>
      <c r="R620" s="389"/>
      <c r="S620" s="389"/>
      <c r="T620" s="389"/>
      <c r="U620" s="389"/>
      <c r="V620" s="389"/>
      <c r="W620" s="389"/>
      <c r="X620" s="389"/>
      <c r="Y620" s="389"/>
      <c r="Z620" s="389"/>
      <c r="AA620" s="389"/>
      <c r="AB620" s="389"/>
      <c r="AC620" s="389"/>
      <c r="AD620" s="389"/>
      <c r="AE620" s="389"/>
    </row>
    <row r="621" spans="1:31" ht="15.5" x14ac:dyDescent="0.35">
      <c r="A621" s="390"/>
      <c r="B621" s="389"/>
      <c r="C621" s="389"/>
      <c r="D621" s="389"/>
      <c r="E621" s="389"/>
      <c r="F621" s="389"/>
      <c r="G621" s="389"/>
      <c r="H621" s="389"/>
      <c r="I621" s="389"/>
      <c r="J621" s="389"/>
      <c r="K621" s="389"/>
      <c r="L621" s="389"/>
      <c r="M621" s="389"/>
      <c r="N621" s="389"/>
      <c r="O621" s="389"/>
      <c r="P621" s="389"/>
      <c r="Q621" s="389"/>
      <c r="R621" s="389"/>
      <c r="S621" s="389"/>
      <c r="T621" s="389"/>
      <c r="U621" s="389"/>
      <c r="V621" s="389"/>
      <c r="W621" s="389"/>
      <c r="X621" s="389"/>
      <c r="Y621" s="389"/>
      <c r="Z621" s="389"/>
      <c r="AA621" s="389"/>
      <c r="AB621" s="389"/>
      <c r="AC621" s="389"/>
      <c r="AD621" s="389"/>
      <c r="AE621" s="389"/>
    </row>
    <row r="622" spans="1:31" ht="15.5" x14ac:dyDescent="0.35">
      <c r="A622" s="390"/>
      <c r="B622" s="389"/>
      <c r="C622" s="389"/>
      <c r="D622" s="389"/>
      <c r="E622" s="389"/>
      <c r="F622" s="389"/>
      <c r="G622" s="389"/>
      <c r="H622" s="389"/>
      <c r="I622" s="389"/>
      <c r="J622" s="389"/>
      <c r="K622" s="389"/>
      <c r="L622" s="389"/>
      <c r="M622" s="389"/>
      <c r="N622" s="389"/>
      <c r="O622" s="389"/>
      <c r="P622" s="389"/>
      <c r="Q622" s="389"/>
      <c r="R622" s="389"/>
      <c r="S622" s="389"/>
      <c r="T622" s="389"/>
      <c r="U622" s="389"/>
      <c r="V622" s="389"/>
      <c r="W622" s="389"/>
      <c r="X622" s="389"/>
      <c r="Y622" s="389"/>
      <c r="Z622" s="389"/>
      <c r="AA622" s="389"/>
      <c r="AB622" s="389"/>
      <c r="AC622" s="389"/>
      <c r="AD622" s="389"/>
      <c r="AE622" s="389"/>
    </row>
    <row r="623" spans="1:31" ht="15.5" x14ac:dyDescent="0.35">
      <c r="A623" s="390"/>
      <c r="B623" s="389"/>
      <c r="C623" s="389"/>
      <c r="D623" s="389"/>
      <c r="E623" s="389"/>
      <c r="F623" s="389"/>
      <c r="G623" s="389"/>
      <c r="H623" s="389"/>
      <c r="I623" s="389"/>
      <c r="J623" s="389"/>
      <c r="K623" s="389"/>
      <c r="L623" s="389"/>
      <c r="M623" s="389"/>
      <c r="N623" s="389"/>
      <c r="O623" s="389"/>
      <c r="P623" s="389"/>
      <c r="Q623" s="389"/>
      <c r="R623" s="389"/>
      <c r="S623" s="389"/>
      <c r="T623" s="389"/>
      <c r="U623" s="389"/>
      <c r="V623" s="389"/>
      <c r="W623" s="389"/>
      <c r="X623" s="389"/>
      <c r="Y623" s="389"/>
      <c r="Z623" s="389"/>
      <c r="AA623" s="389"/>
      <c r="AB623" s="389"/>
      <c r="AC623" s="389"/>
      <c r="AD623" s="389"/>
      <c r="AE623" s="389"/>
    </row>
    <row r="624" spans="1:31" ht="15.5" x14ac:dyDescent="0.35">
      <c r="A624" s="390"/>
      <c r="B624" s="389"/>
      <c r="C624" s="389"/>
      <c r="D624" s="389"/>
      <c r="E624" s="389"/>
      <c r="F624" s="389"/>
      <c r="G624" s="389"/>
      <c r="H624" s="389"/>
      <c r="I624" s="389"/>
      <c r="J624" s="389"/>
      <c r="K624" s="389"/>
      <c r="L624" s="389"/>
      <c r="M624" s="389"/>
      <c r="N624" s="389"/>
      <c r="O624" s="389"/>
      <c r="P624" s="389"/>
      <c r="Q624" s="389"/>
      <c r="R624" s="389"/>
      <c r="S624" s="389"/>
      <c r="T624" s="389"/>
      <c r="U624" s="389"/>
      <c r="V624" s="389"/>
      <c r="W624" s="389"/>
      <c r="X624" s="389"/>
      <c r="Y624" s="389"/>
      <c r="Z624" s="389"/>
      <c r="AA624" s="389"/>
      <c r="AB624" s="389"/>
      <c r="AC624" s="389"/>
      <c r="AD624" s="389"/>
      <c r="AE624" s="389"/>
    </row>
    <row r="625" spans="1:31" ht="15.5" x14ac:dyDescent="0.35">
      <c r="A625" s="390"/>
      <c r="B625" s="389"/>
      <c r="C625" s="389"/>
      <c r="D625" s="389"/>
      <c r="E625" s="389"/>
      <c r="F625" s="389"/>
      <c r="G625" s="389"/>
      <c r="H625" s="389"/>
      <c r="I625" s="389"/>
      <c r="J625" s="389"/>
      <c r="K625" s="389"/>
      <c r="L625" s="389"/>
      <c r="M625" s="389"/>
      <c r="N625" s="389"/>
      <c r="O625" s="389"/>
      <c r="P625" s="389"/>
      <c r="Q625" s="389"/>
      <c r="R625" s="389"/>
      <c r="S625" s="389"/>
      <c r="T625" s="389"/>
      <c r="U625" s="389"/>
      <c r="V625" s="389"/>
      <c r="W625" s="389"/>
      <c r="X625" s="389"/>
      <c r="Y625" s="389"/>
      <c r="Z625" s="389"/>
      <c r="AA625" s="389"/>
      <c r="AB625" s="389"/>
      <c r="AC625" s="389"/>
      <c r="AD625" s="389"/>
      <c r="AE625" s="389"/>
    </row>
    <row r="626" spans="1:31" ht="15.5" x14ac:dyDescent="0.35">
      <c r="A626" s="390"/>
      <c r="B626" s="389"/>
      <c r="C626" s="389"/>
      <c r="D626" s="389"/>
      <c r="E626" s="389"/>
      <c r="F626" s="389"/>
      <c r="G626" s="389"/>
      <c r="H626" s="389"/>
      <c r="I626" s="389"/>
      <c r="J626" s="389"/>
      <c r="K626" s="389"/>
      <c r="L626" s="389"/>
      <c r="M626" s="389"/>
      <c r="N626" s="389"/>
      <c r="O626" s="389"/>
      <c r="P626" s="389"/>
      <c r="Q626" s="389"/>
      <c r="R626" s="389"/>
      <c r="S626" s="389"/>
      <c r="T626" s="389"/>
      <c r="U626" s="389"/>
      <c r="V626" s="389"/>
      <c r="W626" s="389"/>
      <c r="X626" s="389"/>
      <c r="Y626" s="389"/>
      <c r="Z626" s="389"/>
      <c r="AA626" s="389"/>
      <c r="AB626" s="389"/>
      <c r="AC626" s="389"/>
      <c r="AD626" s="389"/>
      <c r="AE626" s="389"/>
    </row>
    <row r="627" spans="1:31" ht="15.5" x14ac:dyDescent="0.35">
      <c r="A627" s="390"/>
      <c r="B627" s="389"/>
      <c r="C627" s="389"/>
      <c r="D627" s="389"/>
      <c r="E627" s="389"/>
      <c r="F627" s="389"/>
      <c r="G627" s="389"/>
      <c r="H627" s="389"/>
      <c r="I627" s="389"/>
      <c r="J627" s="389"/>
      <c r="K627" s="389"/>
      <c r="L627" s="389"/>
      <c r="M627" s="389"/>
      <c r="N627" s="389"/>
      <c r="O627" s="389"/>
      <c r="P627" s="389"/>
      <c r="Q627" s="389"/>
      <c r="R627" s="389"/>
      <c r="S627" s="389"/>
      <c r="T627" s="389"/>
      <c r="U627" s="389"/>
      <c r="V627" s="389"/>
      <c r="W627" s="389"/>
      <c r="X627" s="389"/>
      <c r="Y627" s="389"/>
      <c r="Z627" s="389"/>
      <c r="AA627" s="389"/>
      <c r="AB627" s="389"/>
      <c r="AC627" s="389"/>
      <c r="AD627" s="389"/>
      <c r="AE627" s="389"/>
    </row>
    <row r="628" spans="1:31" ht="15.5" x14ac:dyDescent="0.35">
      <c r="A628" s="390"/>
      <c r="B628" s="389"/>
      <c r="C628" s="389"/>
      <c r="D628" s="389"/>
      <c r="E628" s="389"/>
      <c r="F628" s="389"/>
      <c r="G628" s="389"/>
      <c r="H628" s="389"/>
      <c r="I628" s="389"/>
      <c r="J628" s="389"/>
      <c r="K628" s="389"/>
      <c r="L628" s="389"/>
      <c r="M628" s="389"/>
      <c r="N628" s="389"/>
      <c r="O628" s="389"/>
      <c r="P628" s="389"/>
      <c r="Q628" s="389"/>
      <c r="R628" s="389"/>
      <c r="S628" s="389"/>
      <c r="T628" s="389"/>
      <c r="U628" s="389"/>
      <c r="V628" s="389"/>
      <c r="W628" s="389"/>
      <c r="X628" s="389"/>
      <c r="Y628" s="389"/>
      <c r="Z628" s="389"/>
      <c r="AA628" s="389"/>
      <c r="AB628" s="389"/>
      <c r="AC628" s="389"/>
      <c r="AD628" s="389"/>
      <c r="AE628" s="389"/>
    </row>
    <row r="629" spans="1:31" ht="15.5" x14ac:dyDescent="0.35">
      <c r="A629" s="390"/>
      <c r="B629" s="389"/>
      <c r="C629" s="389"/>
      <c r="D629" s="389"/>
      <c r="E629" s="389"/>
      <c r="F629" s="389"/>
      <c r="G629" s="389"/>
      <c r="H629" s="389"/>
      <c r="I629" s="389"/>
      <c r="J629" s="389"/>
      <c r="K629" s="389"/>
      <c r="L629" s="389"/>
      <c r="M629" s="389"/>
      <c r="N629" s="389"/>
      <c r="O629" s="389"/>
      <c r="P629" s="389"/>
      <c r="Q629" s="389"/>
      <c r="R629" s="389"/>
      <c r="S629" s="389"/>
      <c r="T629" s="389"/>
      <c r="U629" s="389"/>
      <c r="V629" s="389"/>
      <c r="W629" s="389"/>
      <c r="X629" s="389"/>
      <c r="Y629" s="389"/>
      <c r="Z629" s="389"/>
      <c r="AA629" s="389"/>
      <c r="AB629" s="389"/>
      <c r="AC629" s="389"/>
      <c r="AD629" s="389"/>
      <c r="AE629" s="389"/>
    </row>
    <row r="630" spans="1:31" ht="15.5" x14ac:dyDescent="0.35">
      <c r="A630" s="390"/>
      <c r="B630" s="389"/>
      <c r="C630" s="389"/>
      <c r="D630" s="389"/>
      <c r="E630" s="389"/>
      <c r="F630" s="389"/>
      <c r="G630" s="389"/>
      <c r="H630" s="389"/>
      <c r="I630" s="389"/>
      <c r="J630" s="389"/>
      <c r="K630" s="389"/>
      <c r="L630" s="389"/>
      <c r="M630" s="389"/>
      <c r="N630" s="389"/>
      <c r="O630" s="389"/>
      <c r="P630" s="389"/>
      <c r="Q630" s="389"/>
      <c r="R630" s="389"/>
      <c r="S630" s="389"/>
      <c r="T630" s="389"/>
      <c r="U630" s="389"/>
      <c r="V630" s="389"/>
      <c r="W630" s="389"/>
      <c r="X630" s="389"/>
      <c r="Y630" s="389"/>
      <c r="Z630" s="389"/>
      <c r="AA630" s="389"/>
      <c r="AB630" s="389"/>
      <c r="AC630" s="389"/>
      <c r="AD630" s="389"/>
      <c r="AE630" s="389"/>
    </row>
    <row r="631" spans="1:31" ht="15.5" x14ac:dyDescent="0.35">
      <c r="A631" s="390"/>
      <c r="B631" s="389"/>
      <c r="C631" s="389"/>
      <c r="D631" s="389"/>
      <c r="E631" s="389"/>
      <c r="F631" s="389"/>
      <c r="G631" s="389"/>
      <c r="H631" s="389"/>
      <c r="I631" s="389"/>
      <c r="J631" s="389"/>
      <c r="K631" s="389"/>
      <c r="L631" s="389"/>
      <c r="M631" s="389"/>
      <c r="N631" s="389"/>
      <c r="O631" s="389"/>
      <c r="P631" s="389"/>
      <c r="Q631" s="389"/>
      <c r="R631" s="389"/>
      <c r="S631" s="389"/>
      <c r="T631" s="389"/>
      <c r="U631" s="389"/>
      <c r="V631" s="389"/>
      <c r="W631" s="389"/>
      <c r="X631" s="389"/>
      <c r="Y631" s="389"/>
      <c r="Z631" s="389"/>
      <c r="AA631" s="389"/>
      <c r="AB631" s="389"/>
      <c r="AC631" s="389"/>
      <c r="AD631" s="389"/>
      <c r="AE631" s="389"/>
    </row>
    <row r="632" spans="1:31" ht="15.5" x14ac:dyDescent="0.35">
      <c r="A632" s="390"/>
      <c r="B632" s="389"/>
      <c r="C632" s="389"/>
      <c r="D632" s="389"/>
      <c r="E632" s="389"/>
      <c r="F632" s="389"/>
      <c r="G632" s="389"/>
      <c r="H632" s="389"/>
      <c r="I632" s="389"/>
      <c r="J632" s="389"/>
      <c r="K632" s="389"/>
      <c r="L632" s="389"/>
      <c r="M632" s="389"/>
      <c r="N632" s="389"/>
      <c r="O632" s="389"/>
      <c r="P632" s="389"/>
      <c r="Q632" s="389"/>
      <c r="R632" s="389"/>
      <c r="S632" s="389"/>
      <c r="T632" s="389"/>
      <c r="U632" s="389"/>
      <c r="V632" s="389"/>
      <c r="W632" s="389"/>
      <c r="X632" s="389"/>
      <c r="Y632" s="389"/>
      <c r="Z632" s="389"/>
      <c r="AA632" s="389"/>
      <c r="AB632" s="389"/>
      <c r="AC632" s="389"/>
      <c r="AD632" s="389"/>
      <c r="AE632" s="389"/>
    </row>
    <row r="633" spans="1:31" ht="15.5" x14ac:dyDescent="0.35">
      <c r="A633" s="390"/>
      <c r="B633" s="389"/>
      <c r="C633" s="389"/>
      <c r="D633" s="389"/>
      <c r="E633" s="389"/>
      <c r="F633" s="389"/>
      <c r="G633" s="389"/>
      <c r="H633" s="389"/>
      <c r="I633" s="389"/>
      <c r="J633" s="389"/>
      <c r="K633" s="389"/>
      <c r="L633" s="389"/>
      <c r="M633" s="389"/>
      <c r="N633" s="389"/>
      <c r="O633" s="389"/>
      <c r="P633" s="389"/>
      <c r="Q633" s="389"/>
      <c r="R633" s="389"/>
      <c r="S633" s="389"/>
      <c r="T633" s="389"/>
      <c r="U633" s="389"/>
      <c r="V633" s="389"/>
      <c r="W633" s="389"/>
      <c r="X633" s="389"/>
      <c r="Y633" s="389"/>
      <c r="Z633" s="389"/>
      <c r="AA633" s="389"/>
      <c r="AB633" s="389"/>
      <c r="AC633" s="389"/>
      <c r="AD633" s="389"/>
      <c r="AE633" s="389"/>
    </row>
    <row r="634" spans="1:31" ht="15.5" x14ac:dyDescent="0.35">
      <c r="A634" s="390"/>
      <c r="B634" s="389"/>
      <c r="C634" s="389"/>
      <c r="D634" s="389"/>
      <c r="E634" s="389"/>
      <c r="F634" s="389"/>
      <c r="G634" s="389"/>
      <c r="H634" s="389"/>
      <c r="I634" s="389"/>
      <c r="J634" s="389"/>
      <c r="K634" s="389"/>
      <c r="L634" s="389"/>
      <c r="M634" s="389"/>
      <c r="N634" s="389"/>
      <c r="O634" s="389"/>
      <c r="P634" s="389"/>
      <c r="Q634" s="389"/>
      <c r="R634" s="389"/>
      <c r="S634" s="389"/>
      <c r="T634" s="389"/>
      <c r="U634" s="389"/>
      <c r="V634" s="389"/>
      <c r="W634" s="389"/>
      <c r="X634" s="389"/>
      <c r="Y634" s="389"/>
      <c r="Z634" s="389"/>
      <c r="AA634" s="389"/>
      <c r="AB634" s="389"/>
      <c r="AC634" s="389"/>
      <c r="AD634" s="389"/>
      <c r="AE634" s="389"/>
    </row>
    <row r="635" spans="1:31" ht="15.5" x14ac:dyDescent="0.35">
      <c r="A635" s="390"/>
      <c r="B635" s="389"/>
      <c r="C635" s="389"/>
      <c r="D635" s="389"/>
      <c r="E635" s="389"/>
      <c r="F635" s="389"/>
      <c r="G635" s="389"/>
      <c r="H635" s="389"/>
      <c r="I635" s="389"/>
      <c r="J635" s="389"/>
      <c r="K635" s="389"/>
      <c r="L635" s="389"/>
      <c r="M635" s="389"/>
      <c r="N635" s="389"/>
      <c r="O635" s="389"/>
      <c r="P635" s="389"/>
      <c r="Q635" s="389"/>
      <c r="R635" s="389"/>
      <c r="S635" s="389"/>
      <c r="T635" s="389"/>
      <c r="U635" s="389"/>
      <c r="V635" s="389"/>
      <c r="W635" s="389"/>
      <c r="X635" s="389"/>
      <c r="Y635" s="389"/>
      <c r="Z635" s="389"/>
      <c r="AA635" s="389"/>
      <c r="AB635" s="389"/>
      <c r="AC635" s="389"/>
      <c r="AD635" s="389"/>
      <c r="AE635" s="389"/>
    </row>
    <row r="636" spans="1:31" ht="15.5" x14ac:dyDescent="0.35">
      <c r="A636" s="390"/>
      <c r="B636" s="389"/>
      <c r="C636" s="389"/>
      <c r="D636" s="389"/>
      <c r="E636" s="389"/>
      <c r="F636" s="389"/>
      <c r="G636" s="389"/>
      <c r="H636" s="389"/>
      <c r="I636" s="389"/>
      <c r="J636" s="389"/>
      <c r="K636" s="389"/>
      <c r="L636" s="389"/>
      <c r="M636" s="389"/>
      <c r="N636" s="389"/>
      <c r="O636" s="389"/>
      <c r="P636" s="389"/>
      <c r="Q636" s="389"/>
      <c r="R636" s="389"/>
      <c r="S636" s="389"/>
      <c r="T636" s="389"/>
      <c r="U636" s="389"/>
      <c r="V636" s="389"/>
      <c r="W636" s="389"/>
      <c r="X636" s="389"/>
      <c r="Y636" s="389"/>
      <c r="Z636" s="389"/>
      <c r="AA636" s="389"/>
      <c r="AB636" s="389"/>
      <c r="AC636" s="389"/>
      <c r="AD636" s="389"/>
      <c r="AE636" s="389"/>
    </row>
    <row r="637" spans="1:31" ht="15.5" x14ac:dyDescent="0.35">
      <c r="A637" s="390"/>
      <c r="B637" s="389"/>
      <c r="C637" s="389"/>
      <c r="D637" s="389"/>
      <c r="E637" s="389"/>
      <c r="F637" s="389"/>
      <c r="G637" s="389"/>
      <c r="H637" s="389"/>
      <c r="I637" s="389"/>
      <c r="J637" s="389"/>
      <c r="K637" s="389"/>
      <c r="L637" s="389"/>
      <c r="M637" s="389"/>
      <c r="N637" s="389"/>
      <c r="O637" s="389"/>
      <c r="P637" s="389"/>
      <c r="Q637" s="389"/>
      <c r="R637" s="389"/>
      <c r="S637" s="389"/>
      <c r="T637" s="389"/>
      <c r="U637" s="389"/>
      <c r="V637" s="389"/>
      <c r="W637" s="389"/>
      <c r="X637" s="389"/>
      <c r="Y637" s="389"/>
      <c r="Z637" s="389"/>
      <c r="AA637" s="389"/>
      <c r="AB637" s="389"/>
      <c r="AC637" s="389"/>
      <c r="AD637" s="389"/>
      <c r="AE637" s="389"/>
    </row>
    <row r="638" spans="1:31" ht="15.5" x14ac:dyDescent="0.35">
      <c r="A638" s="390"/>
      <c r="B638" s="389"/>
      <c r="C638" s="389"/>
      <c r="D638" s="389"/>
      <c r="E638" s="389"/>
      <c r="F638" s="389"/>
      <c r="G638" s="389"/>
      <c r="H638" s="389"/>
      <c r="I638" s="389"/>
      <c r="J638" s="389"/>
      <c r="K638" s="389"/>
      <c r="L638" s="389"/>
      <c r="M638" s="389"/>
      <c r="N638" s="389"/>
      <c r="O638" s="389"/>
      <c r="P638" s="389"/>
      <c r="Q638" s="389"/>
      <c r="R638" s="389"/>
      <c r="S638" s="389"/>
      <c r="T638" s="389"/>
      <c r="U638" s="389"/>
      <c r="V638" s="389"/>
      <c r="W638" s="389"/>
      <c r="X638" s="389"/>
      <c r="Y638" s="389"/>
      <c r="Z638" s="389"/>
      <c r="AA638" s="389"/>
      <c r="AB638" s="389"/>
      <c r="AC638" s="389"/>
      <c r="AD638" s="389"/>
      <c r="AE638" s="389"/>
    </row>
    <row r="639" spans="1:31" ht="15.5" x14ac:dyDescent="0.35">
      <c r="A639" s="390"/>
      <c r="B639" s="389"/>
      <c r="C639" s="389"/>
      <c r="D639" s="389"/>
      <c r="E639" s="389"/>
      <c r="F639" s="389"/>
      <c r="G639" s="389"/>
      <c r="H639" s="389"/>
      <c r="I639" s="389"/>
      <c r="J639" s="389"/>
      <c r="K639" s="389"/>
      <c r="L639" s="389"/>
      <c r="M639" s="389"/>
      <c r="N639" s="389"/>
      <c r="O639" s="389"/>
      <c r="P639" s="389"/>
      <c r="Q639" s="389"/>
      <c r="R639" s="389"/>
      <c r="S639" s="389"/>
      <c r="T639" s="389"/>
      <c r="U639" s="389"/>
      <c r="V639" s="389"/>
      <c r="W639" s="389"/>
      <c r="X639" s="389"/>
      <c r="Y639" s="389"/>
      <c r="Z639" s="389"/>
      <c r="AA639" s="389"/>
      <c r="AB639" s="389"/>
      <c r="AC639" s="389"/>
      <c r="AD639" s="389"/>
      <c r="AE639" s="389"/>
    </row>
    <row r="640" spans="1:31" ht="15.5" x14ac:dyDescent="0.35">
      <c r="A640" s="390"/>
      <c r="B640" s="389"/>
      <c r="C640" s="389"/>
      <c r="D640" s="389"/>
      <c r="E640" s="389"/>
      <c r="F640" s="389"/>
      <c r="G640" s="389"/>
      <c r="H640" s="389"/>
      <c r="I640" s="389"/>
      <c r="J640" s="389"/>
      <c r="K640" s="389"/>
      <c r="L640" s="389"/>
      <c r="M640" s="389"/>
      <c r="N640" s="389"/>
      <c r="O640" s="389"/>
      <c r="P640" s="389"/>
      <c r="Q640" s="389"/>
      <c r="R640" s="389"/>
      <c r="S640" s="389"/>
      <c r="T640" s="389"/>
      <c r="U640" s="389"/>
      <c r="V640" s="389"/>
      <c r="W640" s="389"/>
      <c r="X640" s="389"/>
      <c r="Y640" s="389"/>
      <c r="Z640" s="389"/>
      <c r="AA640" s="389"/>
      <c r="AB640" s="389"/>
      <c r="AC640" s="389"/>
      <c r="AD640" s="389"/>
      <c r="AE640" s="389"/>
    </row>
    <row r="641" spans="1:31" ht="15.5" x14ac:dyDescent="0.35">
      <c r="A641" s="390"/>
      <c r="B641" s="389"/>
      <c r="C641" s="389"/>
      <c r="D641" s="389"/>
      <c r="E641" s="389"/>
      <c r="F641" s="389"/>
      <c r="G641" s="389"/>
      <c r="H641" s="389"/>
      <c r="I641" s="389"/>
      <c r="J641" s="389"/>
      <c r="K641" s="389"/>
      <c r="L641" s="389"/>
      <c r="M641" s="389"/>
      <c r="N641" s="389"/>
      <c r="O641" s="389"/>
      <c r="P641" s="389"/>
      <c r="Q641" s="389"/>
      <c r="R641" s="389"/>
      <c r="S641" s="389"/>
      <c r="T641" s="389"/>
      <c r="U641" s="389"/>
      <c r="V641" s="389"/>
      <c r="W641" s="389"/>
      <c r="X641" s="389"/>
      <c r="Y641" s="389"/>
      <c r="Z641" s="389"/>
      <c r="AA641" s="389"/>
      <c r="AB641" s="389"/>
      <c r="AC641" s="389"/>
      <c r="AD641" s="389"/>
      <c r="AE641" s="389"/>
    </row>
    <row r="642" spans="1:31" ht="15.5" x14ac:dyDescent="0.35">
      <c r="A642" s="390"/>
      <c r="B642" s="389"/>
      <c r="C642" s="389"/>
      <c r="D642" s="389"/>
      <c r="E642" s="389"/>
      <c r="F642" s="389"/>
      <c r="G642" s="389"/>
      <c r="H642" s="389"/>
      <c r="I642" s="389"/>
      <c r="J642" s="389"/>
      <c r="K642" s="389"/>
      <c r="L642" s="389"/>
      <c r="M642" s="389"/>
      <c r="N642" s="389"/>
      <c r="O642" s="389"/>
      <c r="P642" s="389"/>
      <c r="Q642" s="389"/>
      <c r="R642" s="389"/>
      <c r="S642" s="389"/>
      <c r="T642" s="389"/>
      <c r="U642" s="389"/>
      <c r="V642" s="389"/>
      <c r="W642" s="389"/>
      <c r="X642" s="389"/>
      <c r="Y642" s="389"/>
      <c r="Z642" s="389"/>
      <c r="AA642" s="389"/>
      <c r="AB642" s="389"/>
      <c r="AC642" s="389"/>
      <c r="AD642" s="389"/>
      <c r="AE642" s="389"/>
    </row>
    <row r="643" spans="1:31" ht="15.5" x14ac:dyDescent="0.35">
      <c r="A643" s="390"/>
      <c r="B643" s="389"/>
      <c r="C643" s="389"/>
      <c r="D643" s="389"/>
      <c r="E643" s="389"/>
      <c r="F643" s="389"/>
      <c r="G643" s="389"/>
      <c r="H643" s="389"/>
      <c r="I643" s="389"/>
      <c r="J643" s="389"/>
      <c r="K643" s="389"/>
      <c r="L643" s="389"/>
      <c r="M643" s="389"/>
      <c r="N643" s="389"/>
      <c r="O643" s="389"/>
      <c r="P643" s="389"/>
      <c r="Q643" s="389"/>
      <c r="R643" s="389"/>
      <c r="S643" s="389"/>
      <c r="T643" s="389"/>
      <c r="U643" s="389"/>
      <c r="V643" s="389"/>
      <c r="W643" s="389"/>
      <c r="X643" s="389"/>
      <c r="Y643" s="389"/>
      <c r="Z643" s="389"/>
      <c r="AA643" s="389"/>
      <c r="AB643" s="389"/>
      <c r="AC643" s="389"/>
      <c r="AD643" s="389"/>
      <c r="AE643" s="389"/>
    </row>
    <row r="644" spans="1:31" ht="15.5" x14ac:dyDescent="0.35">
      <c r="A644" s="390"/>
      <c r="B644" s="389"/>
      <c r="C644" s="389"/>
      <c r="D644" s="389"/>
      <c r="E644" s="389"/>
      <c r="F644" s="389"/>
      <c r="G644" s="389"/>
      <c r="H644" s="389"/>
      <c r="I644" s="389"/>
      <c r="J644" s="389"/>
      <c r="K644" s="389"/>
      <c r="L644" s="389"/>
      <c r="M644" s="389"/>
      <c r="N644" s="389"/>
      <c r="O644" s="389"/>
      <c r="P644" s="389"/>
      <c r="Q644" s="389"/>
      <c r="R644" s="389"/>
      <c r="S644" s="389"/>
      <c r="T644" s="389"/>
      <c r="U644" s="389"/>
      <c r="V644" s="389"/>
      <c r="W644" s="389"/>
      <c r="X644" s="389"/>
      <c r="Y644" s="389"/>
      <c r="Z644" s="389"/>
      <c r="AA644" s="389"/>
      <c r="AB644" s="389"/>
      <c r="AC644" s="389"/>
      <c r="AD644" s="389"/>
      <c r="AE644" s="389"/>
    </row>
    <row r="645" spans="1:31" ht="15.5" x14ac:dyDescent="0.35">
      <c r="A645" s="390"/>
      <c r="B645" s="389"/>
      <c r="C645" s="389"/>
      <c r="D645" s="389"/>
      <c r="E645" s="389"/>
      <c r="F645" s="389"/>
      <c r="G645" s="389"/>
      <c r="H645" s="389"/>
      <c r="I645" s="389"/>
      <c r="J645" s="389"/>
      <c r="K645" s="389"/>
      <c r="L645" s="389"/>
      <c r="M645" s="389"/>
      <c r="N645" s="389"/>
      <c r="O645" s="389"/>
      <c r="P645" s="389"/>
      <c r="Q645" s="389"/>
      <c r="R645" s="389"/>
      <c r="S645" s="389"/>
      <c r="T645" s="389"/>
      <c r="U645" s="389"/>
      <c r="V645" s="389"/>
      <c r="W645" s="389"/>
      <c r="X645" s="389"/>
      <c r="Y645" s="389"/>
      <c r="Z645" s="389"/>
      <c r="AA645" s="389"/>
      <c r="AB645" s="389"/>
      <c r="AC645" s="389"/>
      <c r="AD645" s="389"/>
      <c r="AE645" s="389"/>
    </row>
    <row r="646" spans="1:31" ht="15.5" x14ac:dyDescent="0.35">
      <c r="A646" s="390"/>
      <c r="B646" s="389"/>
      <c r="C646" s="389"/>
      <c r="D646" s="389"/>
      <c r="E646" s="389"/>
      <c r="F646" s="389"/>
      <c r="G646" s="389"/>
      <c r="H646" s="389"/>
      <c r="I646" s="389"/>
      <c r="J646" s="389"/>
      <c r="K646" s="389"/>
      <c r="L646" s="389"/>
      <c r="M646" s="389"/>
      <c r="N646" s="389"/>
      <c r="O646" s="389"/>
      <c r="P646" s="389"/>
      <c r="Q646" s="389"/>
      <c r="R646" s="389"/>
      <c r="S646" s="389"/>
      <c r="T646" s="389"/>
      <c r="U646" s="389"/>
      <c r="V646" s="389"/>
      <c r="W646" s="389"/>
      <c r="X646" s="389"/>
      <c r="Y646" s="389"/>
      <c r="Z646" s="389"/>
      <c r="AA646" s="389"/>
      <c r="AB646" s="389"/>
      <c r="AC646" s="389"/>
      <c r="AD646" s="389"/>
      <c r="AE646" s="389"/>
    </row>
    <row r="647" spans="1:31" ht="15.5" x14ac:dyDescent="0.35">
      <c r="A647" s="390"/>
      <c r="B647" s="389"/>
      <c r="C647" s="389"/>
      <c r="D647" s="389"/>
      <c r="E647" s="389"/>
      <c r="F647" s="389"/>
      <c r="G647" s="389"/>
      <c r="H647" s="389"/>
      <c r="I647" s="389"/>
      <c r="J647" s="389"/>
      <c r="K647" s="389"/>
      <c r="L647" s="389"/>
      <c r="M647" s="389"/>
      <c r="N647" s="389"/>
      <c r="O647" s="389"/>
      <c r="P647" s="389"/>
      <c r="Q647" s="389"/>
      <c r="R647" s="389"/>
      <c r="S647" s="389"/>
      <c r="T647" s="389"/>
      <c r="U647" s="389"/>
      <c r="V647" s="389"/>
      <c r="W647" s="389"/>
      <c r="X647" s="389"/>
      <c r="Y647" s="389"/>
      <c r="Z647" s="389"/>
      <c r="AA647" s="389"/>
      <c r="AB647" s="389"/>
      <c r="AC647" s="389"/>
      <c r="AD647" s="389"/>
      <c r="AE647" s="389"/>
    </row>
    <row r="648" spans="1:31" ht="15.5" x14ac:dyDescent="0.35">
      <c r="A648" s="390"/>
      <c r="B648" s="389"/>
      <c r="C648" s="389"/>
      <c r="D648" s="389"/>
      <c r="E648" s="389"/>
      <c r="F648" s="389"/>
      <c r="G648" s="389"/>
      <c r="H648" s="389"/>
      <c r="I648" s="389"/>
      <c r="J648" s="389"/>
      <c r="K648" s="389"/>
      <c r="L648" s="389"/>
      <c r="M648" s="389"/>
      <c r="N648" s="389"/>
      <c r="O648" s="389"/>
      <c r="P648" s="389"/>
      <c r="Q648" s="389"/>
      <c r="R648" s="389"/>
      <c r="S648" s="389"/>
      <c r="T648" s="389"/>
      <c r="U648" s="389"/>
      <c r="V648" s="389"/>
      <c r="W648" s="389"/>
      <c r="X648" s="389"/>
      <c r="Y648" s="389"/>
      <c r="Z648" s="389"/>
      <c r="AA648" s="389"/>
      <c r="AB648" s="389"/>
      <c r="AC648" s="389"/>
      <c r="AD648" s="389"/>
      <c r="AE648" s="389"/>
    </row>
    <row r="649" spans="1:31" ht="15.5" x14ac:dyDescent="0.35">
      <c r="A649" s="390"/>
      <c r="B649" s="389"/>
      <c r="C649" s="389"/>
      <c r="D649" s="389"/>
      <c r="E649" s="389"/>
      <c r="F649" s="389"/>
      <c r="G649" s="389"/>
      <c r="H649" s="389"/>
      <c r="I649" s="389"/>
      <c r="J649" s="389"/>
      <c r="K649" s="389"/>
      <c r="L649" s="389"/>
      <c r="M649" s="389"/>
      <c r="N649" s="389"/>
      <c r="O649" s="389"/>
      <c r="P649" s="389"/>
      <c r="Q649" s="389"/>
      <c r="R649" s="389"/>
      <c r="S649" s="389"/>
      <c r="T649" s="389"/>
      <c r="U649" s="389"/>
      <c r="V649" s="389"/>
      <c r="W649" s="389"/>
      <c r="X649" s="389"/>
      <c r="Y649" s="389"/>
      <c r="Z649" s="389"/>
      <c r="AA649" s="389"/>
      <c r="AB649" s="389"/>
      <c r="AC649" s="389"/>
      <c r="AD649" s="389"/>
      <c r="AE649" s="389"/>
    </row>
    <row r="650" spans="1:31" ht="15.5" x14ac:dyDescent="0.35">
      <c r="A650" s="390"/>
      <c r="B650" s="389"/>
      <c r="C650" s="389"/>
      <c r="D650" s="389"/>
      <c r="E650" s="389"/>
      <c r="F650" s="389"/>
      <c r="G650" s="389"/>
      <c r="H650" s="389"/>
      <c r="I650" s="389"/>
      <c r="J650" s="389"/>
      <c r="K650" s="389"/>
      <c r="L650" s="389"/>
      <c r="M650" s="389"/>
      <c r="N650" s="389"/>
      <c r="O650" s="389"/>
      <c r="P650" s="389"/>
      <c r="Q650" s="389"/>
      <c r="R650" s="389"/>
      <c r="S650" s="389"/>
      <c r="T650" s="389"/>
      <c r="U650" s="389"/>
      <c r="V650" s="389"/>
      <c r="W650" s="389"/>
      <c r="X650" s="389"/>
      <c r="Y650" s="389"/>
      <c r="Z650" s="389"/>
      <c r="AA650" s="389"/>
      <c r="AB650" s="389"/>
      <c r="AC650" s="389"/>
      <c r="AD650" s="389"/>
      <c r="AE650" s="389"/>
    </row>
    <row r="651" spans="1:31" ht="15.5" x14ac:dyDescent="0.35">
      <c r="A651" s="390"/>
      <c r="B651" s="389"/>
      <c r="C651" s="389"/>
      <c r="D651" s="389"/>
      <c r="E651" s="389"/>
      <c r="F651" s="389"/>
      <c r="G651" s="389"/>
      <c r="H651" s="389"/>
      <c r="I651" s="389"/>
      <c r="J651" s="389"/>
      <c r="K651" s="389"/>
      <c r="L651" s="389"/>
      <c r="M651" s="389"/>
      <c r="N651" s="389"/>
      <c r="O651" s="389"/>
      <c r="P651" s="389"/>
      <c r="Q651" s="389"/>
      <c r="R651" s="389"/>
      <c r="S651" s="389"/>
      <c r="T651" s="389"/>
      <c r="U651" s="389"/>
      <c r="V651" s="389"/>
      <c r="W651" s="389"/>
      <c r="X651" s="389"/>
      <c r="Y651" s="389"/>
      <c r="Z651" s="389"/>
      <c r="AA651" s="389"/>
      <c r="AB651" s="389"/>
      <c r="AC651" s="389"/>
      <c r="AD651" s="389"/>
      <c r="AE651" s="389"/>
    </row>
    <row r="652" spans="1:31" ht="15.5" x14ac:dyDescent="0.35">
      <c r="A652" s="390"/>
      <c r="B652" s="389"/>
      <c r="C652" s="389"/>
      <c r="D652" s="389"/>
      <c r="E652" s="389"/>
      <c r="F652" s="389"/>
      <c r="G652" s="389"/>
      <c r="H652" s="389"/>
      <c r="I652" s="389"/>
      <c r="J652" s="389"/>
      <c r="K652" s="389"/>
      <c r="L652" s="389"/>
      <c r="M652" s="389"/>
      <c r="N652" s="389"/>
      <c r="O652" s="389"/>
      <c r="P652" s="389"/>
      <c r="Q652" s="389"/>
      <c r="R652" s="389"/>
      <c r="S652" s="389"/>
      <c r="T652" s="389"/>
      <c r="U652" s="389"/>
      <c r="V652" s="389"/>
      <c r="W652" s="389"/>
      <c r="X652" s="389"/>
      <c r="Y652" s="389"/>
      <c r="Z652" s="389"/>
      <c r="AA652" s="389"/>
      <c r="AB652" s="389"/>
      <c r="AC652" s="389"/>
      <c r="AD652" s="389"/>
      <c r="AE652" s="389"/>
    </row>
    <row r="653" spans="1:31" ht="15.5" x14ac:dyDescent="0.35">
      <c r="A653" s="390"/>
      <c r="B653" s="389"/>
      <c r="C653" s="389"/>
      <c r="D653" s="389"/>
      <c r="E653" s="389"/>
      <c r="F653" s="389"/>
      <c r="G653" s="389"/>
      <c r="H653" s="389"/>
      <c r="I653" s="389"/>
      <c r="J653" s="389"/>
      <c r="K653" s="389"/>
      <c r="L653" s="389"/>
      <c r="M653" s="389"/>
      <c r="N653" s="389"/>
      <c r="O653" s="389"/>
      <c r="P653" s="389"/>
      <c r="Q653" s="389"/>
      <c r="R653" s="389"/>
      <c r="S653" s="389"/>
      <c r="T653" s="389"/>
      <c r="U653" s="389"/>
      <c r="V653" s="389"/>
      <c r="W653" s="389"/>
      <c r="X653" s="389"/>
      <c r="Y653" s="389"/>
      <c r="Z653" s="389"/>
      <c r="AA653" s="389"/>
      <c r="AB653" s="389"/>
      <c r="AC653" s="389"/>
      <c r="AD653" s="389"/>
      <c r="AE653" s="389"/>
    </row>
    <row r="654" spans="1:31" ht="15.5" x14ac:dyDescent="0.35">
      <c r="A654" s="390"/>
      <c r="B654" s="389"/>
      <c r="C654" s="389"/>
      <c r="D654" s="389"/>
      <c r="E654" s="389"/>
      <c r="F654" s="389"/>
      <c r="G654" s="389"/>
      <c r="H654" s="389"/>
      <c r="I654" s="389"/>
      <c r="J654" s="389"/>
      <c r="K654" s="389"/>
      <c r="L654" s="389"/>
      <c r="M654" s="389"/>
      <c r="N654" s="389"/>
      <c r="O654" s="389"/>
      <c r="P654" s="389"/>
      <c r="Q654" s="389"/>
      <c r="R654" s="389"/>
      <c r="S654" s="389"/>
      <c r="T654" s="389"/>
      <c r="U654" s="389"/>
      <c r="V654" s="389"/>
      <c r="W654" s="389"/>
      <c r="X654" s="389"/>
      <c r="Y654" s="389"/>
      <c r="Z654" s="389"/>
      <c r="AA654" s="389"/>
      <c r="AB654" s="389"/>
      <c r="AC654" s="389"/>
      <c r="AD654" s="389"/>
      <c r="AE654" s="389"/>
    </row>
    <row r="655" spans="1:31" ht="15.5" x14ac:dyDescent="0.35">
      <c r="A655" s="390"/>
      <c r="B655" s="389"/>
      <c r="C655" s="389"/>
      <c r="D655" s="389"/>
      <c r="E655" s="389"/>
      <c r="F655" s="389"/>
      <c r="G655" s="389"/>
      <c r="H655" s="389"/>
      <c r="I655" s="389"/>
      <c r="J655" s="389"/>
      <c r="K655" s="389"/>
      <c r="L655" s="389"/>
      <c r="M655" s="389"/>
      <c r="N655" s="389"/>
      <c r="O655" s="389"/>
      <c r="P655" s="389"/>
      <c r="Q655" s="389"/>
      <c r="R655" s="389"/>
      <c r="S655" s="389"/>
      <c r="T655" s="389"/>
      <c r="U655" s="389"/>
      <c r="V655" s="389"/>
      <c r="W655" s="389"/>
      <c r="X655" s="389"/>
      <c r="Y655" s="389"/>
      <c r="Z655" s="389"/>
      <c r="AA655" s="389"/>
      <c r="AB655" s="389"/>
      <c r="AC655" s="389"/>
      <c r="AD655" s="389"/>
      <c r="AE655" s="389"/>
    </row>
    <row r="656" spans="1:31" ht="15.5" x14ac:dyDescent="0.35">
      <c r="A656" s="390"/>
      <c r="B656" s="389"/>
      <c r="C656" s="389"/>
      <c r="D656" s="389"/>
      <c r="E656" s="389"/>
      <c r="F656" s="389"/>
      <c r="G656" s="389"/>
      <c r="H656" s="389"/>
      <c r="I656" s="389"/>
      <c r="J656" s="389"/>
      <c r="K656" s="389"/>
      <c r="L656" s="389"/>
      <c r="M656" s="389"/>
      <c r="N656" s="389"/>
      <c r="O656" s="389"/>
      <c r="P656" s="389"/>
      <c r="Q656" s="389"/>
      <c r="R656" s="389"/>
      <c r="S656" s="389"/>
      <c r="T656" s="389"/>
      <c r="U656" s="389"/>
      <c r="V656" s="389"/>
      <c r="W656" s="389"/>
      <c r="X656" s="389"/>
      <c r="Y656" s="389"/>
      <c r="Z656" s="389"/>
      <c r="AA656" s="389"/>
      <c r="AB656" s="389"/>
      <c r="AC656" s="389"/>
      <c r="AD656" s="389"/>
      <c r="AE656" s="389"/>
    </row>
    <row r="657" spans="1:31" ht="15.5" x14ac:dyDescent="0.35">
      <c r="A657" s="390"/>
      <c r="B657" s="389"/>
      <c r="C657" s="389"/>
      <c r="D657" s="389"/>
      <c r="E657" s="389"/>
      <c r="F657" s="389"/>
      <c r="G657" s="389"/>
      <c r="H657" s="389"/>
      <c r="I657" s="389"/>
      <c r="J657" s="389"/>
      <c r="K657" s="389"/>
      <c r="L657" s="389"/>
      <c r="M657" s="389"/>
      <c r="N657" s="389"/>
      <c r="O657" s="389"/>
      <c r="P657" s="389"/>
      <c r="Q657" s="389"/>
      <c r="R657" s="389"/>
      <c r="S657" s="389"/>
      <c r="T657" s="389"/>
      <c r="U657" s="389"/>
      <c r="V657" s="389"/>
      <c r="W657" s="389"/>
      <c r="X657" s="389"/>
      <c r="Y657" s="389"/>
      <c r="Z657" s="389"/>
      <c r="AA657" s="389"/>
      <c r="AB657" s="389"/>
      <c r="AC657" s="389"/>
      <c r="AD657" s="389"/>
      <c r="AE657" s="389"/>
    </row>
    <row r="658" spans="1:31" ht="15.5" x14ac:dyDescent="0.35">
      <c r="A658" s="390"/>
      <c r="B658" s="389"/>
      <c r="C658" s="389"/>
      <c r="D658" s="389"/>
      <c r="E658" s="389"/>
      <c r="F658" s="389"/>
      <c r="G658" s="389"/>
      <c r="H658" s="389"/>
      <c r="I658" s="389"/>
      <c r="J658" s="389"/>
      <c r="K658" s="389"/>
      <c r="L658" s="389"/>
      <c r="M658" s="389"/>
      <c r="N658" s="389"/>
      <c r="O658" s="389"/>
      <c r="P658" s="389"/>
      <c r="Q658" s="389"/>
      <c r="R658" s="389"/>
      <c r="S658" s="389"/>
      <c r="T658" s="389"/>
      <c r="U658" s="389"/>
      <c r="V658" s="389"/>
      <c r="W658" s="389"/>
      <c r="X658" s="389"/>
      <c r="Y658" s="389"/>
      <c r="Z658" s="389"/>
      <c r="AA658" s="389"/>
      <c r="AB658" s="389"/>
      <c r="AC658" s="389"/>
      <c r="AD658" s="389"/>
      <c r="AE658" s="389"/>
    </row>
    <row r="659" spans="1:31" ht="15.5" x14ac:dyDescent="0.35">
      <c r="A659" s="390"/>
      <c r="B659" s="389"/>
      <c r="C659" s="389"/>
      <c r="D659" s="389"/>
      <c r="E659" s="389"/>
      <c r="F659" s="389"/>
      <c r="G659" s="389"/>
      <c r="H659" s="389"/>
      <c r="I659" s="389"/>
      <c r="J659" s="389"/>
      <c r="K659" s="389"/>
      <c r="L659" s="389"/>
      <c r="M659" s="389"/>
      <c r="N659" s="389"/>
      <c r="O659" s="389"/>
      <c r="P659" s="389"/>
      <c r="Q659" s="389"/>
      <c r="R659" s="389"/>
      <c r="S659" s="389"/>
      <c r="T659" s="389"/>
      <c r="U659" s="389"/>
      <c r="V659" s="389"/>
      <c r="W659" s="389"/>
      <c r="X659" s="389"/>
      <c r="Y659" s="389"/>
      <c r="Z659" s="389"/>
      <c r="AA659" s="389"/>
      <c r="AB659" s="389"/>
      <c r="AC659" s="389"/>
      <c r="AD659" s="389"/>
      <c r="AE659" s="389"/>
    </row>
    <row r="660" spans="1:31" ht="15.5" x14ac:dyDescent="0.35">
      <c r="A660" s="390"/>
      <c r="B660" s="389"/>
      <c r="C660" s="389"/>
      <c r="D660" s="389"/>
      <c r="E660" s="389"/>
      <c r="F660" s="389"/>
      <c r="G660" s="389"/>
      <c r="H660" s="389"/>
      <c r="I660" s="389"/>
      <c r="J660" s="389"/>
      <c r="K660" s="389"/>
      <c r="L660" s="389"/>
      <c r="M660" s="389"/>
      <c r="N660" s="389"/>
      <c r="O660" s="389"/>
      <c r="P660" s="389"/>
      <c r="Q660" s="389"/>
      <c r="R660" s="389"/>
      <c r="S660" s="389"/>
      <c r="T660" s="389"/>
      <c r="U660" s="389"/>
      <c r="V660" s="389"/>
      <c r="W660" s="389"/>
      <c r="X660" s="389"/>
      <c r="Y660" s="389"/>
      <c r="Z660" s="389"/>
      <c r="AA660" s="389"/>
      <c r="AB660" s="389"/>
      <c r="AC660" s="389"/>
      <c r="AD660" s="389"/>
      <c r="AE660" s="389"/>
    </row>
    <row r="661" spans="1:31" ht="15.5" x14ac:dyDescent="0.35">
      <c r="A661" s="390"/>
      <c r="B661" s="389"/>
      <c r="C661" s="389"/>
      <c r="D661" s="389"/>
      <c r="E661" s="389"/>
      <c r="F661" s="389"/>
      <c r="G661" s="389"/>
      <c r="H661" s="389"/>
      <c r="I661" s="389"/>
      <c r="J661" s="389"/>
      <c r="K661" s="389"/>
      <c r="L661" s="389"/>
      <c r="M661" s="389"/>
      <c r="N661" s="389"/>
      <c r="O661" s="389"/>
      <c r="P661" s="389"/>
      <c r="Q661" s="389"/>
      <c r="R661" s="389"/>
      <c r="S661" s="389"/>
      <c r="T661" s="389"/>
      <c r="U661" s="389"/>
      <c r="V661" s="389"/>
      <c r="W661" s="389"/>
      <c r="X661" s="389"/>
      <c r="Y661" s="389"/>
      <c r="Z661" s="389"/>
      <c r="AA661" s="389"/>
      <c r="AB661" s="389"/>
      <c r="AC661" s="389"/>
      <c r="AD661" s="389"/>
      <c r="AE661" s="389"/>
    </row>
    <row r="662" spans="1:31" ht="15.5" x14ac:dyDescent="0.35">
      <c r="A662" s="390"/>
      <c r="B662" s="389"/>
      <c r="C662" s="389"/>
      <c r="D662" s="389"/>
      <c r="E662" s="389"/>
      <c r="F662" s="389"/>
      <c r="G662" s="389"/>
      <c r="H662" s="389"/>
      <c r="I662" s="389"/>
      <c r="J662" s="389"/>
      <c r="K662" s="389"/>
      <c r="L662" s="389"/>
      <c r="M662" s="389"/>
      <c r="N662" s="389"/>
      <c r="O662" s="389"/>
      <c r="P662" s="389"/>
      <c r="Q662" s="389"/>
      <c r="R662" s="389"/>
      <c r="S662" s="389"/>
      <c r="T662" s="389"/>
      <c r="U662" s="389"/>
      <c r="V662" s="389"/>
      <c r="W662" s="389"/>
      <c r="X662" s="389"/>
      <c r="Y662" s="389"/>
      <c r="Z662" s="389"/>
      <c r="AA662" s="389"/>
      <c r="AB662" s="389"/>
      <c r="AC662" s="389"/>
      <c r="AD662" s="389"/>
      <c r="AE662" s="389"/>
    </row>
    <row r="663" spans="1:31" ht="15.5" x14ac:dyDescent="0.35">
      <c r="A663" s="390"/>
      <c r="B663" s="389"/>
      <c r="C663" s="389"/>
      <c r="D663" s="389"/>
      <c r="E663" s="389"/>
      <c r="F663" s="389"/>
      <c r="G663" s="389"/>
      <c r="H663" s="389"/>
      <c r="I663" s="389"/>
      <c r="J663" s="389"/>
      <c r="K663" s="389"/>
      <c r="L663" s="389"/>
      <c r="M663" s="389"/>
      <c r="N663" s="389"/>
      <c r="O663" s="389"/>
      <c r="P663" s="389"/>
      <c r="Q663" s="389"/>
      <c r="R663" s="389"/>
      <c r="S663" s="389"/>
      <c r="T663" s="389"/>
      <c r="U663" s="389"/>
      <c r="V663" s="389"/>
      <c r="W663" s="389"/>
      <c r="X663" s="389"/>
      <c r="Y663" s="389"/>
      <c r="Z663" s="389"/>
      <c r="AA663" s="389"/>
      <c r="AB663" s="389"/>
      <c r="AC663" s="389"/>
      <c r="AD663" s="389"/>
      <c r="AE663" s="389"/>
    </row>
    <row r="664" spans="1:31" ht="15.5" x14ac:dyDescent="0.35">
      <c r="A664" s="390"/>
      <c r="B664" s="389"/>
      <c r="C664" s="389"/>
      <c r="D664" s="389"/>
      <c r="E664" s="389"/>
      <c r="F664" s="389"/>
      <c r="G664" s="389"/>
      <c r="H664" s="389"/>
      <c r="I664" s="389"/>
      <c r="J664" s="389"/>
      <c r="K664" s="389"/>
      <c r="L664" s="389"/>
      <c r="M664" s="389"/>
      <c r="N664" s="389"/>
      <c r="O664" s="389"/>
      <c r="P664" s="389"/>
      <c r="Q664" s="389"/>
      <c r="R664" s="389"/>
      <c r="S664" s="389"/>
      <c r="T664" s="389"/>
      <c r="U664" s="389"/>
      <c r="V664" s="389"/>
      <c r="W664" s="389"/>
      <c r="X664" s="389"/>
      <c r="Y664" s="389"/>
      <c r="Z664" s="389"/>
      <c r="AA664" s="389"/>
      <c r="AB664" s="389"/>
      <c r="AC664" s="389"/>
      <c r="AD664" s="389"/>
      <c r="AE664" s="389"/>
    </row>
    <row r="665" spans="1:31" ht="15.5" x14ac:dyDescent="0.35">
      <c r="A665" s="390"/>
      <c r="B665" s="389"/>
      <c r="C665" s="389"/>
      <c r="D665" s="389"/>
      <c r="E665" s="389"/>
      <c r="F665" s="389"/>
      <c r="G665" s="389"/>
      <c r="H665" s="389"/>
      <c r="I665" s="389"/>
      <c r="J665" s="389"/>
      <c r="K665" s="389"/>
      <c r="L665" s="389"/>
      <c r="M665" s="389"/>
      <c r="N665" s="389"/>
      <c r="O665" s="389"/>
      <c r="P665" s="389"/>
      <c r="Q665" s="389"/>
      <c r="R665" s="389"/>
      <c r="S665" s="389"/>
      <c r="T665" s="389"/>
      <c r="U665" s="389"/>
      <c r="V665" s="389"/>
      <c r="W665" s="389"/>
      <c r="X665" s="389"/>
      <c r="Y665" s="389"/>
      <c r="Z665" s="389"/>
      <c r="AA665" s="389"/>
      <c r="AB665" s="389"/>
      <c r="AC665" s="389"/>
      <c r="AD665" s="389"/>
      <c r="AE665" s="389"/>
    </row>
    <row r="666" spans="1:31" ht="15.5" x14ac:dyDescent="0.35">
      <c r="A666" s="390"/>
      <c r="B666" s="389"/>
      <c r="C666" s="389"/>
      <c r="D666" s="389"/>
      <c r="E666" s="389"/>
      <c r="F666" s="389"/>
      <c r="G666" s="389"/>
      <c r="H666" s="389"/>
      <c r="I666" s="389"/>
      <c r="J666" s="389"/>
      <c r="K666" s="389"/>
      <c r="L666" s="389"/>
      <c r="M666" s="389"/>
      <c r="N666" s="389"/>
      <c r="O666" s="389"/>
      <c r="P666" s="389"/>
      <c r="Q666" s="389"/>
      <c r="R666" s="389"/>
      <c r="S666" s="389"/>
      <c r="T666" s="389"/>
      <c r="U666" s="389"/>
      <c r="V666" s="389"/>
      <c r="W666" s="389"/>
      <c r="X666" s="389"/>
      <c r="Y666" s="389"/>
      <c r="Z666" s="389"/>
      <c r="AA666" s="389"/>
      <c r="AB666" s="389"/>
      <c r="AC666" s="389"/>
      <c r="AD666" s="389"/>
      <c r="AE666" s="389"/>
    </row>
    <row r="667" spans="1:31" ht="15.5" x14ac:dyDescent="0.35">
      <c r="A667" s="390"/>
      <c r="B667" s="389"/>
      <c r="C667" s="389"/>
      <c r="D667" s="389"/>
      <c r="E667" s="389"/>
      <c r="F667" s="389"/>
      <c r="G667" s="389"/>
      <c r="H667" s="389"/>
      <c r="I667" s="389"/>
      <c r="J667" s="389"/>
      <c r="K667" s="389"/>
      <c r="L667" s="389"/>
      <c r="M667" s="389"/>
      <c r="N667" s="389"/>
      <c r="O667" s="389"/>
      <c r="P667" s="389"/>
      <c r="Q667" s="389"/>
      <c r="R667" s="389"/>
      <c r="S667" s="389"/>
      <c r="T667" s="389"/>
      <c r="U667" s="389"/>
      <c r="V667" s="389"/>
      <c r="W667" s="389"/>
      <c r="X667" s="389"/>
      <c r="Y667" s="389"/>
      <c r="Z667" s="389"/>
      <c r="AA667" s="389"/>
      <c r="AB667" s="389"/>
      <c r="AC667" s="389"/>
      <c r="AD667" s="389"/>
      <c r="AE667" s="389"/>
    </row>
    <row r="668" spans="1:31" ht="15.5" x14ac:dyDescent="0.35">
      <c r="A668" s="390"/>
      <c r="B668" s="389"/>
      <c r="C668" s="389"/>
      <c r="D668" s="389"/>
      <c r="E668" s="389"/>
      <c r="F668" s="389"/>
      <c r="G668" s="389"/>
      <c r="H668" s="389"/>
      <c r="I668" s="389"/>
      <c r="J668" s="389"/>
      <c r="K668" s="389"/>
      <c r="L668" s="389"/>
      <c r="M668" s="389"/>
      <c r="N668" s="389"/>
      <c r="O668" s="389"/>
      <c r="P668" s="389"/>
      <c r="Q668" s="389"/>
      <c r="R668" s="389"/>
      <c r="S668" s="389"/>
      <c r="T668" s="389"/>
      <c r="U668" s="389"/>
      <c r="V668" s="389"/>
      <c r="W668" s="389"/>
      <c r="X668" s="389"/>
      <c r="Y668" s="389"/>
      <c r="Z668" s="389"/>
      <c r="AA668" s="389"/>
      <c r="AB668" s="389"/>
      <c r="AC668" s="389"/>
      <c r="AD668" s="389"/>
      <c r="AE668" s="389"/>
    </row>
    <row r="669" spans="1:31" ht="15.5" x14ac:dyDescent="0.35">
      <c r="A669" s="390"/>
      <c r="B669" s="389"/>
      <c r="C669" s="389"/>
      <c r="D669" s="389"/>
      <c r="E669" s="389"/>
      <c r="F669" s="389"/>
      <c r="G669" s="389"/>
      <c r="H669" s="389"/>
      <c r="I669" s="389"/>
      <c r="J669" s="389"/>
      <c r="K669" s="389"/>
      <c r="L669" s="389"/>
      <c r="M669" s="389"/>
      <c r="N669" s="389"/>
      <c r="O669" s="389"/>
      <c r="P669" s="389"/>
      <c r="Q669" s="389"/>
      <c r="R669" s="389"/>
      <c r="S669" s="389"/>
      <c r="T669" s="389"/>
      <c r="U669" s="389"/>
      <c r="V669" s="389"/>
      <c r="W669" s="389"/>
      <c r="X669" s="389"/>
      <c r="Y669" s="389"/>
      <c r="Z669" s="389"/>
      <c r="AA669" s="389"/>
      <c r="AB669" s="389"/>
      <c r="AC669" s="389"/>
      <c r="AD669" s="389"/>
      <c r="AE669" s="389"/>
    </row>
    <row r="670" spans="1:31" ht="15.5" x14ac:dyDescent="0.35">
      <c r="A670" s="390"/>
      <c r="B670" s="389"/>
      <c r="C670" s="389"/>
      <c r="D670" s="389"/>
      <c r="E670" s="389"/>
      <c r="F670" s="389"/>
      <c r="G670" s="389"/>
      <c r="H670" s="389"/>
      <c r="I670" s="389"/>
      <c r="J670" s="389"/>
      <c r="K670" s="389"/>
      <c r="L670" s="389"/>
      <c r="M670" s="389"/>
      <c r="N670" s="389"/>
      <c r="O670" s="389"/>
      <c r="P670" s="389"/>
      <c r="Q670" s="389"/>
      <c r="R670" s="389"/>
      <c r="S670" s="389"/>
      <c r="T670" s="389"/>
      <c r="U670" s="389"/>
      <c r="V670" s="389"/>
      <c r="W670" s="389"/>
      <c r="X670" s="389"/>
      <c r="Y670" s="389"/>
      <c r="Z670" s="389"/>
      <c r="AA670" s="389"/>
      <c r="AB670" s="389"/>
      <c r="AC670" s="389"/>
      <c r="AD670" s="389"/>
      <c r="AE670" s="389"/>
    </row>
    <row r="671" spans="1:31" ht="15.5" x14ac:dyDescent="0.35">
      <c r="A671" s="390"/>
      <c r="B671" s="389"/>
      <c r="C671" s="389"/>
      <c r="D671" s="389"/>
      <c r="E671" s="389"/>
      <c r="F671" s="389"/>
      <c r="G671" s="389"/>
      <c r="H671" s="389"/>
      <c r="I671" s="389"/>
      <c r="J671" s="389"/>
      <c r="K671" s="389"/>
      <c r="L671" s="389"/>
      <c r="M671" s="389"/>
      <c r="N671" s="389"/>
      <c r="O671" s="389"/>
      <c r="P671" s="389"/>
      <c r="Q671" s="389"/>
      <c r="R671" s="389"/>
      <c r="S671" s="389"/>
      <c r="T671" s="389"/>
      <c r="U671" s="389"/>
      <c r="V671" s="389"/>
      <c r="W671" s="389"/>
      <c r="X671" s="389"/>
      <c r="Y671" s="389"/>
      <c r="Z671" s="389"/>
      <c r="AA671" s="389"/>
      <c r="AB671" s="389"/>
      <c r="AC671" s="389"/>
      <c r="AD671" s="389"/>
      <c r="AE671" s="389"/>
    </row>
    <row r="672" spans="1:31" ht="15.5" x14ac:dyDescent="0.35">
      <c r="A672" s="390"/>
      <c r="B672" s="389"/>
      <c r="C672" s="389"/>
      <c r="D672" s="389"/>
      <c r="E672" s="389"/>
      <c r="F672" s="389"/>
      <c r="G672" s="389"/>
      <c r="H672" s="389"/>
      <c r="I672" s="389"/>
      <c r="J672" s="389"/>
      <c r="K672" s="389"/>
      <c r="L672" s="389"/>
      <c r="M672" s="389"/>
      <c r="N672" s="389"/>
      <c r="O672" s="389"/>
      <c r="P672" s="389"/>
      <c r="Q672" s="389"/>
      <c r="R672" s="389"/>
      <c r="S672" s="389"/>
      <c r="T672" s="389"/>
      <c r="U672" s="389"/>
      <c r="V672" s="389"/>
      <c r="W672" s="389"/>
      <c r="X672" s="389"/>
      <c r="Y672" s="389"/>
      <c r="Z672" s="389"/>
      <c r="AA672" s="389"/>
      <c r="AB672" s="389"/>
      <c r="AC672" s="389"/>
      <c r="AD672" s="389"/>
      <c r="AE672" s="389"/>
    </row>
    <row r="673" spans="1:31" ht="15.5" x14ac:dyDescent="0.35">
      <c r="A673" s="390"/>
      <c r="B673" s="389"/>
      <c r="C673" s="389"/>
      <c r="D673" s="389"/>
      <c r="E673" s="389"/>
      <c r="F673" s="389"/>
      <c r="G673" s="389"/>
      <c r="H673" s="389"/>
      <c r="I673" s="389"/>
      <c r="J673" s="389"/>
      <c r="K673" s="389"/>
      <c r="L673" s="389"/>
      <c r="M673" s="389"/>
      <c r="N673" s="389"/>
      <c r="O673" s="389"/>
      <c r="P673" s="389"/>
      <c r="Q673" s="389"/>
      <c r="R673" s="389"/>
      <c r="S673" s="389"/>
      <c r="T673" s="389"/>
      <c r="U673" s="389"/>
      <c r="V673" s="389"/>
      <c r="W673" s="389"/>
      <c r="X673" s="389"/>
      <c r="Y673" s="389"/>
      <c r="Z673" s="389"/>
      <c r="AA673" s="389"/>
      <c r="AB673" s="389"/>
      <c r="AC673" s="389"/>
      <c r="AD673" s="389"/>
      <c r="AE673" s="389"/>
    </row>
    <row r="674" spans="1:31" ht="15.5" x14ac:dyDescent="0.35">
      <c r="A674" s="390"/>
      <c r="B674" s="389"/>
      <c r="C674" s="389"/>
      <c r="D674" s="389"/>
      <c r="E674" s="389"/>
      <c r="F674" s="389"/>
      <c r="G674" s="389"/>
      <c r="H674" s="389"/>
      <c r="I674" s="389"/>
      <c r="J674" s="389"/>
      <c r="K674" s="389"/>
      <c r="L674" s="389"/>
      <c r="M674" s="389"/>
      <c r="N674" s="389"/>
      <c r="O674" s="389"/>
      <c r="P674" s="389"/>
      <c r="Q674" s="389"/>
      <c r="R674" s="389"/>
      <c r="S674" s="389"/>
      <c r="T674" s="389"/>
      <c r="U674" s="389"/>
      <c r="V674" s="389"/>
      <c r="W674" s="389"/>
      <c r="X674" s="389"/>
      <c r="Y674" s="389"/>
      <c r="Z674" s="389"/>
      <c r="AA674" s="389"/>
      <c r="AB674" s="389"/>
      <c r="AC674" s="389"/>
      <c r="AD674" s="389"/>
      <c r="AE674" s="389"/>
    </row>
    <row r="675" spans="1:31" ht="15.5" x14ac:dyDescent="0.35">
      <c r="A675" s="390"/>
      <c r="B675" s="389"/>
      <c r="C675" s="389"/>
      <c r="D675" s="389"/>
      <c r="E675" s="389"/>
      <c r="F675" s="389"/>
      <c r="G675" s="389"/>
      <c r="H675" s="389"/>
      <c r="I675" s="389"/>
      <c r="J675" s="389"/>
      <c r="K675" s="389"/>
      <c r="L675" s="389"/>
      <c r="M675" s="389"/>
      <c r="N675" s="389"/>
      <c r="O675" s="389"/>
      <c r="P675" s="389"/>
      <c r="Q675" s="389"/>
      <c r="R675" s="389"/>
      <c r="S675" s="389"/>
      <c r="T675" s="389"/>
      <c r="U675" s="389"/>
      <c r="V675" s="389"/>
      <c r="W675" s="389"/>
      <c r="X675" s="389"/>
      <c r="Y675" s="389"/>
      <c r="Z675" s="389"/>
      <c r="AA675" s="389"/>
      <c r="AB675" s="389"/>
      <c r="AC675" s="389"/>
      <c r="AD675" s="389"/>
      <c r="AE675" s="389"/>
    </row>
    <row r="676" spans="1:31" ht="15.5" x14ac:dyDescent="0.35">
      <c r="A676" s="390"/>
      <c r="B676" s="389"/>
      <c r="C676" s="389"/>
      <c r="D676" s="389"/>
      <c r="E676" s="389"/>
      <c r="F676" s="389"/>
      <c r="G676" s="389"/>
      <c r="H676" s="389"/>
      <c r="I676" s="389"/>
      <c r="J676" s="389"/>
      <c r="K676" s="389"/>
      <c r="L676" s="389"/>
      <c r="M676" s="389"/>
      <c r="N676" s="389"/>
      <c r="O676" s="389"/>
      <c r="P676" s="389"/>
      <c r="Q676" s="389"/>
      <c r="R676" s="389"/>
      <c r="S676" s="389"/>
      <c r="T676" s="389"/>
      <c r="U676" s="389"/>
      <c r="V676" s="389"/>
      <c r="W676" s="389"/>
      <c r="X676" s="389"/>
      <c r="Y676" s="389"/>
      <c r="Z676" s="389"/>
      <c r="AA676" s="389"/>
      <c r="AB676" s="389"/>
      <c r="AC676" s="389"/>
      <c r="AD676" s="389"/>
      <c r="AE676" s="389"/>
    </row>
    <row r="677" spans="1:31" ht="15.5" x14ac:dyDescent="0.35">
      <c r="A677" s="390"/>
      <c r="B677" s="389"/>
      <c r="C677" s="389"/>
      <c r="D677" s="389"/>
      <c r="E677" s="389"/>
      <c r="F677" s="389"/>
      <c r="G677" s="389"/>
      <c r="H677" s="389"/>
      <c r="I677" s="389"/>
      <c r="J677" s="389"/>
      <c r="K677" s="389"/>
      <c r="L677" s="389"/>
      <c r="M677" s="389"/>
      <c r="N677" s="389"/>
      <c r="O677" s="389"/>
      <c r="P677" s="389"/>
      <c r="Q677" s="389"/>
      <c r="R677" s="389"/>
      <c r="S677" s="389"/>
      <c r="T677" s="389"/>
      <c r="U677" s="389"/>
      <c r="V677" s="389"/>
      <c r="W677" s="389"/>
      <c r="X677" s="389"/>
      <c r="Y677" s="389"/>
      <c r="Z677" s="389"/>
      <c r="AA677" s="389"/>
      <c r="AB677" s="389"/>
      <c r="AC677" s="389"/>
      <c r="AD677" s="389"/>
      <c r="AE677" s="389"/>
    </row>
    <row r="678" spans="1:31" ht="15.5" x14ac:dyDescent="0.35">
      <c r="A678" s="390"/>
      <c r="B678" s="389"/>
      <c r="C678" s="389"/>
      <c r="D678" s="389"/>
      <c r="E678" s="389"/>
      <c r="F678" s="389"/>
      <c r="G678" s="389"/>
      <c r="H678" s="389"/>
      <c r="I678" s="389"/>
      <c r="J678" s="389"/>
      <c r="K678" s="389"/>
      <c r="L678" s="389"/>
      <c r="M678" s="389"/>
      <c r="N678" s="389"/>
      <c r="O678" s="389"/>
      <c r="P678" s="389"/>
      <c r="Q678" s="389"/>
      <c r="R678" s="389"/>
      <c r="S678" s="389"/>
      <c r="T678" s="389"/>
      <c r="U678" s="389"/>
      <c r="V678" s="389"/>
      <c r="W678" s="389"/>
      <c r="X678" s="389"/>
      <c r="Y678" s="389"/>
      <c r="Z678" s="389"/>
      <c r="AA678" s="389"/>
      <c r="AB678" s="389"/>
      <c r="AC678" s="389"/>
      <c r="AD678" s="389"/>
      <c r="AE678" s="389"/>
    </row>
    <row r="679" spans="1:31" ht="15.5" x14ac:dyDescent="0.35">
      <c r="A679" s="390"/>
      <c r="B679" s="389"/>
      <c r="C679" s="389"/>
      <c r="D679" s="389"/>
      <c r="E679" s="389"/>
      <c r="F679" s="389"/>
      <c r="G679" s="389"/>
      <c r="H679" s="389"/>
      <c r="I679" s="389"/>
      <c r="J679" s="389"/>
      <c r="K679" s="389"/>
      <c r="L679" s="389"/>
      <c r="M679" s="389"/>
      <c r="N679" s="389"/>
      <c r="O679" s="389"/>
      <c r="P679" s="389"/>
      <c r="Q679" s="389"/>
      <c r="R679" s="389"/>
      <c r="S679" s="389"/>
      <c r="T679" s="389"/>
      <c r="U679" s="389"/>
      <c r="V679" s="389"/>
      <c r="W679" s="389"/>
      <c r="X679" s="389"/>
      <c r="Y679" s="389"/>
      <c r="Z679" s="389"/>
      <c r="AA679" s="389"/>
      <c r="AB679" s="389"/>
      <c r="AC679" s="389"/>
      <c r="AD679" s="389"/>
      <c r="AE679" s="389"/>
    </row>
    <row r="680" spans="1:31" ht="15.5" x14ac:dyDescent="0.35">
      <c r="A680" s="390"/>
      <c r="B680" s="389"/>
      <c r="C680" s="389"/>
      <c r="D680" s="389"/>
      <c r="E680" s="389"/>
      <c r="F680" s="389"/>
      <c r="G680" s="389"/>
      <c r="H680" s="389"/>
      <c r="I680" s="389"/>
      <c r="J680" s="389"/>
      <c r="K680" s="389"/>
      <c r="L680" s="389"/>
      <c r="M680" s="389"/>
      <c r="N680" s="389"/>
      <c r="O680" s="389"/>
      <c r="P680" s="389"/>
      <c r="Q680" s="389"/>
      <c r="R680" s="389"/>
      <c r="S680" s="389"/>
      <c r="T680" s="389"/>
      <c r="U680" s="389"/>
      <c r="V680" s="389"/>
      <c r="W680" s="389"/>
      <c r="X680" s="389"/>
      <c r="Y680" s="389"/>
      <c r="Z680" s="389"/>
      <c r="AA680" s="389"/>
      <c r="AB680" s="389"/>
      <c r="AC680" s="389"/>
      <c r="AD680" s="389"/>
      <c r="AE680" s="389"/>
    </row>
    <row r="681" spans="1:31" ht="15.5" x14ac:dyDescent="0.35">
      <c r="A681" s="390"/>
      <c r="B681" s="389"/>
      <c r="C681" s="389"/>
      <c r="D681" s="389"/>
      <c r="E681" s="389"/>
      <c r="F681" s="389"/>
      <c r="G681" s="389"/>
      <c r="H681" s="389"/>
      <c r="I681" s="389"/>
      <c r="J681" s="389"/>
      <c r="K681" s="389"/>
      <c r="L681" s="389"/>
      <c r="M681" s="389"/>
      <c r="N681" s="389"/>
      <c r="O681" s="389"/>
      <c r="P681" s="389"/>
      <c r="Q681" s="389"/>
      <c r="R681" s="389"/>
      <c r="S681" s="389"/>
      <c r="T681" s="389"/>
      <c r="U681" s="389"/>
      <c r="V681" s="389"/>
      <c r="W681" s="389"/>
      <c r="X681" s="389"/>
      <c r="Y681" s="389"/>
      <c r="Z681" s="389"/>
      <c r="AA681" s="389"/>
      <c r="AB681" s="389"/>
      <c r="AC681" s="389"/>
      <c r="AD681" s="389"/>
      <c r="AE681" s="389"/>
    </row>
    <row r="682" spans="1:31" ht="15.5" x14ac:dyDescent="0.35">
      <c r="A682" s="390"/>
      <c r="B682" s="389"/>
      <c r="C682" s="389"/>
      <c r="D682" s="389"/>
      <c r="E682" s="389"/>
      <c r="F682" s="389"/>
      <c r="G682" s="389"/>
      <c r="H682" s="389"/>
      <c r="I682" s="389"/>
      <c r="J682" s="389"/>
      <c r="K682" s="389"/>
      <c r="L682" s="389"/>
      <c r="M682" s="389"/>
      <c r="N682" s="389"/>
      <c r="O682" s="389"/>
      <c r="P682" s="389"/>
      <c r="Q682" s="389"/>
      <c r="R682" s="389"/>
      <c r="S682" s="389"/>
      <c r="T682" s="389"/>
      <c r="U682" s="389"/>
      <c r="V682" s="389"/>
      <c r="W682" s="389"/>
      <c r="X682" s="389"/>
      <c r="Y682" s="389"/>
      <c r="Z682" s="389"/>
      <c r="AA682" s="389"/>
      <c r="AB682" s="389"/>
      <c r="AC682" s="389"/>
      <c r="AD682" s="389"/>
      <c r="AE682" s="389"/>
    </row>
    <row r="683" spans="1:31" ht="15.5" x14ac:dyDescent="0.35">
      <c r="A683" s="390"/>
      <c r="B683" s="389"/>
      <c r="C683" s="389"/>
      <c r="D683" s="389"/>
      <c r="E683" s="389"/>
      <c r="F683" s="389"/>
      <c r="G683" s="389"/>
      <c r="H683" s="389"/>
      <c r="I683" s="389"/>
      <c r="J683" s="389"/>
      <c r="K683" s="389"/>
      <c r="L683" s="389"/>
      <c r="M683" s="389"/>
      <c r="N683" s="389"/>
      <c r="O683" s="389"/>
      <c r="P683" s="389"/>
      <c r="Q683" s="389"/>
      <c r="R683" s="389"/>
      <c r="S683" s="389"/>
      <c r="T683" s="389"/>
      <c r="U683" s="389"/>
      <c r="V683" s="389"/>
      <c r="W683" s="389"/>
      <c r="X683" s="389"/>
      <c r="Y683" s="389"/>
      <c r="Z683" s="389"/>
      <c r="AA683" s="389"/>
      <c r="AB683" s="389"/>
      <c r="AC683" s="389"/>
      <c r="AD683" s="389"/>
      <c r="AE683" s="389"/>
    </row>
    <row r="684" spans="1:31" ht="15.5" x14ac:dyDescent="0.35">
      <c r="A684" s="390"/>
      <c r="B684" s="389"/>
      <c r="C684" s="389"/>
      <c r="D684" s="389"/>
      <c r="E684" s="389"/>
      <c r="F684" s="389"/>
      <c r="G684" s="389"/>
      <c r="H684" s="389"/>
      <c r="I684" s="389"/>
      <c r="J684" s="389"/>
      <c r="K684" s="389"/>
      <c r="L684" s="389"/>
      <c r="M684" s="389"/>
      <c r="N684" s="389"/>
      <c r="O684" s="389"/>
      <c r="P684" s="389"/>
      <c r="Q684" s="389"/>
      <c r="R684" s="389"/>
      <c r="S684" s="389"/>
      <c r="T684" s="389"/>
      <c r="U684" s="389"/>
      <c r="V684" s="389"/>
      <c r="W684" s="389"/>
      <c r="X684" s="389"/>
      <c r="Y684" s="389"/>
      <c r="Z684" s="389"/>
      <c r="AA684" s="389"/>
      <c r="AB684" s="389"/>
      <c r="AC684" s="389"/>
      <c r="AD684" s="389"/>
      <c r="AE684" s="389"/>
    </row>
    <row r="685" spans="1:31" ht="15.5" x14ac:dyDescent="0.35">
      <c r="A685" s="390"/>
      <c r="B685" s="389"/>
      <c r="C685" s="389"/>
      <c r="D685" s="389"/>
      <c r="E685" s="389"/>
      <c r="F685" s="389"/>
      <c r="G685" s="389"/>
      <c r="H685" s="389"/>
      <c r="I685" s="389"/>
      <c r="J685" s="389"/>
      <c r="K685" s="389"/>
      <c r="L685" s="389"/>
      <c r="M685" s="389"/>
      <c r="N685" s="389"/>
      <c r="O685" s="389"/>
      <c r="P685" s="389"/>
      <c r="Q685" s="389"/>
      <c r="R685" s="389"/>
      <c r="S685" s="389"/>
      <c r="T685" s="389"/>
      <c r="U685" s="389"/>
      <c r="V685" s="389"/>
      <c r="W685" s="389"/>
      <c r="X685" s="389"/>
      <c r="Y685" s="389"/>
      <c r="Z685" s="389"/>
      <c r="AA685" s="389"/>
      <c r="AB685" s="389"/>
      <c r="AC685" s="389"/>
      <c r="AD685" s="389"/>
      <c r="AE685" s="389"/>
    </row>
    <row r="686" spans="1:31" ht="15.5" x14ac:dyDescent="0.35">
      <c r="A686" s="390"/>
      <c r="B686" s="389"/>
      <c r="C686" s="389"/>
      <c r="D686" s="389"/>
      <c r="E686" s="389"/>
      <c r="F686" s="389"/>
      <c r="G686" s="389"/>
      <c r="H686" s="389"/>
      <c r="I686" s="389"/>
      <c r="J686" s="389"/>
      <c r="K686" s="389"/>
      <c r="L686" s="389"/>
      <c r="M686" s="389"/>
      <c r="N686" s="389"/>
      <c r="O686" s="389"/>
      <c r="P686" s="389"/>
      <c r="Q686" s="389"/>
      <c r="R686" s="389"/>
      <c r="S686" s="389"/>
      <c r="T686" s="389"/>
      <c r="U686" s="389"/>
      <c r="V686" s="389"/>
      <c r="W686" s="389"/>
      <c r="X686" s="389"/>
      <c r="Y686" s="389"/>
      <c r="Z686" s="389"/>
      <c r="AA686" s="389"/>
      <c r="AB686" s="389"/>
      <c r="AC686" s="389"/>
      <c r="AD686" s="389"/>
      <c r="AE686" s="389"/>
    </row>
    <row r="687" spans="1:31" ht="15.5" x14ac:dyDescent="0.35">
      <c r="A687" s="390"/>
      <c r="B687" s="389"/>
      <c r="C687" s="389"/>
      <c r="D687" s="389"/>
      <c r="E687" s="389"/>
      <c r="F687" s="389"/>
      <c r="G687" s="389"/>
      <c r="H687" s="389"/>
      <c r="I687" s="389"/>
      <c r="J687" s="389"/>
      <c r="K687" s="389"/>
      <c r="L687" s="389"/>
      <c r="M687" s="389"/>
      <c r="N687" s="389"/>
      <c r="O687" s="389"/>
      <c r="P687" s="389"/>
      <c r="Q687" s="389"/>
      <c r="R687" s="389"/>
      <c r="S687" s="389"/>
      <c r="T687" s="389"/>
      <c r="U687" s="389"/>
      <c r="V687" s="389"/>
      <c r="W687" s="389"/>
      <c r="X687" s="389"/>
      <c r="Y687" s="389"/>
      <c r="Z687" s="389"/>
      <c r="AA687" s="389"/>
      <c r="AB687" s="389"/>
      <c r="AC687" s="389"/>
      <c r="AD687" s="389"/>
      <c r="AE687" s="389"/>
    </row>
    <row r="688" spans="1:31" ht="15.5" x14ac:dyDescent="0.35">
      <c r="A688" s="390"/>
      <c r="B688" s="389"/>
      <c r="C688" s="389"/>
      <c r="D688" s="389"/>
      <c r="E688" s="389"/>
      <c r="F688" s="389"/>
      <c r="G688" s="389"/>
      <c r="H688" s="389"/>
      <c r="I688" s="389"/>
      <c r="J688" s="389"/>
      <c r="K688" s="389"/>
      <c r="L688" s="389"/>
      <c r="M688" s="389"/>
      <c r="N688" s="389"/>
      <c r="O688" s="389"/>
      <c r="P688" s="389"/>
      <c r="Q688" s="389"/>
      <c r="R688" s="389"/>
      <c r="S688" s="389"/>
      <c r="T688" s="389"/>
      <c r="U688" s="389"/>
      <c r="V688" s="389"/>
      <c r="W688" s="389"/>
      <c r="X688" s="389"/>
      <c r="Y688" s="389"/>
      <c r="Z688" s="389"/>
      <c r="AA688" s="389"/>
      <c r="AB688" s="389"/>
      <c r="AC688" s="389"/>
      <c r="AD688" s="389"/>
      <c r="AE688" s="389"/>
    </row>
    <row r="689" spans="1:31" ht="15.5" x14ac:dyDescent="0.35">
      <c r="A689" s="390"/>
      <c r="B689" s="389"/>
      <c r="C689" s="389"/>
      <c r="D689" s="389"/>
      <c r="E689" s="389"/>
      <c r="F689" s="389"/>
      <c r="G689" s="389"/>
      <c r="H689" s="389"/>
      <c r="I689" s="389"/>
      <c r="J689" s="389"/>
      <c r="K689" s="389"/>
      <c r="L689" s="389"/>
      <c r="M689" s="389"/>
      <c r="N689" s="389"/>
      <c r="O689" s="389"/>
      <c r="P689" s="389"/>
      <c r="Q689" s="389"/>
      <c r="R689" s="389"/>
      <c r="S689" s="389"/>
      <c r="T689" s="389"/>
      <c r="U689" s="389"/>
      <c r="V689" s="389"/>
      <c r="W689" s="389"/>
      <c r="X689" s="389"/>
      <c r="Y689" s="389"/>
      <c r="Z689" s="389"/>
      <c r="AA689" s="389"/>
      <c r="AB689" s="389"/>
      <c r="AC689" s="389"/>
      <c r="AD689" s="389"/>
      <c r="AE689" s="389"/>
    </row>
    <row r="690" spans="1:31" ht="15.5" x14ac:dyDescent="0.35">
      <c r="A690" s="390"/>
      <c r="B690" s="389"/>
      <c r="C690" s="389"/>
      <c r="D690" s="389"/>
      <c r="E690" s="389"/>
      <c r="F690" s="389"/>
      <c r="G690" s="389"/>
      <c r="H690" s="389"/>
      <c r="I690" s="389"/>
      <c r="J690" s="389"/>
      <c r="K690" s="389"/>
      <c r="L690" s="389"/>
      <c r="M690" s="389"/>
      <c r="N690" s="389"/>
      <c r="O690" s="389"/>
      <c r="P690" s="389"/>
      <c r="Q690" s="389"/>
      <c r="R690" s="389"/>
      <c r="S690" s="389"/>
      <c r="T690" s="389"/>
      <c r="U690" s="389"/>
      <c r="V690" s="389"/>
      <c r="W690" s="389"/>
      <c r="X690" s="389"/>
      <c r="Y690" s="389"/>
      <c r="Z690" s="389"/>
      <c r="AA690" s="389"/>
      <c r="AB690" s="389"/>
      <c r="AC690" s="389"/>
      <c r="AD690" s="389"/>
      <c r="AE690" s="389"/>
    </row>
    <row r="691" spans="1:31" ht="15.5" x14ac:dyDescent="0.35">
      <c r="A691" s="390"/>
      <c r="B691" s="389"/>
      <c r="C691" s="389"/>
      <c r="D691" s="389"/>
      <c r="E691" s="389"/>
      <c r="F691" s="389"/>
      <c r="G691" s="389"/>
      <c r="H691" s="389"/>
      <c r="I691" s="389"/>
      <c r="J691" s="389"/>
      <c r="K691" s="389"/>
      <c r="L691" s="389"/>
      <c r="M691" s="389"/>
      <c r="N691" s="389"/>
      <c r="O691" s="389"/>
      <c r="P691" s="389"/>
      <c r="Q691" s="389"/>
      <c r="R691" s="389"/>
      <c r="S691" s="389"/>
      <c r="T691" s="389"/>
      <c r="U691" s="389"/>
      <c r="V691" s="389"/>
      <c r="W691" s="389"/>
      <c r="X691" s="389"/>
      <c r="Y691" s="389"/>
      <c r="Z691" s="389"/>
      <c r="AA691" s="389"/>
      <c r="AB691" s="389"/>
      <c r="AC691" s="389"/>
      <c r="AD691" s="389"/>
      <c r="AE691" s="389"/>
    </row>
    <row r="692" spans="1:31" ht="15.5" x14ac:dyDescent="0.35">
      <c r="A692" s="390"/>
      <c r="B692" s="389"/>
      <c r="C692" s="389"/>
      <c r="D692" s="389"/>
      <c r="E692" s="389"/>
      <c r="F692" s="389"/>
      <c r="G692" s="389"/>
      <c r="H692" s="389"/>
      <c r="I692" s="389"/>
      <c r="J692" s="389"/>
      <c r="K692" s="389"/>
      <c r="L692" s="389"/>
      <c r="M692" s="389"/>
      <c r="N692" s="389"/>
      <c r="O692" s="389"/>
      <c r="P692" s="389"/>
      <c r="Q692" s="389"/>
      <c r="R692" s="389"/>
      <c r="S692" s="389"/>
      <c r="T692" s="389"/>
      <c r="U692" s="389"/>
      <c r="V692" s="389"/>
      <c r="W692" s="389"/>
      <c r="X692" s="389"/>
      <c r="Y692" s="389"/>
      <c r="Z692" s="389"/>
      <c r="AA692" s="389"/>
      <c r="AB692" s="389"/>
      <c r="AC692" s="389"/>
      <c r="AD692" s="389"/>
      <c r="AE692" s="389"/>
    </row>
    <row r="693" spans="1:31" ht="15.5" x14ac:dyDescent="0.35">
      <c r="A693" s="390"/>
      <c r="B693" s="389"/>
      <c r="C693" s="389"/>
      <c r="D693" s="389"/>
      <c r="E693" s="389"/>
      <c r="F693" s="389"/>
      <c r="G693" s="389"/>
      <c r="H693" s="389"/>
      <c r="I693" s="389"/>
      <c r="J693" s="389"/>
      <c r="K693" s="389"/>
      <c r="L693" s="389"/>
      <c r="M693" s="389"/>
      <c r="N693" s="389"/>
      <c r="O693" s="389"/>
      <c r="P693" s="389"/>
      <c r="Q693" s="389"/>
      <c r="R693" s="389"/>
      <c r="S693" s="389"/>
      <c r="T693" s="389"/>
      <c r="U693" s="389"/>
      <c r="V693" s="389"/>
      <c r="W693" s="389"/>
      <c r="X693" s="389"/>
      <c r="Y693" s="389"/>
      <c r="Z693" s="389"/>
      <c r="AA693" s="389"/>
      <c r="AB693" s="389"/>
      <c r="AC693" s="389"/>
      <c r="AD693" s="389"/>
      <c r="AE693" s="389"/>
    </row>
    <row r="694" spans="1:31" ht="15.5" x14ac:dyDescent="0.35">
      <c r="A694" s="390"/>
      <c r="B694" s="389"/>
      <c r="C694" s="389"/>
      <c r="D694" s="389"/>
      <c r="E694" s="389"/>
      <c r="F694" s="389"/>
      <c r="G694" s="389"/>
      <c r="H694" s="389"/>
      <c r="I694" s="389"/>
      <c r="J694" s="389"/>
      <c r="K694" s="389"/>
      <c r="L694" s="389"/>
      <c r="M694" s="389"/>
      <c r="N694" s="389"/>
      <c r="O694" s="389"/>
      <c r="P694" s="389"/>
      <c r="Q694" s="389"/>
      <c r="R694" s="389"/>
      <c r="S694" s="389"/>
      <c r="T694" s="389"/>
      <c r="U694" s="389"/>
      <c r="V694" s="389"/>
      <c r="W694" s="389"/>
      <c r="X694" s="389"/>
      <c r="Y694" s="389"/>
      <c r="Z694" s="389"/>
      <c r="AA694" s="389"/>
      <c r="AB694" s="389"/>
      <c r="AC694" s="389"/>
      <c r="AD694" s="389"/>
      <c r="AE694" s="389"/>
    </row>
    <row r="695" spans="1:31" ht="15.5" x14ac:dyDescent="0.35">
      <c r="A695" s="390"/>
      <c r="B695" s="389"/>
      <c r="C695" s="389"/>
      <c r="D695" s="389"/>
      <c r="E695" s="389"/>
      <c r="F695" s="389"/>
      <c r="G695" s="389"/>
      <c r="H695" s="389"/>
      <c r="I695" s="389"/>
      <c r="J695" s="389"/>
      <c r="K695" s="389"/>
      <c r="L695" s="389"/>
      <c r="M695" s="389"/>
      <c r="N695" s="389"/>
      <c r="O695" s="389"/>
      <c r="P695" s="389"/>
      <c r="Q695" s="389"/>
      <c r="R695" s="389"/>
      <c r="S695" s="389"/>
      <c r="T695" s="389"/>
      <c r="U695" s="389"/>
      <c r="V695" s="389"/>
      <c r="W695" s="389"/>
      <c r="X695" s="389"/>
      <c r="Y695" s="389"/>
      <c r="Z695" s="389"/>
      <c r="AA695" s="389"/>
      <c r="AB695" s="389"/>
      <c r="AC695" s="389"/>
      <c r="AD695" s="389"/>
      <c r="AE695" s="389"/>
    </row>
    <row r="696" spans="1:31" ht="15.5" x14ac:dyDescent="0.35">
      <c r="A696" s="390"/>
      <c r="B696" s="389"/>
      <c r="C696" s="389"/>
      <c r="D696" s="389"/>
      <c r="E696" s="389"/>
      <c r="F696" s="389"/>
      <c r="G696" s="389"/>
      <c r="H696" s="389"/>
      <c r="I696" s="389"/>
      <c r="J696" s="389"/>
      <c r="K696" s="389"/>
      <c r="L696" s="389"/>
      <c r="M696" s="389"/>
      <c r="N696" s="389"/>
      <c r="O696" s="389"/>
      <c r="P696" s="389"/>
      <c r="Q696" s="389"/>
      <c r="R696" s="389"/>
      <c r="S696" s="389"/>
      <c r="T696" s="389"/>
      <c r="U696" s="389"/>
      <c r="V696" s="389"/>
      <c r="W696" s="389"/>
      <c r="X696" s="389"/>
      <c r="Y696" s="389"/>
      <c r="Z696" s="389"/>
      <c r="AA696" s="389"/>
      <c r="AB696" s="389"/>
      <c r="AC696" s="389"/>
      <c r="AD696" s="389"/>
      <c r="AE696" s="389"/>
    </row>
    <row r="697" spans="1:31" ht="15.5" x14ac:dyDescent="0.35">
      <c r="A697" s="390"/>
      <c r="B697" s="389"/>
      <c r="C697" s="389"/>
      <c r="D697" s="389"/>
      <c r="E697" s="389"/>
      <c r="F697" s="389"/>
      <c r="G697" s="389"/>
      <c r="H697" s="389"/>
      <c r="I697" s="389"/>
      <c r="J697" s="389"/>
      <c r="K697" s="389"/>
      <c r="L697" s="389"/>
      <c r="M697" s="389"/>
      <c r="N697" s="389"/>
      <c r="O697" s="389"/>
      <c r="P697" s="389"/>
      <c r="Q697" s="389"/>
      <c r="R697" s="389"/>
      <c r="S697" s="389"/>
      <c r="T697" s="389"/>
      <c r="U697" s="389"/>
      <c r="V697" s="389"/>
      <c r="W697" s="389"/>
      <c r="X697" s="389"/>
      <c r="Y697" s="389"/>
      <c r="Z697" s="389"/>
      <c r="AA697" s="389"/>
      <c r="AB697" s="389"/>
      <c r="AC697" s="389"/>
      <c r="AD697" s="389"/>
      <c r="AE697" s="389"/>
    </row>
    <row r="698" spans="1:31" ht="15.5" x14ac:dyDescent="0.35">
      <c r="A698" s="390"/>
      <c r="B698" s="389"/>
      <c r="C698" s="389"/>
      <c r="D698" s="389"/>
      <c r="E698" s="389"/>
      <c r="F698" s="389"/>
      <c r="G698" s="389"/>
      <c r="H698" s="389"/>
      <c r="I698" s="389"/>
      <c r="J698" s="389"/>
      <c r="K698" s="389"/>
      <c r="L698" s="389"/>
      <c r="M698" s="389"/>
      <c r="N698" s="389"/>
      <c r="O698" s="389"/>
      <c r="P698" s="389"/>
      <c r="Q698" s="389"/>
      <c r="R698" s="389"/>
      <c r="S698" s="389"/>
      <c r="T698" s="389"/>
      <c r="U698" s="389"/>
      <c r="V698" s="389"/>
      <c r="W698" s="389"/>
      <c r="X698" s="389"/>
      <c r="Y698" s="389"/>
      <c r="Z698" s="389"/>
      <c r="AA698" s="389"/>
      <c r="AB698" s="389"/>
      <c r="AC698" s="389"/>
      <c r="AD698" s="389"/>
      <c r="AE698" s="389"/>
    </row>
    <row r="699" spans="1:31" ht="15.5" x14ac:dyDescent="0.35">
      <c r="A699" s="390"/>
      <c r="B699" s="389"/>
      <c r="C699" s="389"/>
      <c r="D699" s="389"/>
      <c r="E699" s="389"/>
      <c r="F699" s="389"/>
      <c r="G699" s="389"/>
      <c r="H699" s="389"/>
      <c r="I699" s="389"/>
      <c r="J699" s="389"/>
      <c r="K699" s="389"/>
      <c r="L699" s="389"/>
      <c r="M699" s="389"/>
      <c r="N699" s="389"/>
      <c r="O699" s="389"/>
      <c r="P699" s="389"/>
      <c r="Q699" s="389"/>
      <c r="R699" s="389"/>
      <c r="S699" s="389"/>
      <c r="T699" s="389"/>
      <c r="U699" s="389"/>
      <c r="V699" s="389"/>
      <c r="W699" s="389"/>
      <c r="X699" s="389"/>
      <c r="Y699" s="389"/>
      <c r="Z699" s="389"/>
      <c r="AA699" s="389"/>
      <c r="AB699" s="389"/>
      <c r="AC699" s="389"/>
      <c r="AD699" s="389"/>
      <c r="AE699" s="389"/>
    </row>
    <row r="700" spans="1:31" ht="15.5" x14ac:dyDescent="0.35">
      <c r="A700" s="390"/>
      <c r="B700" s="389"/>
      <c r="C700" s="389"/>
      <c r="D700" s="389"/>
      <c r="E700" s="389"/>
      <c r="F700" s="389"/>
      <c r="G700" s="389"/>
      <c r="H700" s="389"/>
      <c r="I700" s="389"/>
      <c r="J700" s="389"/>
      <c r="K700" s="389"/>
      <c r="L700" s="389"/>
      <c r="M700" s="389"/>
      <c r="N700" s="389"/>
      <c r="O700" s="389"/>
      <c r="P700" s="389"/>
      <c r="Q700" s="389"/>
      <c r="R700" s="389"/>
      <c r="S700" s="389"/>
      <c r="T700" s="389"/>
      <c r="U700" s="389"/>
      <c r="V700" s="389"/>
      <c r="W700" s="389"/>
      <c r="X700" s="389"/>
      <c r="Y700" s="389"/>
      <c r="Z700" s="389"/>
      <c r="AA700" s="389"/>
      <c r="AB700" s="389"/>
      <c r="AC700" s="389"/>
      <c r="AD700" s="389"/>
      <c r="AE700" s="389"/>
    </row>
    <row r="701" spans="1:31" ht="15.5" x14ac:dyDescent="0.35">
      <c r="A701" s="390"/>
      <c r="B701" s="389"/>
      <c r="C701" s="389"/>
      <c r="D701" s="389"/>
      <c r="E701" s="389"/>
      <c r="F701" s="389"/>
      <c r="G701" s="389"/>
      <c r="H701" s="389"/>
      <c r="I701" s="389"/>
      <c r="J701" s="389"/>
      <c r="K701" s="389"/>
      <c r="L701" s="389"/>
      <c r="M701" s="389"/>
      <c r="N701" s="389"/>
      <c r="O701" s="389"/>
      <c r="P701" s="389"/>
      <c r="Q701" s="389"/>
      <c r="R701" s="389"/>
      <c r="S701" s="389"/>
      <c r="T701" s="389"/>
      <c r="U701" s="389"/>
      <c r="V701" s="389"/>
      <c r="W701" s="389"/>
      <c r="X701" s="389"/>
      <c r="Y701" s="389"/>
      <c r="Z701" s="389"/>
      <c r="AA701" s="389"/>
      <c r="AB701" s="389"/>
      <c r="AC701" s="389"/>
      <c r="AD701" s="389"/>
      <c r="AE701" s="389"/>
    </row>
    <row r="702" spans="1:31" ht="15.5" x14ac:dyDescent="0.35">
      <c r="A702" s="390"/>
      <c r="B702" s="389"/>
      <c r="C702" s="389"/>
      <c r="D702" s="389"/>
      <c r="E702" s="389"/>
      <c r="F702" s="389"/>
      <c r="G702" s="389"/>
      <c r="H702" s="389"/>
      <c r="I702" s="389"/>
      <c r="J702" s="389"/>
      <c r="K702" s="389"/>
      <c r="L702" s="389"/>
      <c r="M702" s="389"/>
      <c r="N702" s="389"/>
      <c r="O702" s="389"/>
      <c r="P702" s="389"/>
      <c r="Q702" s="389"/>
      <c r="R702" s="389"/>
      <c r="S702" s="389"/>
      <c r="T702" s="389"/>
      <c r="U702" s="389"/>
      <c r="V702" s="389"/>
      <c r="W702" s="389"/>
      <c r="X702" s="389"/>
      <c r="Y702" s="389"/>
      <c r="Z702" s="389"/>
      <c r="AA702" s="389"/>
      <c r="AB702" s="389"/>
      <c r="AC702" s="389"/>
      <c r="AD702" s="389"/>
      <c r="AE702" s="389"/>
    </row>
    <row r="703" spans="1:31" ht="15.5" x14ac:dyDescent="0.35">
      <c r="A703" s="390"/>
      <c r="B703" s="389"/>
      <c r="C703" s="389"/>
      <c r="D703" s="389"/>
      <c r="E703" s="389"/>
      <c r="F703" s="389"/>
      <c r="G703" s="389"/>
      <c r="H703" s="389"/>
      <c r="I703" s="389"/>
      <c r="J703" s="389"/>
      <c r="K703" s="389"/>
      <c r="L703" s="389"/>
      <c r="M703" s="389"/>
      <c r="N703" s="389"/>
      <c r="O703" s="389"/>
      <c r="P703" s="389"/>
      <c r="Q703" s="389"/>
      <c r="R703" s="389"/>
      <c r="S703" s="389"/>
      <c r="T703" s="389"/>
      <c r="U703" s="389"/>
      <c r="V703" s="389"/>
      <c r="W703" s="389"/>
      <c r="X703" s="389"/>
      <c r="Y703" s="389"/>
      <c r="Z703" s="389"/>
      <c r="AA703" s="389"/>
      <c r="AB703" s="389"/>
      <c r="AC703" s="389"/>
      <c r="AD703" s="389"/>
      <c r="AE703" s="389"/>
    </row>
    <row r="704" spans="1:31" ht="15.5" x14ac:dyDescent="0.35">
      <c r="A704" s="390"/>
      <c r="B704" s="389"/>
      <c r="C704" s="389"/>
      <c r="D704" s="389"/>
      <c r="E704" s="389"/>
      <c r="F704" s="389"/>
      <c r="G704" s="389"/>
      <c r="H704" s="389"/>
      <c r="I704" s="389"/>
      <c r="J704" s="389"/>
      <c r="K704" s="389"/>
      <c r="L704" s="389"/>
      <c r="M704" s="389"/>
      <c r="N704" s="389"/>
      <c r="O704" s="389"/>
      <c r="P704" s="389"/>
      <c r="Q704" s="389"/>
      <c r="R704" s="389"/>
      <c r="S704" s="389"/>
      <c r="T704" s="389"/>
      <c r="U704" s="389"/>
      <c r="V704" s="389"/>
      <c r="W704" s="389"/>
      <c r="X704" s="389"/>
      <c r="Y704" s="389"/>
      <c r="Z704" s="389"/>
      <c r="AA704" s="389"/>
      <c r="AB704" s="389"/>
      <c r="AC704" s="389"/>
      <c r="AD704" s="389"/>
      <c r="AE704" s="389"/>
    </row>
    <row r="705" spans="1:31" ht="15.5" x14ac:dyDescent="0.35">
      <c r="A705" s="390"/>
      <c r="B705" s="389"/>
      <c r="C705" s="389"/>
      <c r="D705" s="389"/>
      <c r="E705" s="389"/>
      <c r="F705" s="389"/>
      <c r="G705" s="389"/>
      <c r="H705" s="389"/>
      <c r="I705" s="389"/>
      <c r="J705" s="389"/>
      <c r="K705" s="389"/>
      <c r="L705" s="389"/>
      <c r="M705" s="389"/>
      <c r="N705" s="389"/>
      <c r="O705" s="389"/>
      <c r="P705" s="389"/>
      <c r="Q705" s="389"/>
      <c r="R705" s="389"/>
      <c r="S705" s="389"/>
      <c r="T705" s="389"/>
      <c r="U705" s="389"/>
      <c r="V705" s="389"/>
      <c r="W705" s="389"/>
      <c r="X705" s="389"/>
      <c r="Y705" s="389"/>
      <c r="Z705" s="389"/>
      <c r="AA705" s="389"/>
      <c r="AB705" s="389"/>
      <c r="AC705" s="389"/>
      <c r="AD705" s="389"/>
      <c r="AE705" s="389"/>
    </row>
    <row r="706" spans="1:31" ht="15.5" x14ac:dyDescent="0.35">
      <c r="A706" s="390"/>
      <c r="B706" s="389"/>
      <c r="C706" s="389"/>
      <c r="D706" s="389"/>
      <c r="E706" s="389"/>
      <c r="F706" s="389"/>
      <c r="G706" s="389"/>
      <c r="H706" s="389"/>
      <c r="I706" s="389"/>
      <c r="J706" s="389"/>
      <c r="K706" s="389"/>
      <c r="L706" s="389"/>
      <c r="M706" s="389"/>
      <c r="N706" s="389"/>
      <c r="O706" s="389"/>
      <c r="P706" s="389"/>
      <c r="Q706" s="389"/>
      <c r="R706" s="389"/>
      <c r="S706" s="389"/>
      <c r="T706" s="389"/>
      <c r="U706" s="389"/>
      <c r="V706" s="389"/>
      <c r="W706" s="389"/>
      <c r="X706" s="389"/>
      <c r="Y706" s="389"/>
      <c r="Z706" s="389"/>
      <c r="AA706" s="389"/>
      <c r="AB706" s="389"/>
      <c r="AC706" s="389"/>
      <c r="AD706" s="389"/>
      <c r="AE706" s="389"/>
    </row>
    <row r="707" spans="1:31" ht="15.5" x14ac:dyDescent="0.35">
      <c r="A707" s="390"/>
      <c r="B707" s="389"/>
      <c r="C707" s="389"/>
      <c r="D707" s="389"/>
      <c r="E707" s="389"/>
      <c r="F707" s="389"/>
      <c r="G707" s="389"/>
      <c r="H707" s="389"/>
      <c r="I707" s="389"/>
      <c r="J707" s="389"/>
      <c r="K707" s="389"/>
      <c r="L707" s="389"/>
      <c r="M707" s="389"/>
      <c r="N707" s="389"/>
      <c r="O707" s="389"/>
      <c r="P707" s="389"/>
      <c r="Q707" s="389"/>
      <c r="R707" s="389"/>
      <c r="S707" s="389"/>
      <c r="T707" s="389"/>
      <c r="U707" s="389"/>
      <c r="V707" s="389"/>
      <c r="W707" s="389"/>
      <c r="X707" s="389"/>
      <c r="Y707" s="389"/>
      <c r="Z707" s="389"/>
      <c r="AA707" s="389"/>
      <c r="AB707" s="389"/>
      <c r="AC707" s="389"/>
      <c r="AD707" s="389"/>
      <c r="AE707" s="389"/>
    </row>
    <row r="708" spans="1:31" ht="15.5" x14ac:dyDescent="0.35">
      <c r="A708" s="390"/>
      <c r="B708" s="389"/>
      <c r="C708" s="389"/>
      <c r="D708" s="389"/>
      <c r="E708" s="389"/>
      <c r="F708" s="389"/>
      <c r="G708" s="389"/>
      <c r="H708" s="389"/>
      <c r="I708" s="389"/>
      <c r="J708" s="389"/>
      <c r="K708" s="389"/>
      <c r="L708" s="389"/>
      <c r="M708" s="389"/>
      <c r="N708" s="389"/>
      <c r="O708" s="389"/>
      <c r="P708" s="389"/>
      <c r="Q708" s="389"/>
      <c r="R708" s="389"/>
      <c r="S708" s="389"/>
      <c r="T708" s="389"/>
      <c r="U708" s="389"/>
      <c r="V708" s="389"/>
      <c r="W708" s="389"/>
      <c r="X708" s="389"/>
      <c r="Y708" s="389"/>
      <c r="Z708" s="389"/>
      <c r="AA708" s="389"/>
      <c r="AB708" s="389"/>
      <c r="AC708" s="389"/>
      <c r="AD708" s="389"/>
      <c r="AE708" s="389"/>
    </row>
    <row r="709" spans="1:31" ht="15.5" x14ac:dyDescent="0.35">
      <c r="A709" s="390"/>
      <c r="B709" s="389"/>
      <c r="C709" s="389"/>
      <c r="D709" s="389"/>
      <c r="E709" s="389"/>
      <c r="F709" s="389"/>
      <c r="G709" s="389"/>
      <c r="H709" s="389"/>
      <c r="I709" s="389"/>
      <c r="J709" s="389"/>
      <c r="K709" s="389"/>
      <c r="L709" s="389"/>
      <c r="M709" s="389"/>
      <c r="N709" s="389"/>
      <c r="O709" s="389"/>
      <c r="P709" s="389"/>
      <c r="Q709" s="389"/>
      <c r="R709" s="389"/>
      <c r="S709" s="389"/>
      <c r="T709" s="389"/>
      <c r="U709" s="389"/>
      <c r="V709" s="389"/>
      <c r="W709" s="389"/>
      <c r="X709" s="389"/>
      <c r="Y709" s="389"/>
      <c r="Z709" s="389"/>
      <c r="AA709" s="389"/>
      <c r="AB709" s="389"/>
      <c r="AC709" s="389"/>
      <c r="AD709" s="389"/>
      <c r="AE709" s="389"/>
    </row>
    <row r="710" spans="1:31" ht="15.5" x14ac:dyDescent="0.35">
      <c r="A710" s="390"/>
      <c r="B710" s="389"/>
      <c r="C710" s="389"/>
      <c r="D710" s="389"/>
      <c r="E710" s="389"/>
      <c r="F710" s="389"/>
      <c r="G710" s="389"/>
      <c r="H710" s="389"/>
      <c r="I710" s="389"/>
      <c r="J710" s="389"/>
      <c r="K710" s="389"/>
      <c r="L710" s="389"/>
      <c r="M710" s="389"/>
      <c r="N710" s="389"/>
      <c r="O710" s="389"/>
      <c r="P710" s="389"/>
      <c r="Q710" s="389"/>
      <c r="R710" s="389"/>
      <c r="S710" s="389"/>
      <c r="T710" s="389"/>
      <c r="U710" s="389"/>
      <c r="V710" s="389"/>
      <c r="W710" s="389"/>
      <c r="X710" s="389"/>
      <c r="Y710" s="389"/>
      <c r="Z710" s="389"/>
      <c r="AA710" s="389"/>
      <c r="AB710" s="389"/>
      <c r="AC710" s="389"/>
      <c r="AD710" s="389"/>
      <c r="AE710" s="389"/>
    </row>
    <row r="711" spans="1:31" ht="15.5" x14ac:dyDescent="0.35">
      <c r="A711" s="390"/>
      <c r="B711" s="389"/>
      <c r="C711" s="389"/>
      <c r="D711" s="389"/>
      <c r="E711" s="389"/>
      <c r="F711" s="389"/>
      <c r="G711" s="389"/>
      <c r="H711" s="389"/>
      <c r="I711" s="389"/>
      <c r="J711" s="389"/>
      <c r="K711" s="389"/>
      <c r="L711" s="389"/>
      <c r="M711" s="389"/>
      <c r="N711" s="389"/>
      <c r="O711" s="389"/>
      <c r="P711" s="389"/>
      <c r="Q711" s="389"/>
      <c r="R711" s="389"/>
      <c r="S711" s="389"/>
      <c r="T711" s="389"/>
      <c r="U711" s="389"/>
      <c r="V711" s="389"/>
      <c r="W711" s="389"/>
      <c r="X711" s="389"/>
      <c r="Y711" s="389"/>
      <c r="Z711" s="389"/>
      <c r="AA711" s="389"/>
      <c r="AB711" s="389"/>
      <c r="AC711" s="389"/>
      <c r="AD711" s="389"/>
      <c r="AE711" s="389"/>
    </row>
    <row r="712" spans="1:31" ht="15.5" x14ac:dyDescent="0.35">
      <c r="A712" s="390"/>
      <c r="B712" s="389"/>
      <c r="C712" s="389"/>
      <c r="D712" s="389"/>
      <c r="E712" s="389"/>
      <c r="F712" s="389"/>
      <c r="G712" s="389"/>
      <c r="H712" s="389"/>
      <c r="I712" s="389"/>
      <c r="J712" s="389"/>
      <c r="K712" s="389"/>
      <c r="L712" s="389"/>
      <c r="M712" s="389"/>
      <c r="N712" s="389"/>
      <c r="O712" s="389"/>
      <c r="P712" s="389"/>
      <c r="Q712" s="389"/>
      <c r="R712" s="389"/>
      <c r="S712" s="389"/>
      <c r="T712" s="389"/>
      <c r="U712" s="389"/>
      <c r="V712" s="389"/>
      <c r="W712" s="389"/>
      <c r="X712" s="389"/>
      <c r="Y712" s="389"/>
      <c r="Z712" s="389"/>
      <c r="AA712" s="389"/>
      <c r="AB712" s="389"/>
      <c r="AC712" s="389"/>
      <c r="AD712" s="389"/>
      <c r="AE712" s="389"/>
    </row>
    <row r="713" spans="1:31" ht="15.5" x14ac:dyDescent="0.35">
      <c r="A713" s="390"/>
      <c r="B713" s="389"/>
      <c r="C713" s="389"/>
      <c r="D713" s="389"/>
      <c r="E713" s="389"/>
      <c r="F713" s="389"/>
      <c r="G713" s="389"/>
      <c r="H713" s="389"/>
      <c r="I713" s="389"/>
      <c r="J713" s="389"/>
      <c r="K713" s="389"/>
      <c r="L713" s="389"/>
      <c r="M713" s="389"/>
      <c r="N713" s="389"/>
      <c r="O713" s="389"/>
      <c r="P713" s="389"/>
      <c r="Q713" s="389"/>
      <c r="R713" s="389"/>
      <c r="S713" s="389"/>
      <c r="T713" s="389"/>
      <c r="U713" s="389"/>
      <c r="V713" s="389"/>
      <c r="W713" s="389"/>
      <c r="X713" s="389"/>
      <c r="Y713" s="389"/>
      <c r="Z713" s="389"/>
      <c r="AA713" s="389"/>
      <c r="AB713" s="389"/>
      <c r="AC713" s="389"/>
      <c r="AD713" s="389"/>
      <c r="AE713" s="389"/>
    </row>
    <row r="714" spans="1:31" ht="15.5" x14ac:dyDescent="0.35">
      <c r="A714" s="390"/>
      <c r="B714" s="389"/>
      <c r="C714" s="389"/>
      <c r="D714" s="389"/>
      <c r="E714" s="389"/>
      <c r="F714" s="389"/>
      <c r="G714" s="389"/>
      <c r="H714" s="389"/>
      <c r="I714" s="389"/>
      <c r="J714" s="389"/>
      <c r="K714" s="389"/>
      <c r="L714" s="389"/>
      <c r="M714" s="389"/>
      <c r="N714" s="389"/>
      <c r="O714" s="389"/>
      <c r="P714" s="389"/>
      <c r="Q714" s="389"/>
      <c r="R714" s="389"/>
      <c r="S714" s="389"/>
      <c r="T714" s="389"/>
      <c r="U714" s="389"/>
      <c r="V714" s="389"/>
      <c r="W714" s="389"/>
      <c r="X714" s="389"/>
      <c r="Y714" s="389"/>
      <c r="Z714" s="389"/>
      <c r="AA714" s="389"/>
      <c r="AB714" s="389"/>
      <c r="AC714" s="389"/>
      <c r="AD714" s="389"/>
      <c r="AE714" s="389"/>
    </row>
    <row r="715" spans="1:31" ht="15.5" x14ac:dyDescent="0.35">
      <c r="A715" s="390"/>
      <c r="B715" s="389"/>
      <c r="C715" s="389"/>
      <c r="D715" s="389"/>
      <c r="E715" s="389"/>
      <c r="F715" s="389"/>
      <c r="G715" s="389"/>
      <c r="H715" s="389"/>
      <c r="I715" s="389"/>
      <c r="J715" s="389"/>
      <c r="K715" s="389"/>
      <c r="L715" s="389"/>
      <c r="M715" s="389"/>
      <c r="N715" s="389"/>
      <c r="O715" s="389"/>
      <c r="P715" s="389"/>
      <c r="Q715" s="389"/>
      <c r="R715" s="389"/>
      <c r="S715" s="389"/>
      <c r="T715" s="389"/>
      <c r="U715" s="389"/>
      <c r="V715" s="389"/>
      <c r="W715" s="389"/>
      <c r="X715" s="389"/>
      <c r="Y715" s="389"/>
      <c r="Z715" s="389"/>
      <c r="AA715" s="389"/>
      <c r="AB715" s="389"/>
      <c r="AC715" s="389"/>
      <c r="AD715" s="389"/>
      <c r="AE715" s="389"/>
    </row>
    <row r="716" spans="1:31" ht="15.5" x14ac:dyDescent="0.35">
      <c r="A716" s="390"/>
      <c r="B716" s="389"/>
      <c r="C716" s="389"/>
      <c r="D716" s="389"/>
      <c r="E716" s="389"/>
      <c r="F716" s="389"/>
      <c r="G716" s="389"/>
      <c r="H716" s="389"/>
      <c r="I716" s="389"/>
      <c r="J716" s="389"/>
      <c r="K716" s="389"/>
      <c r="L716" s="389"/>
      <c r="M716" s="389"/>
      <c r="N716" s="389"/>
      <c r="O716" s="389"/>
      <c r="P716" s="389"/>
      <c r="Q716" s="389"/>
      <c r="R716" s="389"/>
      <c r="S716" s="389"/>
      <c r="T716" s="389"/>
      <c r="U716" s="389"/>
      <c r="V716" s="389"/>
      <c r="W716" s="389"/>
      <c r="X716" s="389"/>
      <c r="Y716" s="389"/>
      <c r="Z716" s="389"/>
      <c r="AA716" s="389"/>
      <c r="AB716" s="389"/>
      <c r="AC716" s="389"/>
      <c r="AD716" s="389"/>
      <c r="AE716" s="389"/>
    </row>
    <row r="717" spans="1:31" ht="15.5" x14ac:dyDescent="0.35">
      <c r="A717" s="390"/>
      <c r="B717" s="389"/>
      <c r="C717" s="389"/>
      <c r="D717" s="389"/>
      <c r="E717" s="389"/>
      <c r="F717" s="389"/>
      <c r="G717" s="389"/>
      <c r="H717" s="389"/>
      <c r="I717" s="389"/>
      <c r="J717" s="389"/>
      <c r="K717" s="389"/>
      <c r="L717" s="389"/>
      <c r="M717" s="389"/>
      <c r="N717" s="389"/>
      <c r="O717" s="389"/>
      <c r="P717" s="389"/>
      <c r="Q717" s="389"/>
      <c r="R717" s="389"/>
      <c r="S717" s="389"/>
      <c r="T717" s="389"/>
      <c r="U717" s="389"/>
      <c r="V717" s="389"/>
      <c r="W717" s="389"/>
      <c r="X717" s="389"/>
      <c r="Y717" s="389"/>
      <c r="Z717" s="389"/>
      <c r="AA717" s="389"/>
      <c r="AB717" s="389"/>
      <c r="AC717" s="389"/>
      <c r="AD717" s="389"/>
      <c r="AE717" s="389"/>
    </row>
    <row r="718" spans="1:31" ht="15.5" x14ac:dyDescent="0.35">
      <c r="A718" s="390"/>
      <c r="B718" s="389"/>
      <c r="C718" s="389"/>
      <c r="D718" s="389"/>
      <c r="E718" s="389"/>
      <c r="F718" s="389"/>
      <c r="G718" s="389"/>
      <c r="H718" s="389"/>
      <c r="I718" s="389"/>
      <c r="J718" s="389"/>
      <c r="K718" s="389"/>
      <c r="L718" s="389"/>
      <c r="M718" s="389"/>
      <c r="N718" s="389"/>
      <c r="O718" s="389"/>
      <c r="P718" s="389"/>
      <c r="Q718" s="389"/>
      <c r="R718" s="389"/>
      <c r="S718" s="389"/>
      <c r="T718" s="389"/>
      <c r="U718" s="389"/>
      <c r="V718" s="389"/>
      <c r="W718" s="389"/>
      <c r="X718" s="389"/>
      <c r="Y718" s="389"/>
      <c r="Z718" s="389"/>
      <c r="AA718" s="389"/>
      <c r="AB718" s="389"/>
      <c r="AC718" s="389"/>
      <c r="AD718" s="389"/>
      <c r="AE718" s="389"/>
    </row>
    <row r="719" spans="1:31" ht="15.5" x14ac:dyDescent="0.35">
      <c r="A719" s="390"/>
      <c r="B719" s="389"/>
      <c r="C719" s="389"/>
      <c r="D719" s="389"/>
      <c r="E719" s="389"/>
      <c r="F719" s="389"/>
      <c r="G719" s="389"/>
      <c r="H719" s="389"/>
      <c r="I719" s="389"/>
      <c r="J719" s="389"/>
      <c r="K719" s="389"/>
      <c r="L719" s="389"/>
      <c r="M719" s="389"/>
      <c r="N719" s="389"/>
      <c r="O719" s="389"/>
      <c r="P719" s="389"/>
      <c r="Q719" s="389"/>
      <c r="R719" s="389"/>
      <c r="S719" s="389"/>
      <c r="T719" s="389"/>
      <c r="U719" s="389"/>
      <c r="V719" s="389"/>
      <c r="W719" s="389"/>
      <c r="X719" s="389"/>
      <c r="Y719" s="389"/>
      <c r="Z719" s="389"/>
      <c r="AA719" s="389"/>
      <c r="AB719" s="389"/>
      <c r="AC719" s="389"/>
      <c r="AD719" s="389"/>
      <c r="AE719" s="389"/>
    </row>
    <row r="720" spans="1:31" ht="15.5" x14ac:dyDescent="0.35">
      <c r="A720" s="390"/>
      <c r="B720" s="389"/>
      <c r="C720" s="389"/>
      <c r="D720" s="389"/>
      <c r="E720" s="389"/>
      <c r="F720" s="389"/>
      <c r="G720" s="389"/>
      <c r="H720" s="389"/>
      <c r="I720" s="389"/>
      <c r="J720" s="389"/>
      <c r="K720" s="389"/>
      <c r="L720" s="389"/>
      <c r="M720" s="389"/>
      <c r="N720" s="389"/>
      <c r="O720" s="389"/>
      <c r="P720" s="389"/>
      <c r="Q720" s="389"/>
      <c r="R720" s="389"/>
      <c r="S720" s="389"/>
      <c r="T720" s="389"/>
      <c r="U720" s="389"/>
      <c r="V720" s="389"/>
      <c r="W720" s="389"/>
      <c r="X720" s="389"/>
      <c r="Y720" s="389"/>
      <c r="Z720" s="389"/>
      <c r="AA720" s="389"/>
      <c r="AB720" s="389"/>
      <c r="AC720" s="389"/>
      <c r="AD720" s="389"/>
      <c r="AE720" s="389"/>
    </row>
    <row r="721" spans="1:31" ht="15.5" x14ac:dyDescent="0.35">
      <c r="A721" s="390"/>
      <c r="B721" s="389"/>
      <c r="C721" s="389"/>
      <c r="D721" s="389"/>
      <c r="E721" s="389"/>
      <c r="F721" s="389"/>
      <c r="G721" s="389"/>
      <c r="H721" s="389"/>
      <c r="I721" s="389"/>
      <c r="J721" s="389"/>
      <c r="K721" s="389"/>
      <c r="L721" s="389"/>
      <c r="M721" s="389"/>
      <c r="N721" s="389"/>
      <c r="O721" s="389"/>
      <c r="P721" s="389"/>
      <c r="Q721" s="389"/>
      <c r="R721" s="389"/>
      <c r="S721" s="389"/>
      <c r="T721" s="389"/>
      <c r="U721" s="389"/>
      <c r="V721" s="389"/>
      <c r="W721" s="389"/>
      <c r="X721" s="389"/>
      <c r="Y721" s="389"/>
      <c r="Z721" s="389"/>
      <c r="AA721" s="389"/>
      <c r="AB721" s="389"/>
      <c r="AC721" s="389"/>
      <c r="AD721" s="389"/>
      <c r="AE721" s="389"/>
    </row>
    <row r="722" spans="1:31" ht="15.5" x14ac:dyDescent="0.35">
      <c r="A722" s="390"/>
      <c r="B722" s="389"/>
      <c r="C722" s="389"/>
      <c r="D722" s="389"/>
      <c r="E722" s="389"/>
      <c r="F722" s="389"/>
      <c r="G722" s="389"/>
      <c r="H722" s="389"/>
      <c r="I722" s="389"/>
      <c r="J722" s="389"/>
      <c r="K722" s="389"/>
      <c r="L722" s="389"/>
      <c r="M722" s="389"/>
      <c r="N722" s="389"/>
      <c r="O722" s="389"/>
      <c r="P722" s="389"/>
      <c r="Q722" s="389"/>
      <c r="R722" s="389"/>
      <c r="S722" s="389"/>
      <c r="T722" s="389"/>
      <c r="U722" s="389"/>
      <c r="V722" s="389"/>
      <c r="W722" s="389"/>
      <c r="X722" s="389"/>
      <c r="Y722" s="389"/>
      <c r="Z722" s="389"/>
      <c r="AA722" s="389"/>
      <c r="AB722" s="389"/>
      <c r="AC722" s="389"/>
      <c r="AD722" s="389"/>
      <c r="AE722" s="389"/>
    </row>
    <row r="723" spans="1:31" ht="15.5" x14ac:dyDescent="0.35">
      <c r="A723" s="390"/>
      <c r="B723" s="389"/>
      <c r="C723" s="389"/>
      <c r="D723" s="389"/>
      <c r="E723" s="389"/>
      <c r="F723" s="389"/>
      <c r="G723" s="389"/>
      <c r="H723" s="389"/>
      <c r="I723" s="389"/>
      <c r="J723" s="389"/>
      <c r="K723" s="389"/>
      <c r="L723" s="389"/>
      <c r="M723" s="389"/>
      <c r="N723" s="389"/>
      <c r="O723" s="389"/>
      <c r="P723" s="389"/>
      <c r="Q723" s="389"/>
      <c r="R723" s="389"/>
      <c r="S723" s="389"/>
      <c r="T723" s="389"/>
      <c r="U723" s="389"/>
      <c r="V723" s="389"/>
      <c r="W723" s="389"/>
      <c r="X723" s="389"/>
      <c r="Y723" s="389"/>
      <c r="Z723" s="389"/>
      <c r="AA723" s="389"/>
      <c r="AB723" s="389"/>
      <c r="AC723" s="389"/>
      <c r="AD723" s="389"/>
      <c r="AE723" s="389"/>
    </row>
    <row r="724" spans="1:31" ht="15.5" x14ac:dyDescent="0.35">
      <c r="A724" s="390"/>
      <c r="B724" s="389"/>
      <c r="C724" s="389"/>
      <c r="D724" s="389"/>
      <c r="E724" s="389"/>
      <c r="F724" s="389"/>
      <c r="G724" s="389"/>
      <c r="H724" s="389"/>
      <c r="I724" s="389"/>
      <c r="J724" s="389"/>
      <c r="K724" s="389"/>
      <c r="L724" s="389"/>
      <c r="M724" s="389"/>
      <c r="N724" s="389"/>
      <c r="O724" s="389"/>
      <c r="P724" s="389"/>
      <c r="Q724" s="389"/>
      <c r="R724" s="389"/>
      <c r="S724" s="389"/>
      <c r="T724" s="389"/>
      <c r="U724" s="389"/>
      <c r="V724" s="389"/>
      <c r="W724" s="389"/>
      <c r="X724" s="389"/>
      <c r="Y724" s="389"/>
      <c r="Z724" s="389"/>
      <c r="AA724" s="389"/>
      <c r="AB724" s="389"/>
      <c r="AC724" s="389"/>
      <c r="AD724" s="389"/>
      <c r="AE724" s="389"/>
    </row>
    <row r="725" spans="1:31" ht="15.5" x14ac:dyDescent="0.35">
      <c r="A725" s="390"/>
      <c r="B725" s="389"/>
      <c r="C725" s="389"/>
      <c r="D725" s="389"/>
      <c r="E725" s="389"/>
      <c r="F725" s="389"/>
      <c r="G725" s="389"/>
      <c r="H725" s="389"/>
      <c r="I725" s="389"/>
      <c r="J725" s="389"/>
      <c r="K725" s="389"/>
      <c r="L725" s="389"/>
      <c r="M725" s="389"/>
      <c r="N725" s="389"/>
      <c r="O725" s="389"/>
      <c r="P725" s="389"/>
      <c r="Q725" s="389"/>
      <c r="R725" s="389"/>
      <c r="S725" s="389"/>
      <c r="T725" s="389"/>
      <c r="U725" s="389"/>
      <c r="V725" s="389"/>
      <c r="W725" s="389"/>
      <c r="X725" s="389"/>
      <c r="Y725" s="389"/>
      <c r="Z725" s="389"/>
      <c r="AA725" s="389"/>
      <c r="AB725" s="389"/>
      <c r="AC725" s="389"/>
      <c r="AD725" s="389"/>
      <c r="AE725" s="389"/>
    </row>
    <row r="726" spans="1:31" ht="15.5" x14ac:dyDescent="0.35">
      <c r="A726" s="390"/>
      <c r="B726" s="389"/>
      <c r="C726" s="389"/>
      <c r="D726" s="389"/>
      <c r="E726" s="389"/>
      <c r="F726" s="389"/>
      <c r="G726" s="389"/>
      <c r="H726" s="389"/>
      <c r="I726" s="389"/>
      <c r="J726" s="389"/>
      <c r="K726" s="389"/>
      <c r="L726" s="389"/>
      <c r="M726" s="389"/>
      <c r="N726" s="389"/>
      <c r="O726" s="389"/>
      <c r="P726" s="389"/>
      <c r="Q726" s="389"/>
      <c r="R726" s="389"/>
      <c r="S726" s="389"/>
      <c r="T726" s="389"/>
      <c r="U726" s="389"/>
      <c r="V726" s="389"/>
      <c r="W726" s="389"/>
      <c r="X726" s="389"/>
      <c r="Y726" s="389"/>
      <c r="Z726" s="389"/>
      <c r="AA726" s="389"/>
      <c r="AB726" s="389"/>
      <c r="AC726" s="389"/>
      <c r="AD726" s="389"/>
      <c r="AE726" s="389"/>
    </row>
    <row r="727" spans="1:31" ht="15.5" x14ac:dyDescent="0.35">
      <c r="A727" s="390"/>
      <c r="B727" s="389"/>
      <c r="C727" s="389"/>
      <c r="D727" s="389"/>
      <c r="E727" s="389"/>
      <c r="F727" s="389"/>
      <c r="G727" s="389"/>
      <c r="H727" s="389"/>
      <c r="I727" s="389"/>
      <c r="J727" s="389"/>
      <c r="K727" s="389"/>
      <c r="L727" s="389"/>
      <c r="M727" s="389"/>
      <c r="N727" s="389"/>
      <c r="O727" s="389"/>
      <c r="P727" s="389"/>
      <c r="Q727" s="389"/>
      <c r="R727" s="389"/>
      <c r="S727" s="389"/>
      <c r="T727" s="389"/>
      <c r="U727" s="389"/>
      <c r="V727" s="389"/>
      <c r="W727" s="389"/>
      <c r="X727" s="389"/>
      <c r="Y727" s="389"/>
      <c r="Z727" s="389"/>
      <c r="AA727" s="389"/>
      <c r="AB727" s="389"/>
      <c r="AC727" s="389"/>
      <c r="AD727" s="389"/>
      <c r="AE727" s="389"/>
    </row>
    <row r="728" spans="1:31" ht="15.5" x14ac:dyDescent="0.35">
      <c r="A728" s="390"/>
      <c r="B728" s="389"/>
      <c r="C728" s="389"/>
      <c r="D728" s="389"/>
      <c r="E728" s="389"/>
      <c r="F728" s="389"/>
      <c r="G728" s="389"/>
      <c r="H728" s="389"/>
      <c r="I728" s="389"/>
      <c r="J728" s="389"/>
      <c r="K728" s="389"/>
      <c r="L728" s="389"/>
      <c r="M728" s="389"/>
      <c r="N728" s="389"/>
      <c r="O728" s="389"/>
      <c r="P728" s="389"/>
      <c r="Q728" s="389"/>
      <c r="R728" s="389"/>
      <c r="S728" s="389"/>
      <c r="T728" s="389"/>
      <c r="U728" s="389"/>
      <c r="V728" s="389"/>
      <c r="W728" s="389"/>
      <c r="X728" s="389"/>
      <c r="Y728" s="389"/>
      <c r="Z728" s="389"/>
      <c r="AA728" s="389"/>
      <c r="AB728" s="389"/>
      <c r="AC728" s="389"/>
      <c r="AD728" s="389"/>
      <c r="AE728" s="389"/>
    </row>
    <row r="729" spans="1:31" ht="15.5" x14ac:dyDescent="0.35">
      <c r="A729" s="390"/>
      <c r="B729" s="389"/>
      <c r="C729" s="389"/>
      <c r="D729" s="389"/>
      <c r="E729" s="389"/>
      <c r="F729" s="389"/>
      <c r="G729" s="389"/>
      <c r="H729" s="389"/>
      <c r="I729" s="389"/>
      <c r="J729" s="389"/>
      <c r="K729" s="389"/>
      <c r="L729" s="389"/>
      <c r="M729" s="389"/>
      <c r="N729" s="389"/>
      <c r="O729" s="389"/>
      <c r="P729" s="389"/>
      <c r="Q729" s="389"/>
      <c r="R729" s="389"/>
      <c r="S729" s="389"/>
      <c r="T729" s="389"/>
      <c r="U729" s="389"/>
      <c r="V729" s="389"/>
      <c r="W729" s="389"/>
      <c r="X729" s="389"/>
      <c r="Y729" s="389"/>
      <c r="Z729" s="389"/>
      <c r="AA729" s="389"/>
      <c r="AB729" s="389"/>
      <c r="AC729" s="389"/>
      <c r="AD729" s="389"/>
      <c r="AE729" s="389"/>
    </row>
    <row r="730" spans="1:31" ht="15.5" x14ac:dyDescent="0.35">
      <c r="A730" s="390"/>
      <c r="B730" s="389"/>
      <c r="C730" s="389"/>
      <c r="D730" s="389"/>
      <c r="E730" s="389"/>
      <c r="F730" s="389"/>
      <c r="G730" s="389"/>
      <c r="H730" s="389"/>
      <c r="I730" s="389"/>
      <c r="J730" s="389"/>
      <c r="K730" s="389"/>
      <c r="L730" s="389"/>
      <c r="M730" s="389"/>
      <c r="N730" s="389"/>
      <c r="O730" s="389"/>
      <c r="P730" s="389"/>
      <c r="Q730" s="389"/>
      <c r="R730" s="389"/>
      <c r="S730" s="389"/>
      <c r="T730" s="389"/>
      <c r="U730" s="389"/>
      <c r="V730" s="389"/>
      <c r="W730" s="389"/>
      <c r="X730" s="389"/>
      <c r="Y730" s="389"/>
      <c r="Z730" s="389"/>
      <c r="AA730" s="389"/>
      <c r="AB730" s="389"/>
      <c r="AC730" s="389"/>
      <c r="AD730" s="389"/>
      <c r="AE730" s="389"/>
    </row>
    <row r="731" spans="1:31" ht="15.5" x14ac:dyDescent="0.35">
      <c r="A731" s="390"/>
      <c r="B731" s="389"/>
      <c r="C731" s="389"/>
      <c r="D731" s="389"/>
      <c r="E731" s="389"/>
      <c r="F731" s="389"/>
      <c r="G731" s="389"/>
      <c r="H731" s="389"/>
      <c r="I731" s="389"/>
      <c r="J731" s="389"/>
      <c r="K731" s="389"/>
      <c r="L731" s="389"/>
      <c r="M731" s="389"/>
      <c r="N731" s="389"/>
      <c r="O731" s="389"/>
      <c r="P731" s="389"/>
      <c r="Q731" s="389"/>
      <c r="R731" s="389"/>
      <c r="S731" s="389"/>
      <c r="T731" s="389"/>
      <c r="U731" s="389"/>
      <c r="V731" s="389"/>
      <c r="W731" s="389"/>
      <c r="X731" s="389"/>
      <c r="Y731" s="389"/>
      <c r="Z731" s="389"/>
      <c r="AA731" s="389"/>
      <c r="AB731" s="389"/>
      <c r="AC731" s="389"/>
      <c r="AD731" s="389"/>
      <c r="AE731" s="389"/>
    </row>
    <row r="732" spans="1:31" ht="15.5" x14ac:dyDescent="0.35">
      <c r="A732" s="390"/>
      <c r="B732" s="389"/>
      <c r="C732" s="389"/>
      <c r="D732" s="389"/>
      <c r="E732" s="389"/>
      <c r="F732" s="389"/>
      <c r="G732" s="389"/>
      <c r="H732" s="389"/>
      <c r="I732" s="389"/>
      <c r="J732" s="389"/>
      <c r="K732" s="389"/>
      <c r="L732" s="389"/>
      <c r="M732" s="389"/>
      <c r="N732" s="389"/>
      <c r="O732" s="389"/>
      <c r="P732" s="389"/>
      <c r="Q732" s="389"/>
      <c r="R732" s="389"/>
      <c r="S732" s="389"/>
      <c r="T732" s="389"/>
      <c r="U732" s="389"/>
      <c r="V732" s="389"/>
      <c r="W732" s="389"/>
      <c r="X732" s="389"/>
      <c r="Y732" s="389"/>
      <c r="Z732" s="389"/>
      <c r="AA732" s="389"/>
      <c r="AB732" s="389"/>
      <c r="AC732" s="389"/>
      <c r="AD732" s="389"/>
      <c r="AE732" s="389"/>
    </row>
    <row r="733" spans="1:31" ht="15.5" x14ac:dyDescent="0.35">
      <c r="A733" s="390"/>
      <c r="B733" s="389"/>
      <c r="C733" s="389"/>
      <c r="D733" s="389"/>
      <c r="E733" s="389"/>
      <c r="F733" s="389"/>
      <c r="G733" s="389"/>
      <c r="H733" s="389"/>
      <c r="I733" s="389"/>
      <c r="J733" s="389"/>
      <c r="K733" s="389"/>
      <c r="L733" s="389"/>
      <c r="M733" s="389"/>
      <c r="N733" s="389"/>
      <c r="O733" s="389"/>
      <c r="P733" s="389"/>
      <c r="Q733" s="389"/>
      <c r="R733" s="389"/>
      <c r="S733" s="389"/>
      <c r="T733" s="389"/>
      <c r="U733" s="389"/>
      <c r="V733" s="389"/>
      <c r="W733" s="389"/>
      <c r="X733" s="389"/>
      <c r="Y733" s="389"/>
      <c r="Z733" s="389"/>
      <c r="AA733" s="389"/>
      <c r="AB733" s="389"/>
      <c r="AC733" s="389"/>
      <c r="AD733" s="389"/>
      <c r="AE733" s="389"/>
    </row>
    <row r="734" spans="1:31" ht="15.5" x14ac:dyDescent="0.35">
      <c r="A734" s="390"/>
      <c r="B734" s="389"/>
      <c r="C734" s="389"/>
      <c r="D734" s="389"/>
      <c r="E734" s="389"/>
      <c r="F734" s="389"/>
      <c r="G734" s="389"/>
      <c r="H734" s="389"/>
      <c r="I734" s="389"/>
      <c r="J734" s="389"/>
      <c r="K734" s="389"/>
      <c r="L734" s="389"/>
      <c r="M734" s="389"/>
      <c r="N734" s="389"/>
      <c r="O734" s="389"/>
      <c r="P734" s="389"/>
      <c r="Q734" s="389"/>
      <c r="R734" s="389"/>
      <c r="S734" s="389"/>
      <c r="T734" s="389"/>
      <c r="U734" s="389"/>
      <c r="V734" s="389"/>
      <c r="W734" s="389"/>
      <c r="X734" s="389"/>
      <c r="Y734" s="389"/>
      <c r="Z734" s="389"/>
      <c r="AA734" s="389"/>
      <c r="AB734" s="389"/>
      <c r="AC734" s="389"/>
      <c r="AD734" s="389"/>
      <c r="AE734" s="389"/>
    </row>
    <row r="735" spans="1:31" ht="15.5" x14ac:dyDescent="0.35">
      <c r="A735" s="390"/>
      <c r="B735" s="389"/>
      <c r="C735" s="389"/>
      <c r="D735" s="389"/>
      <c r="E735" s="389"/>
      <c r="F735" s="389"/>
      <c r="G735" s="389"/>
      <c r="H735" s="389"/>
      <c r="I735" s="389"/>
      <c r="J735" s="389"/>
      <c r="K735" s="389"/>
      <c r="L735" s="389"/>
      <c r="M735" s="389"/>
      <c r="N735" s="389"/>
      <c r="O735" s="389"/>
      <c r="P735" s="389"/>
      <c r="Q735" s="389"/>
      <c r="R735" s="389"/>
      <c r="S735" s="389"/>
      <c r="T735" s="389"/>
      <c r="U735" s="389"/>
      <c r="V735" s="389"/>
      <c r="W735" s="389"/>
      <c r="X735" s="389"/>
      <c r="Y735" s="389"/>
      <c r="Z735" s="389"/>
      <c r="AA735" s="389"/>
      <c r="AB735" s="389"/>
      <c r="AC735" s="389"/>
      <c r="AD735" s="389"/>
      <c r="AE735" s="389"/>
    </row>
    <row r="736" spans="1:31" ht="15.5" x14ac:dyDescent="0.35">
      <c r="A736" s="390"/>
      <c r="B736" s="389"/>
      <c r="C736" s="389"/>
      <c r="D736" s="389"/>
      <c r="E736" s="389"/>
      <c r="F736" s="389"/>
      <c r="G736" s="389"/>
      <c r="H736" s="389"/>
      <c r="I736" s="389"/>
      <c r="J736" s="389"/>
      <c r="K736" s="389"/>
      <c r="L736" s="389"/>
      <c r="M736" s="389"/>
      <c r="N736" s="389"/>
      <c r="O736" s="389"/>
      <c r="P736" s="389"/>
      <c r="Q736" s="389"/>
      <c r="R736" s="389"/>
      <c r="S736" s="389"/>
      <c r="T736" s="389"/>
      <c r="U736" s="389"/>
      <c r="V736" s="389"/>
      <c r="W736" s="389"/>
      <c r="X736" s="389"/>
      <c r="Y736" s="389"/>
      <c r="Z736" s="389"/>
      <c r="AA736" s="389"/>
      <c r="AB736" s="389"/>
      <c r="AC736" s="389"/>
      <c r="AD736" s="389"/>
      <c r="AE736" s="389"/>
    </row>
    <row r="737" spans="1:31" ht="15.5" x14ac:dyDescent="0.35">
      <c r="A737" s="390"/>
      <c r="B737" s="389"/>
      <c r="C737" s="389"/>
      <c r="D737" s="389"/>
      <c r="E737" s="389"/>
      <c r="F737" s="389"/>
      <c r="G737" s="389"/>
      <c r="H737" s="389"/>
      <c r="I737" s="389"/>
      <c r="J737" s="389"/>
      <c r="K737" s="389"/>
      <c r="L737" s="389"/>
      <c r="M737" s="389"/>
      <c r="N737" s="389"/>
      <c r="O737" s="389"/>
      <c r="P737" s="389"/>
      <c r="Q737" s="389"/>
      <c r="R737" s="389"/>
      <c r="S737" s="389"/>
      <c r="T737" s="389"/>
      <c r="U737" s="389"/>
      <c r="V737" s="389"/>
      <c r="W737" s="389"/>
      <c r="X737" s="389"/>
      <c r="Y737" s="389"/>
      <c r="Z737" s="389"/>
      <c r="AA737" s="389"/>
      <c r="AB737" s="389"/>
      <c r="AC737" s="389"/>
      <c r="AD737" s="389"/>
      <c r="AE737" s="389"/>
    </row>
    <row r="738" spans="1:31" ht="15.5" x14ac:dyDescent="0.35">
      <c r="A738" s="390"/>
      <c r="B738" s="389"/>
      <c r="C738" s="389"/>
      <c r="D738" s="389"/>
      <c r="E738" s="389"/>
      <c r="F738" s="389"/>
      <c r="G738" s="389"/>
      <c r="H738" s="389"/>
      <c r="I738" s="389"/>
      <c r="J738" s="389"/>
      <c r="K738" s="389"/>
      <c r="L738" s="389"/>
      <c r="M738" s="389"/>
      <c r="N738" s="389"/>
      <c r="O738" s="389"/>
      <c r="P738" s="389"/>
      <c r="Q738" s="389"/>
      <c r="R738" s="389"/>
      <c r="S738" s="389"/>
      <c r="T738" s="389"/>
      <c r="U738" s="389"/>
      <c r="V738" s="389"/>
      <c r="W738" s="389"/>
      <c r="X738" s="389"/>
      <c r="Y738" s="389"/>
      <c r="Z738" s="389"/>
      <c r="AA738" s="389"/>
      <c r="AB738" s="389"/>
      <c r="AC738" s="389"/>
      <c r="AD738" s="389"/>
      <c r="AE738" s="389"/>
    </row>
    <row r="739" spans="1:31" ht="15.5" x14ac:dyDescent="0.35">
      <c r="A739" s="390"/>
      <c r="B739" s="389"/>
      <c r="C739" s="389"/>
      <c r="D739" s="389"/>
      <c r="E739" s="389"/>
      <c r="F739" s="389"/>
      <c r="G739" s="389"/>
      <c r="H739" s="389"/>
      <c r="I739" s="389"/>
      <c r="J739" s="389"/>
      <c r="K739" s="389"/>
      <c r="L739" s="389"/>
      <c r="M739" s="389"/>
      <c r="N739" s="389"/>
      <c r="O739" s="389"/>
      <c r="P739" s="389"/>
      <c r="Q739" s="389"/>
      <c r="R739" s="389"/>
      <c r="S739" s="389"/>
      <c r="T739" s="389"/>
      <c r="U739" s="389"/>
      <c r="V739" s="389"/>
      <c r="W739" s="389"/>
      <c r="X739" s="389"/>
      <c r="Y739" s="389"/>
      <c r="Z739" s="389"/>
      <c r="AA739" s="389"/>
      <c r="AB739" s="389"/>
      <c r="AC739" s="389"/>
      <c r="AD739" s="389"/>
      <c r="AE739" s="389"/>
    </row>
    <row r="740" spans="1:31" ht="15.5" x14ac:dyDescent="0.35">
      <c r="A740" s="390"/>
      <c r="B740" s="389"/>
      <c r="C740" s="389"/>
      <c r="D740" s="389"/>
      <c r="E740" s="389"/>
      <c r="F740" s="389"/>
      <c r="G740" s="389"/>
      <c r="H740" s="389"/>
      <c r="I740" s="389"/>
      <c r="J740" s="389"/>
      <c r="K740" s="389"/>
      <c r="L740" s="389"/>
      <c r="M740" s="389"/>
      <c r="N740" s="389"/>
      <c r="O740" s="389"/>
      <c r="P740" s="389"/>
      <c r="Q740" s="389"/>
      <c r="R740" s="389"/>
      <c r="S740" s="389"/>
      <c r="T740" s="389"/>
      <c r="U740" s="389"/>
      <c r="V740" s="389"/>
      <c r="W740" s="389"/>
      <c r="X740" s="389"/>
      <c r="Y740" s="389"/>
      <c r="Z740" s="389"/>
      <c r="AA740" s="389"/>
      <c r="AB740" s="389"/>
      <c r="AC740" s="389"/>
      <c r="AD740" s="389"/>
      <c r="AE740" s="389"/>
    </row>
    <row r="741" spans="1:31" ht="15.5" x14ac:dyDescent="0.35">
      <c r="A741" s="390"/>
      <c r="B741" s="389"/>
      <c r="C741" s="389"/>
      <c r="D741" s="389"/>
      <c r="E741" s="389"/>
      <c r="F741" s="389"/>
      <c r="G741" s="389"/>
      <c r="H741" s="389"/>
      <c r="I741" s="389"/>
      <c r="J741" s="389"/>
      <c r="K741" s="389"/>
      <c r="L741" s="389"/>
      <c r="M741" s="389"/>
      <c r="N741" s="389"/>
      <c r="O741" s="389"/>
      <c r="P741" s="389"/>
      <c r="Q741" s="389"/>
      <c r="R741" s="389"/>
      <c r="S741" s="389"/>
      <c r="T741" s="389"/>
      <c r="U741" s="389"/>
      <c r="V741" s="389"/>
      <c r="W741" s="389"/>
      <c r="X741" s="389"/>
      <c r="Y741" s="389"/>
      <c r="Z741" s="389"/>
      <c r="AA741" s="389"/>
      <c r="AB741" s="389"/>
      <c r="AC741" s="389"/>
      <c r="AD741" s="389"/>
      <c r="AE741" s="389"/>
    </row>
    <row r="742" spans="1:31" ht="15.5" x14ac:dyDescent="0.35">
      <c r="A742" s="390"/>
      <c r="B742" s="389"/>
      <c r="C742" s="389"/>
      <c r="D742" s="389"/>
      <c r="E742" s="389"/>
      <c r="F742" s="389"/>
      <c r="G742" s="389"/>
      <c r="H742" s="389"/>
      <c r="I742" s="389"/>
      <c r="J742" s="389"/>
      <c r="K742" s="389"/>
      <c r="L742" s="389"/>
      <c r="M742" s="389"/>
      <c r="N742" s="389"/>
      <c r="O742" s="389"/>
      <c r="P742" s="389"/>
      <c r="Q742" s="389"/>
      <c r="R742" s="389"/>
      <c r="S742" s="389"/>
      <c r="T742" s="389"/>
      <c r="U742" s="389"/>
      <c r="V742" s="389"/>
      <c r="W742" s="389"/>
      <c r="X742" s="389"/>
      <c r="Y742" s="389"/>
      <c r="Z742" s="389"/>
      <c r="AA742" s="389"/>
      <c r="AB742" s="389"/>
      <c r="AC742" s="389"/>
      <c r="AD742" s="389"/>
      <c r="AE742" s="389"/>
    </row>
    <row r="743" spans="1:31" ht="15.5" x14ac:dyDescent="0.35">
      <c r="A743" s="390"/>
      <c r="B743" s="389"/>
      <c r="C743" s="389"/>
      <c r="D743" s="389"/>
      <c r="E743" s="389"/>
      <c r="F743" s="389"/>
      <c r="G743" s="389"/>
      <c r="H743" s="389"/>
      <c r="I743" s="389"/>
      <c r="J743" s="389"/>
      <c r="K743" s="389"/>
      <c r="L743" s="389"/>
      <c r="M743" s="389"/>
      <c r="N743" s="389"/>
      <c r="O743" s="389"/>
      <c r="P743" s="389"/>
      <c r="Q743" s="389"/>
      <c r="R743" s="389"/>
      <c r="S743" s="389"/>
      <c r="T743" s="389"/>
      <c r="U743" s="389"/>
      <c r="V743" s="389"/>
      <c r="W743" s="389"/>
      <c r="X743" s="389"/>
      <c r="Y743" s="389"/>
      <c r="Z743" s="389"/>
      <c r="AA743" s="389"/>
      <c r="AB743" s="389"/>
      <c r="AC743" s="389"/>
      <c r="AD743" s="389"/>
      <c r="AE743" s="389"/>
    </row>
    <row r="744" spans="1:31" ht="15.5" x14ac:dyDescent="0.35">
      <c r="A744" s="390"/>
      <c r="B744" s="389"/>
      <c r="C744" s="389"/>
      <c r="D744" s="389"/>
      <c r="E744" s="389"/>
      <c r="F744" s="389"/>
      <c r="G744" s="389"/>
      <c r="H744" s="389"/>
      <c r="I744" s="389"/>
      <c r="J744" s="389"/>
      <c r="K744" s="389"/>
      <c r="L744" s="389"/>
      <c r="M744" s="389"/>
      <c r="N744" s="389"/>
      <c r="O744" s="389"/>
      <c r="P744" s="389"/>
      <c r="Q744" s="389"/>
      <c r="R744" s="389"/>
      <c r="S744" s="389"/>
      <c r="T744" s="389"/>
      <c r="U744" s="389"/>
      <c r="V744" s="389"/>
      <c r="W744" s="389"/>
      <c r="X744" s="389"/>
      <c r="Y744" s="389"/>
      <c r="Z744" s="389"/>
      <c r="AA744" s="389"/>
      <c r="AB744" s="389"/>
      <c r="AC744" s="389"/>
      <c r="AD744" s="389"/>
      <c r="AE744" s="389"/>
    </row>
    <row r="745" spans="1:31" ht="15.5" x14ac:dyDescent="0.35">
      <c r="A745" s="390"/>
      <c r="B745" s="389"/>
      <c r="C745" s="389"/>
      <c r="D745" s="389"/>
      <c r="E745" s="389"/>
      <c r="F745" s="389"/>
      <c r="G745" s="389"/>
      <c r="H745" s="389"/>
      <c r="I745" s="389"/>
      <c r="J745" s="389"/>
      <c r="K745" s="389"/>
      <c r="L745" s="389"/>
      <c r="M745" s="389"/>
      <c r="N745" s="389"/>
      <c r="O745" s="389"/>
      <c r="P745" s="389"/>
      <c r="Q745" s="389"/>
      <c r="R745" s="389"/>
      <c r="S745" s="389"/>
      <c r="T745" s="389"/>
      <c r="U745" s="389"/>
      <c r="V745" s="389"/>
      <c r="W745" s="389"/>
      <c r="X745" s="389"/>
      <c r="Y745" s="389"/>
      <c r="Z745" s="389"/>
      <c r="AA745" s="389"/>
      <c r="AB745" s="389"/>
      <c r="AC745" s="389"/>
      <c r="AD745" s="389"/>
      <c r="AE745" s="389"/>
    </row>
    <row r="746" spans="1:31" ht="15.5" x14ac:dyDescent="0.35">
      <c r="A746" s="390"/>
      <c r="B746" s="389"/>
      <c r="C746" s="389"/>
      <c r="D746" s="389"/>
      <c r="E746" s="389"/>
      <c r="F746" s="389"/>
      <c r="G746" s="389"/>
      <c r="H746" s="389"/>
      <c r="I746" s="389"/>
      <c r="J746" s="389"/>
      <c r="K746" s="389"/>
      <c r="L746" s="389"/>
      <c r="M746" s="389"/>
      <c r="N746" s="389"/>
      <c r="O746" s="389"/>
      <c r="P746" s="389"/>
      <c r="Q746" s="389"/>
      <c r="R746" s="389"/>
      <c r="S746" s="389"/>
      <c r="T746" s="389"/>
      <c r="U746" s="389"/>
      <c r="V746" s="389"/>
      <c r="W746" s="389"/>
      <c r="X746" s="389"/>
      <c r="Y746" s="389"/>
      <c r="Z746" s="389"/>
      <c r="AA746" s="389"/>
      <c r="AB746" s="389"/>
      <c r="AC746" s="389"/>
      <c r="AD746" s="389"/>
      <c r="AE746" s="389"/>
    </row>
    <row r="747" spans="1:31" ht="15.5" x14ac:dyDescent="0.35">
      <c r="A747" s="390"/>
      <c r="B747" s="389"/>
      <c r="C747" s="389"/>
      <c r="D747" s="389"/>
      <c r="E747" s="389"/>
      <c r="F747" s="389"/>
      <c r="G747" s="389"/>
      <c r="H747" s="389"/>
      <c r="I747" s="389"/>
      <c r="J747" s="389"/>
      <c r="K747" s="389"/>
      <c r="L747" s="389"/>
      <c r="M747" s="389"/>
      <c r="N747" s="389"/>
      <c r="O747" s="389"/>
      <c r="P747" s="389"/>
      <c r="Q747" s="389"/>
      <c r="R747" s="389"/>
      <c r="S747" s="389"/>
      <c r="T747" s="389"/>
      <c r="U747" s="389"/>
      <c r="V747" s="389"/>
      <c r="W747" s="389"/>
      <c r="X747" s="389"/>
      <c r="Y747" s="389"/>
      <c r="Z747" s="389"/>
      <c r="AA747" s="389"/>
      <c r="AB747" s="389"/>
      <c r="AC747" s="389"/>
      <c r="AD747" s="389"/>
      <c r="AE747" s="389"/>
    </row>
    <row r="748" spans="1:31" ht="15.5" x14ac:dyDescent="0.35">
      <c r="A748" s="390"/>
      <c r="B748" s="389"/>
      <c r="C748" s="389"/>
      <c r="D748" s="389"/>
      <c r="E748" s="389"/>
      <c r="F748" s="389"/>
      <c r="G748" s="389"/>
      <c r="H748" s="389"/>
      <c r="I748" s="389"/>
      <c r="J748" s="389"/>
      <c r="K748" s="389"/>
      <c r="L748" s="389"/>
      <c r="M748" s="389"/>
      <c r="N748" s="389"/>
      <c r="O748" s="389"/>
      <c r="P748" s="389"/>
      <c r="Q748" s="389"/>
      <c r="R748" s="389"/>
      <c r="S748" s="389"/>
      <c r="T748" s="389"/>
      <c r="U748" s="389"/>
      <c r="V748" s="389"/>
      <c r="W748" s="389"/>
      <c r="X748" s="389"/>
      <c r="Y748" s="389"/>
      <c r="Z748" s="389"/>
      <c r="AA748" s="389"/>
      <c r="AB748" s="389"/>
      <c r="AC748" s="389"/>
      <c r="AD748" s="389"/>
      <c r="AE748" s="389"/>
    </row>
    <row r="749" spans="1:31" ht="15.5" x14ac:dyDescent="0.35">
      <c r="A749" s="390"/>
      <c r="B749" s="389"/>
      <c r="C749" s="389"/>
      <c r="D749" s="389"/>
      <c r="E749" s="389"/>
      <c r="F749" s="389"/>
      <c r="G749" s="389"/>
      <c r="H749" s="389"/>
      <c r="I749" s="389"/>
      <c r="J749" s="389"/>
      <c r="K749" s="389"/>
      <c r="L749" s="389"/>
      <c r="M749" s="389"/>
      <c r="N749" s="389"/>
      <c r="O749" s="389"/>
      <c r="P749" s="389"/>
      <c r="Q749" s="389"/>
      <c r="R749" s="389"/>
      <c r="S749" s="389"/>
      <c r="T749" s="389"/>
      <c r="U749" s="389"/>
      <c r="V749" s="389"/>
      <c r="W749" s="389"/>
      <c r="X749" s="389"/>
      <c r="Y749" s="389"/>
      <c r="Z749" s="389"/>
      <c r="AA749" s="389"/>
      <c r="AB749" s="389"/>
      <c r="AC749" s="389"/>
      <c r="AD749" s="389"/>
      <c r="AE749" s="389"/>
    </row>
    <row r="750" spans="1:31" ht="15.5" x14ac:dyDescent="0.35">
      <c r="A750" s="390"/>
      <c r="B750" s="389"/>
      <c r="C750" s="389"/>
      <c r="D750" s="389"/>
      <c r="E750" s="389"/>
      <c r="F750" s="389"/>
      <c r="G750" s="389"/>
      <c r="H750" s="389"/>
      <c r="I750" s="389"/>
      <c r="J750" s="389"/>
      <c r="K750" s="389"/>
      <c r="L750" s="389"/>
      <c r="M750" s="389"/>
      <c r="N750" s="389"/>
      <c r="O750" s="389"/>
      <c r="P750" s="389"/>
      <c r="Q750" s="389"/>
      <c r="R750" s="389"/>
      <c r="S750" s="389"/>
      <c r="T750" s="389"/>
      <c r="U750" s="389"/>
      <c r="V750" s="389"/>
      <c r="W750" s="389"/>
      <c r="X750" s="389"/>
      <c r="Y750" s="389"/>
      <c r="Z750" s="389"/>
      <c r="AA750" s="389"/>
      <c r="AB750" s="389"/>
      <c r="AC750" s="389"/>
      <c r="AD750" s="389"/>
      <c r="AE750" s="389"/>
    </row>
    <row r="751" spans="1:31" ht="15.5" x14ac:dyDescent="0.35">
      <c r="A751" s="390"/>
      <c r="B751" s="389"/>
      <c r="C751" s="389"/>
      <c r="D751" s="389"/>
      <c r="E751" s="389"/>
      <c r="F751" s="389"/>
      <c r="G751" s="389"/>
      <c r="H751" s="389"/>
      <c r="I751" s="389"/>
      <c r="J751" s="389"/>
      <c r="K751" s="389"/>
      <c r="L751" s="389"/>
      <c r="M751" s="389"/>
      <c r="N751" s="389"/>
      <c r="O751" s="389"/>
      <c r="P751" s="389"/>
      <c r="Q751" s="389"/>
      <c r="R751" s="389"/>
      <c r="S751" s="389"/>
      <c r="T751" s="389"/>
      <c r="U751" s="389"/>
      <c r="V751" s="389"/>
      <c r="W751" s="389"/>
      <c r="X751" s="389"/>
      <c r="Y751" s="389"/>
      <c r="Z751" s="389"/>
      <c r="AA751" s="389"/>
      <c r="AB751" s="389"/>
      <c r="AC751" s="389"/>
      <c r="AD751" s="389"/>
      <c r="AE751" s="389"/>
    </row>
    <row r="752" spans="1:31" ht="15.5" x14ac:dyDescent="0.35">
      <c r="A752" s="390"/>
      <c r="B752" s="389"/>
      <c r="C752" s="389"/>
      <c r="D752" s="389"/>
      <c r="E752" s="389"/>
      <c r="F752" s="389"/>
      <c r="G752" s="389"/>
      <c r="H752" s="389"/>
      <c r="I752" s="389"/>
      <c r="J752" s="389"/>
      <c r="K752" s="389"/>
      <c r="L752" s="389"/>
      <c r="M752" s="389"/>
      <c r="N752" s="389"/>
      <c r="O752" s="389"/>
      <c r="P752" s="389"/>
      <c r="Q752" s="389"/>
      <c r="R752" s="389"/>
      <c r="S752" s="389"/>
      <c r="T752" s="389"/>
      <c r="U752" s="389"/>
      <c r="V752" s="389"/>
      <c r="W752" s="389"/>
      <c r="X752" s="389"/>
      <c r="Y752" s="389"/>
      <c r="Z752" s="389"/>
      <c r="AA752" s="389"/>
      <c r="AB752" s="389"/>
      <c r="AC752" s="389"/>
      <c r="AD752" s="389"/>
      <c r="AE752" s="389"/>
    </row>
    <row r="753" spans="1:31" ht="15.5" x14ac:dyDescent="0.35">
      <c r="A753" s="390"/>
      <c r="B753" s="389"/>
      <c r="C753" s="389"/>
      <c r="D753" s="389"/>
      <c r="E753" s="389"/>
      <c r="F753" s="389"/>
      <c r="G753" s="389"/>
      <c r="H753" s="389"/>
      <c r="I753" s="389"/>
      <c r="J753" s="389"/>
      <c r="K753" s="389"/>
      <c r="L753" s="389"/>
      <c r="M753" s="389"/>
      <c r="N753" s="389"/>
      <c r="O753" s="389"/>
      <c r="P753" s="389"/>
      <c r="Q753" s="389"/>
      <c r="R753" s="389"/>
      <c r="S753" s="389"/>
      <c r="T753" s="389"/>
      <c r="U753" s="389"/>
      <c r="V753" s="389"/>
      <c r="W753" s="389"/>
      <c r="X753" s="389"/>
      <c r="Y753" s="389"/>
      <c r="Z753" s="389"/>
      <c r="AA753" s="389"/>
      <c r="AB753" s="389"/>
      <c r="AC753" s="389"/>
      <c r="AD753" s="389"/>
      <c r="AE753" s="389"/>
    </row>
    <row r="754" spans="1:31" ht="15.5" x14ac:dyDescent="0.35">
      <c r="A754" s="390"/>
      <c r="B754" s="389"/>
      <c r="C754" s="389"/>
      <c r="D754" s="389"/>
      <c r="E754" s="389"/>
      <c r="F754" s="389"/>
      <c r="G754" s="389"/>
      <c r="H754" s="389"/>
      <c r="I754" s="389"/>
      <c r="J754" s="389"/>
      <c r="K754" s="389"/>
      <c r="L754" s="389"/>
      <c r="M754" s="389"/>
      <c r="N754" s="389"/>
      <c r="O754" s="389"/>
      <c r="P754" s="389"/>
      <c r="Q754" s="389"/>
      <c r="R754" s="389"/>
      <c r="S754" s="389"/>
      <c r="T754" s="389"/>
      <c r="U754" s="389"/>
      <c r="V754" s="389"/>
      <c r="W754" s="389"/>
      <c r="X754" s="389"/>
      <c r="Y754" s="389"/>
      <c r="Z754" s="389"/>
      <c r="AA754" s="389"/>
      <c r="AB754" s="389"/>
      <c r="AC754" s="389"/>
      <c r="AD754" s="389"/>
      <c r="AE754" s="389"/>
    </row>
    <row r="755" spans="1:31" ht="15.5" x14ac:dyDescent="0.35">
      <c r="A755" s="390"/>
      <c r="B755" s="389"/>
      <c r="C755" s="389"/>
      <c r="D755" s="389"/>
      <c r="E755" s="389"/>
      <c r="F755" s="389"/>
      <c r="G755" s="389"/>
      <c r="H755" s="389"/>
      <c r="I755" s="389"/>
      <c r="J755" s="389"/>
      <c r="K755" s="389"/>
      <c r="L755" s="389"/>
      <c r="M755" s="389"/>
      <c r="N755" s="389"/>
      <c r="O755" s="389"/>
      <c r="P755" s="389"/>
      <c r="Q755" s="389"/>
      <c r="R755" s="389"/>
      <c r="S755" s="389"/>
      <c r="T755" s="389"/>
      <c r="U755" s="389"/>
      <c r="V755" s="389"/>
      <c r="W755" s="389"/>
      <c r="X755" s="389"/>
      <c r="Y755" s="389"/>
      <c r="Z755" s="389"/>
      <c r="AA755" s="389"/>
      <c r="AB755" s="389"/>
      <c r="AC755" s="389"/>
      <c r="AD755" s="389"/>
      <c r="AE755" s="389"/>
    </row>
    <row r="756" spans="1:31" ht="15.5" x14ac:dyDescent="0.35">
      <c r="A756" s="390"/>
      <c r="B756" s="389"/>
      <c r="C756" s="389"/>
      <c r="D756" s="389"/>
      <c r="E756" s="389"/>
      <c r="F756" s="389"/>
      <c r="G756" s="389"/>
      <c r="H756" s="389"/>
      <c r="I756" s="389"/>
      <c r="J756" s="389"/>
      <c r="K756" s="389"/>
      <c r="L756" s="389"/>
      <c r="M756" s="389"/>
      <c r="N756" s="389"/>
      <c r="O756" s="389"/>
      <c r="P756" s="389"/>
      <c r="Q756" s="389"/>
      <c r="R756" s="389"/>
      <c r="S756" s="389"/>
      <c r="T756" s="389"/>
      <c r="U756" s="389"/>
      <c r="V756" s="389"/>
      <c r="W756" s="389"/>
      <c r="X756" s="389"/>
      <c r="Y756" s="389"/>
      <c r="Z756" s="389"/>
      <c r="AA756" s="389"/>
      <c r="AB756" s="389"/>
      <c r="AC756" s="389"/>
      <c r="AD756" s="389"/>
      <c r="AE756" s="389"/>
    </row>
    <row r="757" spans="1:31" ht="15.5" x14ac:dyDescent="0.35">
      <c r="A757" s="390"/>
      <c r="B757" s="389"/>
      <c r="C757" s="389"/>
      <c r="D757" s="389"/>
      <c r="E757" s="389"/>
      <c r="F757" s="389"/>
      <c r="G757" s="389"/>
      <c r="H757" s="389"/>
      <c r="I757" s="389"/>
      <c r="J757" s="389"/>
      <c r="K757" s="389"/>
      <c r="L757" s="389"/>
      <c r="M757" s="389"/>
      <c r="N757" s="389"/>
      <c r="O757" s="389"/>
      <c r="P757" s="389"/>
      <c r="Q757" s="389"/>
      <c r="R757" s="389"/>
      <c r="S757" s="389"/>
      <c r="T757" s="389"/>
      <c r="U757" s="389"/>
      <c r="V757" s="389"/>
      <c r="W757" s="389"/>
      <c r="X757" s="389"/>
      <c r="Y757" s="389"/>
      <c r="Z757" s="389"/>
      <c r="AA757" s="389"/>
      <c r="AB757" s="389"/>
      <c r="AC757" s="389"/>
      <c r="AD757" s="389"/>
      <c r="AE757" s="389"/>
    </row>
    <row r="758" spans="1:31" ht="15.5" x14ac:dyDescent="0.35">
      <c r="A758" s="390"/>
      <c r="B758" s="389"/>
      <c r="C758" s="389"/>
      <c r="D758" s="389"/>
      <c r="E758" s="389"/>
      <c r="F758" s="389"/>
      <c r="G758" s="389"/>
      <c r="H758" s="389"/>
      <c r="I758" s="389"/>
      <c r="J758" s="389"/>
      <c r="K758" s="389"/>
      <c r="L758" s="389"/>
      <c r="M758" s="389"/>
      <c r="N758" s="389"/>
      <c r="O758" s="389"/>
      <c r="P758" s="389"/>
      <c r="Q758" s="389"/>
      <c r="R758" s="389"/>
      <c r="S758" s="389"/>
      <c r="T758" s="389"/>
      <c r="U758" s="389"/>
      <c r="V758" s="389"/>
      <c r="W758" s="389"/>
      <c r="X758" s="389"/>
      <c r="Y758" s="389"/>
      <c r="Z758" s="389"/>
      <c r="AA758" s="389"/>
      <c r="AB758" s="389"/>
      <c r="AC758" s="389"/>
      <c r="AD758" s="389"/>
      <c r="AE758" s="389"/>
    </row>
    <row r="759" spans="1:31" ht="15.5" x14ac:dyDescent="0.35">
      <c r="A759" s="390"/>
      <c r="B759" s="389"/>
      <c r="C759" s="389"/>
      <c r="D759" s="389"/>
      <c r="E759" s="389"/>
      <c r="F759" s="389"/>
      <c r="G759" s="389"/>
      <c r="H759" s="389"/>
      <c r="I759" s="389"/>
      <c r="J759" s="389"/>
      <c r="K759" s="389"/>
      <c r="L759" s="389"/>
      <c r="M759" s="389"/>
      <c r="N759" s="389"/>
      <c r="O759" s="389"/>
      <c r="P759" s="389"/>
      <c r="Q759" s="389"/>
      <c r="R759" s="389"/>
      <c r="S759" s="389"/>
      <c r="T759" s="389"/>
      <c r="U759" s="389"/>
      <c r="V759" s="389"/>
      <c r="W759" s="389"/>
      <c r="X759" s="389"/>
      <c r="Y759" s="389"/>
      <c r="Z759" s="389"/>
      <c r="AA759" s="389"/>
      <c r="AB759" s="389"/>
      <c r="AC759" s="389"/>
      <c r="AD759" s="389"/>
      <c r="AE759" s="389"/>
    </row>
    <row r="760" spans="1:31" ht="15.5" x14ac:dyDescent="0.35">
      <c r="A760" s="390"/>
      <c r="B760" s="389"/>
      <c r="C760" s="389"/>
      <c r="D760" s="389"/>
      <c r="E760" s="389"/>
      <c r="F760" s="389"/>
      <c r="G760" s="389"/>
      <c r="H760" s="389"/>
      <c r="I760" s="389"/>
      <c r="J760" s="389"/>
      <c r="K760" s="389"/>
      <c r="L760" s="389"/>
      <c r="M760" s="389"/>
      <c r="N760" s="389"/>
      <c r="O760" s="389"/>
      <c r="P760" s="389"/>
      <c r="Q760" s="389"/>
      <c r="R760" s="389"/>
      <c r="S760" s="389"/>
      <c r="T760" s="389"/>
      <c r="U760" s="389"/>
      <c r="V760" s="389"/>
      <c r="W760" s="389"/>
      <c r="X760" s="389"/>
      <c r="Y760" s="389"/>
      <c r="Z760" s="389"/>
      <c r="AA760" s="389"/>
      <c r="AB760" s="389"/>
      <c r="AC760" s="389"/>
      <c r="AD760" s="389"/>
      <c r="AE760" s="389"/>
    </row>
    <row r="761" spans="1:31" ht="15.5" x14ac:dyDescent="0.35">
      <c r="A761" s="390"/>
      <c r="B761" s="389"/>
      <c r="C761" s="389"/>
      <c r="D761" s="389"/>
      <c r="E761" s="389"/>
      <c r="F761" s="389"/>
      <c r="G761" s="389"/>
      <c r="H761" s="389"/>
      <c r="I761" s="389"/>
      <c r="J761" s="389"/>
      <c r="K761" s="389"/>
      <c r="L761" s="389"/>
      <c r="M761" s="389"/>
      <c r="N761" s="389"/>
      <c r="O761" s="389"/>
      <c r="P761" s="389"/>
      <c r="Q761" s="389"/>
      <c r="R761" s="389"/>
      <c r="S761" s="389"/>
      <c r="T761" s="389"/>
      <c r="U761" s="389"/>
      <c r="V761" s="389"/>
      <c r="W761" s="389"/>
      <c r="X761" s="389"/>
      <c r="Y761" s="389"/>
      <c r="Z761" s="389"/>
      <c r="AA761" s="389"/>
      <c r="AB761" s="389"/>
      <c r="AC761" s="389"/>
      <c r="AD761" s="389"/>
      <c r="AE761" s="389"/>
    </row>
    <row r="762" spans="1:31" ht="15.5" x14ac:dyDescent="0.35">
      <c r="A762" s="390"/>
      <c r="B762" s="389"/>
      <c r="C762" s="389"/>
      <c r="D762" s="389"/>
      <c r="E762" s="389"/>
      <c r="F762" s="389"/>
      <c r="G762" s="389"/>
      <c r="H762" s="389"/>
      <c r="I762" s="389"/>
      <c r="J762" s="389"/>
      <c r="K762" s="389"/>
      <c r="L762" s="389"/>
      <c r="M762" s="389"/>
      <c r="N762" s="389"/>
      <c r="O762" s="389"/>
      <c r="P762" s="389"/>
      <c r="Q762" s="389"/>
      <c r="R762" s="389"/>
      <c r="S762" s="389"/>
      <c r="T762" s="389"/>
      <c r="U762" s="389"/>
      <c r="V762" s="389"/>
      <c r="W762" s="389"/>
      <c r="X762" s="389"/>
      <c r="Y762" s="389"/>
      <c r="Z762" s="389"/>
      <c r="AA762" s="389"/>
      <c r="AB762" s="389"/>
      <c r="AC762" s="389"/>
      <c r="AD762" s="389"/>
      <c r="AE762" s="389"/>
    </row>
    <row r="763" spans="1:31" ht="15.5" x14ac:dyDescent="0.35">
      <c r="A763" s="390"/>
      <c r="B763" s="389"/>
      <c r="C763" s="389"/>
      <c r="D763" s="389"/>
      <c r="E763" s="389"/>
      <c r="F763" s="389"/>
      <c r="G763" s="389"/>
      <c r="H763" s="389"/>
      <c r="I763" s="389"/>
      <c r="J763" s="389"/>
      <c r="K763" s="389"/>
      <c r="L763" s="389"/>
      <c r="M763" s="389"/>
      <c r="N763" s="389"/>
      <c r="O763" s="389"/>
      <c r="P763" s="389"/>
      <c r="Q763" s="389"/>
      <c r="R763" s="389"/>
      <c r="S763" s="389"/>
      <c r="T763" s="389"/>
      <c r="U763" s="389"/>
      <c r="V763" s="389"/>
      <c r="W763" s="389"/>
      <c r="X763" s="389"/>
      <c r="Y763" s="389"/>
      <c r="Z763" s="389"/>
      <c r="AA763" s="389"/>
      <c r="AB763" s="389"/>
      <c r="AC763" s="389"/>
      <c r="AD763" s="389"/>
      <c r="AE763" s="389"/>
    </row>
    <row r="764" spans="1:31" ht="15.5" x14ac:dyDescent="0.35">
      <c r="A764" s="390"/>
      <c r="B764" s="389"/>
      <c r="C764" s="389"/>
      <c r="D764" s="389"/>
      <c r="E764" s="389"/>
      <c r="F764" s="389"/>
      <c r="G764" s="389"/>
      <c r="H764" s="389"/>
      <c r="I764" s="389"/>
      <c r="J764" s="389"/>
      <c r="K764" s="389"/>
      <c r="L764" s="389"/>
      <c r="M764" s="389"/>
      <c r="N764" s="389"/>
      <c r="O764" s="389"/>
      <c r="P764" s="389"/>
      <c r="Q764" s="389"/>
      <c r="R764" s="389"/>
      <c r="S764" s="389"/>
      <c r="T764" s="389"/>
      <c r="U764" s="389"/>
      <c r="V764" s="389"/>
      <c r="W764" s="389"/>
      <c r="X764" s="389"/>
      <c r="Y764" s="389"/>
      <c r="Z764" s="389"/>
      <c r="AA764" s="389"/>
      <c r="AB764" s="389"/>
      <c r="AC764" s="389"/>
      <c r="AD764" s="389"/>
      <c r="AE764" s="389"/>
    </row>
    <row r="765" spans="1:31" ht="15.5" x14ac:dyDescent="0.35">
      <c r="A765" s="390"/>
      <c r="B765" s="389"/>
      <c r="C765" s="389"/>
      <c r="D765" s="389"/>
      <c r="E765" s="389"/>
      <c r="F765" s="389"/>
      <c r="G765" s="389"/>
      <c r="H765" s="389"/>
      <c r="I765" s="389"/>
      <c r="J765" s="389"/>
      <c r="K765" s="389"/>
      <c r="L765" s="389"/>
      <c r="M765" s="389"/>
      <c r="N765" s="389"/>
      <c r="O765" s="389"/>
      <c r="P765" s="389"/>
      <c r="Q765" s="389"/>
      <c r="R765" s="389"/>
      <c r="S765" s="389"/>
      <c r="T765" s="389"/>
      <c r="U765" s="389"/>
      <c r="V765" s="389"/>
      <c r="W765" s="389"/>
      <c r="X765" s="389"/>
      <c r="Y765" s="389"/>
      <c r="Z765" s="389"/>
      <c r="AA765" s="389"/>
      <c r="AB765" s="389"/>
      <c r="AC765" s="389"/>
      <c r="AD765" s="389"/>
      <c r="AE765" s="389"/>
    </row>
    <row r="766" spans="1:31" ht="15.5" x14ac:dyDescent="0.35">
      <c r="A766" s="390"/>
      <c r="B766" s="389"/>
      <c r="C766" s="389"/>
      <c r="D766" s="389"/>
      <c r="E766" s="389"/>
      <c r="F766" s="389"/>
      <c r="G766" s="389"/>
      <c r="H766" s="389"/>
      <c r="I766" s="389"/>
      <c r="J766" s="389"/>
      <c r="K766" s="389"/>
      <c r="L766" s="389"/>
      <c r="M766" s="389"/>
      <c r="N766" s="389"/>
      <c r="O766" s="389"/>
      <c r="P766" s="389"/>
      <c r="Q766" s="389"/>
      <c r="R766" s="389"/>
      <c r="S766" s="389"/>
      <c r="T766" s="389"/>
      <c r="U766" s="389"/>
      <c r="V766" s="389"/>
      <c r="W766" s="389"/>
      <c r="X766" s="389"/>
      <c r="Y766" s="389"/>
      <c r="Z766" s="389"/>
      <c r="AA766" s="389"/>
      <c r="AB766" s="389"/>
      <c r="AC766" s="389"/>
      <c r="AD766" s="389"/>
      <c r="AE766" s="389"/>
    </row>
    <row r="767" spans="1:31" ht="15.5" x14ac:dyDescent="0.35">
      <c r="A767" s="390"/>
      <c r="B767" s="389"/>
      <c r="C767" s="389"/>
      <c r="D767" s="389"/>
      <c r="E767" s="389"/>
      <c r="F767" s="389"/>
      <c r="G767" s="389"/>
      <c r="H767" s="389"/>
      <c r="I767" s="389"/>
      <c r="J767" s="389"/>
      <c r="K767" s="389"/>
      <c r="L767" s="389"/>
      <c r="M767" s="389"/>
      <c r="N767" s="389"/>
      <c r="O767" s="389"/>
      <c r="P767" s="389"/>
      <c r="Q767" s="389"/>
      <c r="R767" s="389"/>
      <c r="S767" s="389"/>
      <c r="T767" s="389"/>
      <c r="U767" s="389"/>
      <c r="V767" s="389"/>
      <c r="W767" s="389"/>
      <c r="X767" s="389"/>
      <c r="Y767" s="389"/>
      <c r="Z767" s="389"/>
      <c r="AA767" s="389"/>
      <c r="AB767" s="389"/>
      <c r="AC767" s="389"/>
      <c r="AD767" s="389"/>
      <c r="AE767" s="389"/>
    </row>
    <row r="768" spans="1:31" ht="15.5" x14ac:dyDescent="0.35">
      <c r="A768" s="390"/>
      <c r="B768" s="389"/>
      <c r="C768" s="389"/>
      <c r="D768" s="389"/>
      <c r="E768" s="389"/>
      <c r="F768" s="389"/>
      <c r="G768" s="389"/>
      <c r="H768" s="389"/>
      <c r="I768" s="389"/>
      <c r="J768" s="389"/>
      <c r="K768" s="389"/>
      <c r="L768" s="389"/>
      <c r="M768" s="389"/>
      <c r="N768" s="389"/>
      <c r="O768" s="389"/>
      <c r="P768" s="389"/>
      <c r="Q768" s="389"/>
      <c r="R768" s="389"/>
      <c r="S768" s="389"/>
      <c r="T768" s="389"/>
      <c r="U768" s="389"/>
      <c r="V768" s="389"/>
      <c r="W768" s="389"/>
      <c r="X768" s="389"/>
      <c r="Y768" s="389"/>
      <c r="Z768" s="389"/>
      <c r="AA768" s="389"/>
      <c r="AB768" s="389"/>
      <c r="AC768" s="389"/>
      <c r="AD768" s="389"/>
      <c r="AE768" s="389"/>
    </row>
    <row r="769" spans="1:31" ht="15.5" x14ac:dyDescent="0.35">
      <c r="A769" s="390"/>
      <c r="B769" s="389"/>
      <c r="C769" s="389"/>
      <c r="D769" s="389"/>
      <c r="E769" s="389"/>
      <c r="F769" s="389"/>
      <c r="G769" s="389"/>
      <c r="H769" s="389"/>
      <c r="I769" s="389"/>
      <c r="J769" s="389"/>
      <c r="K769" s="389"/>
      <c r="L769" s="389"/>
      <c r="M769" s="389"/>
      <c r="N769" s="389"/>
      <c r="O769" s="389"/>
      <c r="P769" s="389"/>
      <c r="Q769" s="389"/>
      <c r="R769" s="389"/>
      <c r="S769" s="389"/>
      <c r="T769" s="389"/>
      <c r="U769" s="389"/>
      <c r="V769" s="389"/>
      <c r="W769" s="389"/>
      <c r="X769" s="389"/>
      <c r="Y769" s="389"/>
      <c r="Z769" s="389"/>
      <c r="AA769" s="389"/>
      <c r="AB769" s="389"/>
      <c r="AC769" s="389"/>
      <c r="AD769" s="389"/>
      <c r="AE769" s="389"/>
    </row>
    <row r="770" spans="1:31" ht="15.5" x14ac:dyDescent="0.35">
      <c r="A770" s="390"/>
      <c r="B770" s="389"/>
      <c r="C770" s="389"/>
      <c r="D770" s="389"/>
      <c r="E770" s="389"/>
      <c r="F770" s="389"/>
      <c r="G770" s="389"/>
      <c r="H770" s="389"/>
      <c r="I770" s="389"/>
      <c r="J770" s="389"/>
      <c r="K770" s="389"/>
      <c r="L770" s="389"/>
      <c r="M770" s="389"/>
      <c r="N770" s="389"/>
      <c r="O770" s="389"/>
      <c r="P770" s="389"/>
      <c r="Q770" s="389"/>
      <c r="R770" s="389"/>
      <c r="S770" s="389"/>
      <c r="T770" s="389"/>
      <c r="U770" s="389"/>
      <c r="V770" s="389"/>
      <c r="W770" s="389"/>
      <c r="X770" s="389"/>
      <c r="Y770" s="389"/>
      <c r="Z770" s="389"/>
      <c r="AA770" s="389"/>
      <c r="AB770" s="389"/>
      <c r="AC770" s="389"/>
      <c r="AD770" s="389"/>
      <c r="AE770" s="389"/>
    </row>
    <row r="771" spans="1:31" ht="15.5" x14ac:dyDescent="0.35">
      <c r="A771" s="390"/>
      <c r="B771" s="389"/>
      <c r="C771" s="389"/>
      <c r="D771" s="389"/>
      <c r="E771" s="389"/>
      <c r="F771" s="389"/>
      <c r="G771" s="389"/>
      <c r="H771" s="389"/>
      <c r="I771" s="389"/>
      <c r="J771" s="389"/>
      <c r="K771" s="389"/>
      <c r="L771" s="389"/>
      <c r="M771" s="389"/>
      <c r="N771" s="389"/>
      <c r="O771" s="389"/>
      <c r="P771" s="389"/>
      <c r="Q771" s="389"/>
      <c r="R771" s="389"/>
      <c r="S771" s="389"/>
      <c r="T771" s="389"/>
      <c r="U771" s="389"/>
      <c r="V771" s="389"/>
      <c r="W771" s="389"/>
      <c r="X771" s="389"/>
      <c r="Y771" s="389"/>
      <c r="Z771" s="389"/>
      <c r="AA771" s="389"/>
      <c r="AB771" s="389"/>
      <c r="AC771" s="389"/>
      <c r="AD771" s="389"/>
      <c r="AE771" s="389"/>
    </row>
    <row r="772" spans="1:31" ht="15.5" x14ac:dyDescent="0.35">
      <c r="A772" s="390"/>
      <c r="B772" s="389"/>
      <c r="C772" s="389"/>
      <c r="D772" s="389"/>
      <c r="E772" s="389"/>
      <c r="F772" s="389"/>
      <c r="G772" s="389"/>
      <c r="H772" s="389"/>
      <c r="I772" s="389"/>
      <c r="J772" s="389"/>
      <c r="K772" s="389"/>
      <c r="L772" s="389"/>
      <c r="M772" s="389"/>
      <c r="N772" s="389"/>
      <c r="O772" s="389"/>
      <c r="P772" s="389"/>
      <c r="Q772" s="389"/>
      <c r="R772" s="389"/>
      <c r="S772" s="389"/>
      <c r="T772" s="389"/>
      <c r="U772" s="389"/>
      <c r="V772" s="389"/>
      <c r="W772" s="389"/>
      <c r="X772" s="389"/>
      <c r="Y772" s="389"/>
      <c r="Z772" s="389"/>
      <c r="AA772" s="389"/>
      <c r="AB772" s="389"/>
      <c r="AC772" s="389"/>
      <c r="AD772" s="389"/>
      <c r="AE772" s="389"/>
    </row>
    <row r="773" spans="1:31" ht="15.5" x14ac:dyDescent="0.35">
      <c r="A773" s="390"/>
      <c r="B773" s="389"/>
      <c r="C773" s="389"/>
      <c r="D773" s="389"/>
      <c r="E773" s="389"/>
      <c r="F773" s="389"/>
      <c r="G773" s="389"/>
      <c r="H773" s="389"/>
      <c r="I773" s="389"/>
      <c r="J773" s="389"/>
      <c r="K773" s="389"/>
      <c r="L773" s="389"/>
      <c r="M773" s="389"/>
      <c r="N773" s="389"/>
      <c r="O773" s="389"/>
      <c r="P773" s="389"/>
      <c r="Q773" s="389"/>
      <c r="R773" s="389"/>
      <c r="S773" s="389"/>
      <c r="T773" s="389"/>
      <c r="U773" s="389"/>
      <c r="V773" s="389"/>
      <c r="W773" s="389"/>
      <c r="X773" s="389"/>
      <c r="Y773" s="389"/>
      <c r="Z773" s="389"/>
      <c r="AA773" s="389"/>
      <c r="AB773" s="389"/>
      <c r="AC773" s="389"/>
      <c r="AD773" s="389"/>
      <c r="AE773" s="389"/>
    </row>
    <row r="774" spans="1:31" ht="15.5" x14ac:dyDescent="0.35">
      <c r="A774" s="390"/>
      <c r="B774" s="389"/>
      <c r="C774" s="389"/>
      <c r="D774" s="389"/>
      <c r="E774" s="389"/>
      <c r="F774" s="389"/>
      <c r="G774" s="389"/>
      <c r="H774" s="389"/>
      <c r="I774" s="389"/>
      <c r="J774" s="389"/>
      <c r="K774" s="389"/>
      <c r="L774" s="389"/>
      <c r="M774" s="389"/>
      <c r="N774" s="389"/>
      <c r="O774" s="389"/>
      <c r="P774" s="389"/>
      <c r="Q774" s="389"/>
      <c r="R774" s="389"/>
      <c r="S774" s="389"/>
      <c r="T774" s="389"/>
      <c r="U774" s="389"/>
      <c r="V774" s="389"/>
      <c r="W774" s="389"/>
      <c r="X774" s="389"/>
      <c r="Y774" s="389"/>
      <c r="Z774" s="389"/>
      <c r="AA774" s="389"/>
      <c r="AB774" s="389"/>
      <c r="AC774" s="389"/>
      <c r="AD774" s="389"/>
      <c r="AE774" s="389"/>
    </row>
    <row r="775" spans="1:31" ht="15.5" x14ac:dyDescent="0.35">
      <c r="A775" s="390"/>
      <c r="B775" s="389"/>
      <c r="C775" s="389"/>
      <c r="D775" s="389"/>
      <c r="E775" s="389"/>
      <c r="F775" s="389"/>
      <c r="G775" s="389"/>
      <c r="H775" s="389"/>
      <c r="I775" s="389"/>
      <c r="J775" s="389"/>
      <c r="K775" s="389"/>
      <c r="L775" s="389"/>
      <c r="M775" s="389"/>
      <c r="N775" s="389"/>
      <c r="O775" s="389"/>
      <c r="P775" s="389"/>
      <c r="Q775" s="389"/>
      <c r="R775" s="389"/>
      <c r="S775" s="389"/>
      <c r="T775" s="389"/>
      <c r="U775" s="389"/>
      <c r="V775" s="389"/>
      <c r="W775" s="389"/>
      <c r="X775" s="389"/>
      <c r="Y775" s="389"/>
      <c r="Z775" s="389"/>
      <c r="AA775" s="389"/>
      <c r="AB775" s="389"/>
      <c r="AC775" s="389"/>
      <c r="AD775" s="389"/>
      <c r="AE775" s="389"/>
    </row>
    <row r="776" spans="1:31" ht="15.5" x14ac:dyDescent="0.35">
      <c r="A776" s="390"/>
      <c r="B776" s="389"/>
      <c r="C776" s="389"/>
      <c r="D776" s="389"/>
      <c r="E776" s="389"/>
      <c r="F776" s="389"/>
      <c r="G776" s="389"/>
      <c r="H776" s="389"/>
      <c r="I776" s="389"/>
      <c r="J776" s="389"/>
      <c r="K776" s="389"/>
      <c r="L776" s="389"/>
      <c r="M776" s="389"/>
      <c r="N776" s="389"/>
      <c r="O776" s="389"/>
      <c r="P776" s="389"/>
      <c r="Q776" s="389"/>
      <c r="R776" s="389"/>
      <c r="S776" s="389"/>
      <c r="T776" s="389"/>
      <c r="U776" s="389"/>
      <c r="V776" s="389"/>
      <c r="W776" s="389"/>
      <c r="X776" s="389"/>
      <c r="Y776" s="389"/>
      <c r="Z776" s="389"/>
      <c r="AA776" s="389"/>
      <c r="AB776" s="389"/>
      <c r="AC776" s="389"/>
      <c r="AD776" s="389"/>
      <c r="AE776" s="389"/>
    </row>
    <row r="777" spans="1:31" ht="15.5" x14ac:dyDescent="0.35">
      <c r="A777" s="390"/>
      <c r="B777" s="389"/>
      <c r="C777" s="389"/>
      <c r="D777" s="389"/>
      <c r="E777" s="389"/>
      <c r="F777" s="389"/>
      <c r="G777" s="389"/>
      <c r="H777" s="389"/>
      <c r="I777" s="389"/>
      <c r="J777" s="389"/>
      <c r="K777" s="389"/>
      <c r="L777" s="389"/>
      <c r="M777" s="389"/>
      <c r="N777" s="389"/>
      <c r="O777" s="389"/>
      <c r="P777" s="389"/>
      <c r="Q777" s="389"/>
      <c r="R777" s="389"/>
      <c r="S777" s="389"/>
      <c r="T777" s="389"/>
      <c r="U777" s="389"/>
      <c r="V777" s="389"/>
      <c r="W777" s="389"/>
      <c r="X777" s="389"/>
      <c r="Y777" s="389"/>
      <c r="Z777" s="389"/>
      <c r="AA777" s="389"/>
      <c r="AB777" s="389"/>
      <c r="AC777" s="389"/>
      <c r="AD777" s="389"/>
      <c r="AE777" s="389"/>
    </row>
    <row r="778" spans="1:31" ht="15.5" x14ac:dyDescent="0.35">
      <c r="A778" s="390"/>
      <c r="B778" s="389"/>
      <c r="C778" s="389"/>
      <c r="D778" s="389"/>
      <c r="E778" s="389"/>
      <c r="F778" s="389"/>
      <c r="G778" s="389"/>
      <c r="H778" s="389"/>
      <c r="I778" s="389"/>
      <c r="J778" s="389"/>
      <c r="K778" s="389"/>
      <c r="L778" s="389"/>
      <c r="M778" s="389"/>
      <c r="N778" s="389"/>
      <c r="O778" s="389"/>
      <c r="P778" s="389"/>
      <c r="Q778" s="389"/>
      <c r="R778" s="389"/>
      <c r="S778" s="389"/>
      <c r="T778" s="389"/>
      <c r="U778" s="389"/>
      <c r="V778" s="389"/>
      <c r="W778" s="389"/>
      <c r="X778" s="389"/>
      <c r="Y778" s="389"/>
      <c r="Z778" s="389"/>
      <c r="AA778" s="389"/>
      <c r="AB778" s="389"/>
      <c r="AC778" s="389"/>
      <c r="AD778" s="389"/>
      <c r="AE778" s="389"/>
    </row>
    <row r="779" spans="1:31" ht="15.5" x14ac:dyDescent="0.35">
      <c r="A779" s="390"/>
      <c r="B779" s="389"/>
      <c r="C779" s="389"/>
      <c r="D779" s="389"/>
      <c r="E779" s="389"/>
      <c r="F779" s="389"/>
      <c r="G779" s="389"/>
      <c r="H779" s="389"/>
      <c r="I779" s="389"/>
      <c r="J779" s="389"/>
      <c r="K779" s="389"/>
      <c r="L779" s="389"/>
      <c r="M779" s="389"/>
      <c r="N779" s="389"/>
      <c r="O779" s="389"/>
      <c r="P779" s="389"/>
      <c r="Q779" s="389"/>
      <c r="R779" s="389"/>
      <c r="S779" s="389"/>
      <c r="T779" s="389"/>
      <c r="U779" s="389"/>
      <c r="V779" s="389"/>
      <c r="W779" s="389"/>
      <c r="X779" s="389"/>
      <c r="Y779" s="389"/>
      <c r="Z779" s="389"/>
      <c r="AA779" s="389"/>
      <c r="AB779" s="389"/>
      <c r="AC779" s="389"/>
      <c r="AD779" s="389"/>
      <c r="AE779" s="389"/>
    </row>
    <row r="780" spans="1:31" ht="15.5" x14ac:dyDescent="0.35">
      <c r="A780" s="390"/>
      <c r="B780" s="389"/>
      <c r="C780" s="389"/>
      <c r="D780" s="389"/>
      <c r="E780" s="389"/>
      <c r="F780" s="389"/>
      <c r="G780" s="389"/>
      <c r="H780" s="389"/>
      <c r="I780" s="389"/>
      <c r="J780" s="389"/>
      <c r="K780" s="389"/>
      <c r="L780" s="389"/>
      <c r="M780" s="389"/>
      <c r="N780" s="389"/>
      <c r="O780" s="389"/>
      <c r="P780" s="389"/>
      <c r="Q780" s="389"/>
      <c r="R780" s="389"/>
      <c r="S780" s="389"/>
      <c r="T780" s="389"/>
      <c r="U780" s="389"/>
      <c r="V780" s="389"/>
      <c r="W780" s="389"/>
      <c r="X780" s="389"/>
      <c r="Y780" s="389"/>
      <c r="Z780" s="389"/>
      <c r="AA780" s="389"/>
      <c r="AB780" s="389"/>
      <c r="AC780" s="389"/>
      <c r="AD780" s="389"/>
      <c r="AE780" s="389"/>
    </row>
    <row r="781" spans="1:31" ht="15.5" x14ac:dyDescent="0.35">
      <c r="A781" s="390"/>
      <c r="B781" s="389"/>
      <c r="C781" s="389"/>
      <c r="D781" s="389"/>
      <c r="E781" s="389"/>
      <c r="F781" s="389"/>
      <c r="G781" s="389"/>
      <c r="H781" s="389"/>
      <c r="I781" s="389"/>
      <c r="J781" s="389"/>
      <c r="K781" s="389"/>
      <c r="L781" s="389"/>
      <c r="M781" s="389"/>
      <c r="N781" s="389"/>
      <c r="O781" s="389"/>
      <c r="P781" s="389"/>
      <c r="Q781" s="389"/>
      <c r="R781" s="389"/>
      <c r="S781" s="389"/>
      <c r="T781" s="389"/>
      <c r="U781" s="389"/>
      <c r="V781" s="389"/>
      <c r="W781" s="389"/>
      <c r="X781" s="389"/>
      <c r="Y781" s="389"/>
      <c r="Z781" s="389"/>
      <c r="AA781" s="389"/>
      <c r="AB781" s="389"/>
      <c r="AC781" s="389"/>
      <c r="AD781" s="389"/>
      <c r="AE781" s="389"/>
    </row>
    <row r="782" spans="1:31" ht="15.5" x14ac:dyDescent="0.35">
      <c r="A782" s="390"/>
      <c r="B782" s="389"/>
      <c r="C782" s="389"/>
      <c r="D782" s="389"/>
      <c r="E782" s="389"/>
      <c r="F782" s="389"/>
      <c r="G782" s="389"/>
      <c r="H782" s="389"/>
      <c r="I782" s="389"/>
      <c r="J782" s="389"/>
      <c r="K782" s="389"/>
      <c r="L782" s="389"/>
      <c r="M782" s="389"/>
      <c r="N782" s="389"/>
      <c r="O782" s="389"/>
      <c r="P782" s="389"/>
      <c r="Q782" s="389"/>
      <c r="R782" s="389"/>
      <c r="S782" s="389"/>
      <c r="T782" s="389"/>
      <c r="U782" s="389"/>
      <c r="V782" s="389"/>
      <c r="W782" s="389"/>
      <c r="X782" s="389"/>
      <c r="Y782" s="389"/>
      <c r="Z782" s="389"/>
      <c r="AA782" s="389"/>
      <c r="AB782" s="389"/>
      <c r="AC782" s="389"/>
      <c r="AD782" s="389"/>
      <c r="AE782" s="389"/>
    </row>
    <row r="783" spans="1:31" ht="15.5" x14ac:dyDescent="0.35">
      <c r="A783" s="390"/>
      <c r="B783" s="389"/>
      <c r="C783" s="389"/>
      <c r="D783" s="389"/>
      <c r="E783" s="389"/>
      <c r="F783" s="389"/>
      <c r="G783" s="389"/>
      <c r="H783" s="389"/>
      <c r="I783" s="389"/>
      <c r="J783" s="389"/>
      <c r="K783" s="389"/>
      <c r="L783" s="389"/>
      <c r="M783" s="389"/>
      <c r="N783" s="389"/>
      <c r="O783" s="389"/>
      <c r="P783" s="389"/>
      <c r="Q783" s="389"/>
      <c r="R783" s="389"/>
      <c r="S783" s="389"/>
      <c r="T783" s="389"/>
      <c r="U783" s="389"/>
      <c r="V783" s="389"/>
      <c r="W783" s="389"/>
      <c r="X783" s="389"/>
      <c r="Y783" s="389"/>
      <c r="Z783" s="389"/>
      <c r="AA783" s="389"/>
      <c r="AB783" s="389"/>
      <c r="AC783" s="389"/>
      <c r="AD783" s="389"/>
      <c r="AE783" s="389"/>
    </row>
    <row r="784" spans="1:31" ht="15.5" x14ac:dyDescent="0.35">
      <c r="A784" s="390"/>
      <c r="B784" s="389"/>
      <c r="C784" s="389"/>
      <c r="D784" s="389"/>
      <c r="E784" s="389"/>
      <c r="F784" s="389"/>
      <c r="G784" s="389"/>
      <c r="H784" s="389"/>
      <c r="I784" s="389"/>
      <c r="J784" s="389"/>
      <c r="K784" s="389"/>
      <c r="L784" s="389"/>
      <c r="M784" s="389"/>
      <c r="N784" s="389"/>
      <c r="O784" s="389"/>
      <c r="P784" s="389"/>
      <c r="Q784" s="389"/>
      <c r="R784" s="389"/>
      <c r="S784" s="389"/>
      <c r="T784" s="389"/>
      <c r="U784" s="389"/>
      <c r="V784" s="389"/>
      <c r="W784" s="389"/>
      <c r="X784" s="389"/>
      <c r="Y784" s="389"/>
      <c r="Z784" s="389"/>
      <c r="AA784" s="389"/>
      <c r="AB784" s="389"/>
      <c r="AC784" s="389"/>
      <c r="AD784" s="389"/>
      <c r="AE784" s="389"/>
    </row>
    <row r="785" spans="1:31" ht="15.5" x14ac:dyDescent="0.35">
      <c r="A785" s="390"/>
      <c r="B785" s="389"/>
      <c r="C785" s="389"/>
      <c r="D785" s="389"/>
      <c r="E785" s="389"/>
      <c r="F785" s="389"/>
      <c r="G785" s="389"/>
      <c r="H785" s="389"/>
      <c r="I785" s="389"/>
      <c r="J785" s="389"/>
      <c r="K785" s="389"/>
      <c r="L785" s="389"/>
      <c r="M785" s="389"/>
      <c r="N785" s="389"/>
      <c r="O785" s="389"/>
      <c r="P785" s="389"/>
      <c r="Q785" s="389"/>
      <c r="R785" s="389"/>
      <c r="S785" s="389"/>
      <c r="T785" s="389"/>
      <c r="U785" s="389"/>
      <c r="V785" s="389"/>
      <c r="W785" s="389"/>
      <c r="X785" s="389"/>
      <c r="Y785" s="389"/>
      <c r="Z785" s="389"/>
      <c r="AA785" s="389"/>
      <c r="AB785" s="389"/>
      <c r="AC785" s="389"/>
      <c r="AD785" s="389"/>
      <c r="AE785" s="389"/>
    </row>
    <row r="786" spans="1:31" ht="15.5" x14ac:dyDescent="0.35">
      <c r="A786" s="390"/>
      <c r="B786" s="389"/>
      <c r="C786" s="389"/>
      <c r="D786" s="389"/>
      <c r="E786" s="389"/>
      <c r="F786" s="389"/>
      <c r="G786" s="389"/>
      <c r="H786" s="389"/>
      <c r="I786" s="389"/>
      <c r="J786" s="389"/>
      <c r="K786" s="389"/>
      <c r="L786" s="389"/>
      <c r="M786" s="389"/>
      <c r="N786" s="389"/>
      <c r="O786" s="389"/>
      <c r="P786" s="389"/>
      <c r="Q786" s="389"/>
      <c r="R786" s="389"/>
      <c r="S786" s="389"/>
      <c r="T786" s="389"/>
      <c r="U786" s="389"/>
      <c r="V786" s="389"/>
      <c r="W786" s="389"/>
      <c r="X786" s="389"/>
      <c r="Y786" s="389"/>
      <c r="Z786" s="389"/>
      <c r="AA786" s="389"/>
      <c r="AB786" s="389"/>
      <c r="AC786" s="389"/>
      <c r="AD786" s="389"/>
      <c r="AE786" s="389"/>
    </row>
    <row r="787" spans="1:31" ht="15.5" x14ac:dyDescent="0.35">
      <c r="A787" s="390"/>
      <c r="B787" s="389"/>
      <c r="C787" s="389"/>
      <c r="D787" s="389"/>
      <c r="E787" s="389"/>
      <c r="F787" s="389"/>
      <c r="G787" s="389"/>
      <c r="H787" s="389"/>
      <c r="I787" s="389"/>
      <c r="J787" s="389"/>
      <c r="K787" s="389"/>
      <c r="L787" s="389"/>
      <c r="M787" s="389"/>
      <c r="N787" s="389"/>
      <c r="O787" s="389"/>
      <c r="P787" s="389"/>
      <c r="Q787" s="389"/>
      <c r="R787" s="389"/>
      <c r="S787" s="389"/>
      <c r="T787" s="389"/>
      <c r="U787" s="389"/>
      <c r="V787" s="389"/>
      <c r="W787" s="389"/>
      <c r="X787" s="389"/>
      <c r="Y787" s="389"/>
      <c r="Z787" s="389"/>
      <c r="AA787" s="389"/>
      <c r="AB787" s="389"/>
      <c r="AC787" s="389"/>
      <c r="AD787" s="389"/>
      <c r="AE787" s="389"/>
    </row>
    <row r="788" spans="1:31" ht="15.5" x14ac:dyDescent="0.35">
      <c r="A788" s="390"/>
      <c r="B788" s="389"/>
      <c r="C788" s="389"/>
      <c r="D788" s="389"/>
      <c r="E788" s="389"/>
      <c r="F788" s="389"/>
      <c r="G788" s="389"/>
      <c r="H788" s="389"/>
      <c r="I788" s="389"/>
      <c r="J788" s="389"/>
      <c r="K788" s="389"/>
      <c r="L788" s="389"/>
      <c r="M788" s="389"/>
      <c r="N788" s="389"/>
      <c r="O788" s="389"/>
      <c r="P788" s="389"/>
      <c r="Q788" s="389"/>
      <c r="R788" s="389"/>
      <c r="S788" s="389"/>
      <c r="T788" s="389"/>
      <c r="U788" s="389"/>
      <c r="V788" s="389"/>
      <c r="W788" s="389"/>
      <c r="X788" s="389"/>
      <c r="Y788" s="389"/>
      <c r="Z788" s="389"/>
      <c r="AA788" s="389"/>
      <c r="AB788" s="389"/>
      <c r="AC788" s="389"/>
      <c r="AD788" s="389"/>
      <c r="AE788" s="389"/>
    </row>
    <row r="789" spans="1:31" ht="15.5" x14ac:dyDescent="0.35">
      <c r="A789" s="390"/>
      <c r="B789" s="389"/>
      <c r="C789" s="389"/>
      <c r="D789" s="389"/>
      <c r="E789" s="389"/>
      <c r="F789" s="389"/>
      <c r="G789" s="389"/>
      <c r="H789" s="389"/>
      <c r="I789" s="389"/>
      <c r="J789" s="389"/>
      <c r="K789" s="389"/>
      <c r="L789" s="389"/>
      <c r="M789" s="389"/>
      <c r="N789" s="389"/>
      <c r="O789" s="389"/>
      <c r="P789" s="389"/>
      <c r="Q789" s="389"/>
      <c r="R789" s="389"/>
      <c r="S789" s="389"/>
      <c r="T789" s="389"/>
      <c r="U789" s="389"/>
      <c r="V789" s="389"/>
      <c r="W789" s="389"/>
      <c r="X789" s="389"/>
      <c r="Y789" s="389"/>
      <c r="Z789" s="389"/>
      <c r="AA789" s="389"/>
      <c r="AB789" s="389"/>
      <c r="AC789" s="389"/>
      <c r="AD789" s="389"/>
      <c r="AE789" s="389"/>
    </row>
    <row r="790" spans="1:31" ht="15.5" x14ac:dyDescent="0.35">
      <c r="A790" s="390"/>
      <c r="B790" s="389"/>
      <c r="C790" s="389"/>
      <c r="D790" s="389"/>
      <c r="E790" s="389"/>
      <c r="F790" s="389"/>
      <c r="G790" s="389"/>
      <c r="H790" s="389"/>
      <c r="I790" s="389"/>
      <c r="J790" s="389"/>
      <c r="K790" s="389"/>
      <c r="L790" s="389"/>
      <c r="M790" s="389"/>
      <c r="N790" s="389"/>
      <c r="O790" s="389"/>
      <c r="P790" s="389"/>
      <c r="Q790" s="389"/>
      <c r="R790" s="389"/>
      <c r="S790" s="389"/>
      <c r="T790" s="389"/>
      <c r="U790" s="389"/>
      <c r="V790" s="389"/>
      <c r="W790" s="389"/>
      <c r="X790" s="389"/>
      <c r="Y790" s="389"/>
      <c r="Z790" s="389"/>
      <c r="AA790" s="389"/>
      <c r="AB790" s="389"/>
      <c r="AC790" s="389"/>
      <c r="AD790" s="389"/>
      <c r="AE790" s="389"/>
    </row>
    <row r="791" spans="1:31" ht="15.5" x14ac:dyDescent="0.35">
      <c r="A791" s="390"/>
      <c r="B791" s="389"/>
      <c r="C791" s="389"/>
      <c r="D791" s="389"/>
      <c r="E791" s="389"/>
      <c r="F791" s="389"/>
      <c r="G791" s="389"/>
      <c r="H791" s="389"/>
      <c r="I791" s="389"/>
      <c r="J791" s="389"/>
      <c r="K791" s="389"/>
      <c r="L791" s="389"/>
      <c r="M791" s="389"/>
      <c r="N791" s="389"/>
      <c r="O791" s="389"/>
      <c r="P791" s="389"/>
      <c r="Q791" s="389"/>
      <c r="R791" s="389"/>
      <c r="S791" s="389"/>
      <c r="T791" s="389"/>
      <c r="U791" s="389"/>
      <c r="V791" s="389"/>
      <c r="W791" s="389"/>
      <c r="X791" s="389"/>
      <c r="Y791" s="389"/>
      <c r="Z791" s="389"/>
      <c r="AA791" s="389"/>
      <c r="AB791" s="389"/>
      <c r="AC791" s="389"/>
      <c r="AD791" s="389"/>
      <c r="AE791" s="389"/>
    </row>
    <row r="792" spans="1:31" ht="15.5" x14ac:dyDescent="0.35">
      <c r="A792" s="390"/>
      <c r="B792" s="389"/>
      <c r="C792" s="389"/>
      <c r="D792" s="389"/>
      <c r="E792" s="389"/>
      <c r="F792" s="389"/>
      <c r="G792" s="389"/>
      <c r="H792" s="389"/>
      <c r="I792" s="389"/>
      <c r="J792" s="389"/>
      <c r="K792" s="389"/>
      <c r="L792" s="389"/>
      <c r="M792" s="389"/>
      <c r="N792" s="389"/>
      <c r="O792" s="389"/>
      <c r="P792" s="389"/>
      <c r="Q792" s="389"/>
      <c r="R792" s="389"/>
      <c r="S792" s="389"/>
      <c r="T792" s="389"/>
      <c r="U792" s="389"/>
      <c r="V792" s="389"/>
      <c r="W792" s="389"/>
      <c r="X792" s="389"/>
      <c r="Y792" s="389"/>
      <c r="Z792" s="389"/>
      <c r="AA792" s="389"/>
      <c r="AB792" s="389"/>
      <c r="AC792" s="389"/>
      <c r="AD792" s="389"/>
      <c r="AE792" s="389"/>
    </row>
    <row r="793" spans="1:31" ht="15.5" x14ac:dyDescent="0.35">
      <c r="A793" s="390"/>
      <c r="B793" s="389"/>
      <c r="C793" s="389"/>
      <c r="D793" s="389"/>
      <c r="E793" s="389"/>
      <c r="F793" s="389"/>
      <c r="G793" s="389"/>
      <c r="H793" s="389"/>
      <c r="I793" s="389"/>
      <c r="J793" s="389"/>
      <c r="K793" s="389"/>
      <c r="L793" s="389"/>
      <c r="M793" s="389"/>
      <c r="N793" s="389"/>
      <c r="O793" s="389"/>
      <c r="P793" s="389"/>
      <c r="Q793" s="389"/>
      <c r="R793" s="389"/>
      <c r="S793" s="389"/>
      <c r="T793" s="389"/>
      <c r="U793" s="389"/>
      <c r="V793" s="389"/>
      <c r="W793" s="389"/>
      <c r="X793" s="389"/>
      <c r="Y793" s="389"/>
      <c r="Z793" s="389"/>
      <c r="AA793" s="389"/>
      <c r="AB793" s="389"/>
      <c r="AC793" s="389"/>
      <c r="AD793" s="389"/>
      <c r="AE793" s="389"/>
    </row>
    <row r="794" spans="1:31" ht="15.5" x14ac:dyDescent="0.35">
      <c r="A794" s="390"/>
      <c r="B794" s="389"/>
      <c r="C794" s="389"/>
      <c r="D794" s="389"/>
      <c r="E794" s="389"/>
      <c r="F794" s="389"/>
      <c r="G794" s="389"/>
      <c r="H794" s="389"/>
      <c r="I794" s="389"/>
      <c r="J794" s="389"/>
      <c r="K794" s="389"/>
      <c r="L794" s="389"/>
      <c r="M794" s="389"/>
      <c r="N794" s="389"/>
      <c r="O794" s="389"/>
      <c r="P794" s="389"/>
      <c r="Q794" s="389"/>
      <c r="R794" s="389"/>
      <c r="S794" s="389"/>
      <c r="T794" s="389"/>
      <c r="U794" s="389"/>
      <c r="V794" s="389"/>
      <c r="W794" s="389"/>
      <c r="X794" s="389"/>
      <c r="Y794" s="389"/>
      <c r="Z794" s="389"/>
      <c r="AA794" s="389"/>
      <c r="AB794" s="389"/>
      <c r="AC794" s="389"/>
      <c r="AD794" s="389"/>
      <c r="AE794" s="389"/>
    </row>
    <row r="795" spans="1:31" ht="15.5" x14ac:dyDescent="0.35">
      <c r="A795" s="390"/>
      <c r="B795" s="389"/>
      <c r="C795" s="389"/>
      <c r="D795" s="389"/>
      <c r="E795" s="389"/>
      <c r="F795" s="389"/>
      <c r="G795" s="389"/>
      <c r="H795" s="389"/>
      <c r="I795" s="389"/>
      <c r="J795" s="389"/>
      <c r="K795" s="389"/>
      <c r="L795" s="389"/>
      <c r="M795" s="389"/>
      <c r="N795" s="389"/>
      <c r="O795" s="389"/>
      <c r="P795" s="389"/>
      <c r="Q795" s="389"/>
      <c r="R795" s="389"/>
      <c r="S795" s="389"/>
      <c r="T795" s="389"/>
      <c r="U795" s="389"/>
      <c r="V795" s="389"/>
      <c r="W795" s="389"/>
      <c r="X795" s="389"/>
      <c r="Y795" s="389"/>
      <c r="Z795" s="389"/>
      <c r="AA795" s="389"/>
      <c r="AB795" s="389"/>
      <c r="AC795" s="389"/>
      <c r="AD795" s="389"/>
      <c r="AE795" s="389"/>
    </row>
    <row r="796" spans="1:31" ht="15.5" x14ac:dyDescent="0.35">
      <c r="A796" s="390"/>
      <c r="B796" s="389"/>
      <c r="C796" s="389"/>
      <c r="D796" s="389"/>
      <c r="E796" s="389"/>
      <c r="F796" s="389"/>
      <c r="G796" s="389"/>
      <c r="H796" s="389"/>
      <c r="I796" s="389"/>
      <c r="J796" s="389"/>
      <c r="K796" s="389"/>
      <c r="L796" s="389"/>
      <c r="M796" s="389"/>
      <c r="N796" s="389"/>
      <c r="O796" s="389"/>
      <c r="P796" s="389"/>
      <c r="Q796" s="389"/>
      <c r="R796" s="389"/>
      <c r="S796" s="389"/>
      <c r="T796" s="389"/>
      <c r="U796" s="389"/>
      <c r="V796" s="389"/>
      <c r="W796" s="389"/>
      <c r="X796" s="389"/>
      <c r="Y796" s="389"/>
      <c r="Z796" s="389"/>
      <c r="AA796" s="389"/>
      <c r="AB796" s="389"/>
      <c r="AC796" s="389"/>
      <c r="AD796" s="389"/>
      <c r="AE796" s="389"/>
    </row>
    <row r="797" spans="1:31" ht="15.5" x14ac:dyDescent="0.35">
      <c r="A797" s="390"/>
      <c r="B797" s="389"/>
      <c r="C797" s="389"/>
      <c r="D797" s="389"/>
      <c r="E797" s="389"/>
      <c r="F797" s="389"/>
      <c r="G797" s="389"/>
      <c r="H797" s="389"/>
      <c r="I797" s="389"/>
      <c r="J797" s="389"/>
      <c r="K797" s="389"/>
      <c r="L797" s="389"/>
      <c r="M797" s="389"/>
      <c r="N797" s="389"/>
      <c r="O797" s="389"/>
      <c r="P797" s="389"/>
      <c r="Q797" s="389"/>
      <c r="R797" s="389"/>
      <c r="S797" s="389"/>
      <c r="T797" s="389"/>
      <c r="U797" s="389"/>
      <c r="V797" s="389"/>
      <c r="W797" s="389"/>
      <c r="X797" s="389"/>
      <c r="Y797" s="389"/>
      <c r="Z797" s="389"/>
      <c r="AA797" s="389"/>
      <c r="AB797" s="389"/>
      <c r="AC797" s="389"/>
      <c r="AD797" s="389"/>
      <c r="AE797" s="389"/>
    </row>
    <row r="798" spans="1:31" ht="15.5" x14ac:dyDescent="0.35">
      <c r="A798" s="390"/>
      <c r="B798" s="389"/>
      <c r="C798" s="389"/>
      <c r="D798" s="389"/>
      <c r="E798" s="389"/>
      <c r="F798" s="389"/>
      <c r="G798" s="389"/>
      <c r="H798" s="389"/>
      <c r="I798" s="389"/>
      <c r="J798" s="389"/>
      <c r="K798" s="389"/>
      <c r="L798" s="389"/>
      <c r="M798" s="389"/>
      <c r="N798" s="389"/>
      <c r="O798" s="389"/>
      <c r="P798" s="389"/>
      <c r="Q798" s="389"/>
      <c r="R798" s="389"/>
      <c r="S798" s="389"/>
      <c r="T798" s="389"/>
      <c r="U798" s="389"/>
      <c r="V798" s="389"/>
      <c r="W798" s="389"/>
      <c r="X798" s="389"/>
      <c r="Y798" s="389"/>
      <c r="Z798" s="389"/>
      <c r="AA798" s="389"/>
      <c r="AB798" s="389"/>
      <c r="AC798" s="389"/>
      <c r="AD798" s="389"/>
      <c r="AE798" s="389"/>
    </row>
    <row r="799" spans="1:31" ht="15.5" x14ac:dyDescent="0.35">
      <c r="A799" s="390"/>
      <c r="B799" s="389"/>
      <c r="C799" s="389"/>
      <c r="D799" s="389"/>
      <c r="E799" s="389"/>
      <c r="F799" s="389"/>
      <c r="G799" s="389"/>
      <c r="H799" s="389"/>
      <c r="I799" s="389"/>
      <c r="J799" s="389"/>
      <c r="K799" s="389"/>
      <c r="L799" s="389"/>
      <c r="M799" s="389"/>
      <c r="N799" s="389"/>
      <c r="O799" s="389"/>
      <c r="P799" s="389"/>
      <c r="Q799" s="389"/>
      <c r="R799" s="389"/>
      <c r="S799" s="389"/>
      <c r="T799" s="389"/>
      <c r="U799" s="389"/>
      <c r="V799" s="389"/>
      <c r="W799" s="389"/>
      <c r="X799" s="389"/>
      <c r="Y799" s="389"/>
      <c r="Z799" s="389"/>
      <c r="AA799" s="389"/>
      <c r="AB799" s="389"/>
      <c r="AC799" s="389"/>
      <c r="AD799" s="389"/>
      <c r="AE799" s="389"/>
    </row>
    <row r="800" spans="1:31" ht="15.5" x14ac:dyDescent="0.35">
      <c r="A800" s="390"/>
      <c r="B800" s="389"/>
      <c r="C800" s="389"/>
      <c r="D800" s="389"/>
      <c r="E800" s="389"/>
      <c r="F800" s="389"/>
      <c r="G800" s="389"/>
      <c r="H800" s="389"/>
      <c r="I800" s="389"/>
      <c r="J800" s="389"/>
      <c r="K800" s="389"/>
      <c r="L800" s="389"/>
      <c r="M800" s="389"/>
      <c r="N800" s="389"/>
      <c r="O800" s="389"/>
      <c r="P800" s="389"/>
      <c r="Q800" s="389"/>
      <c r="R800" s="389"/>
      <c r="S800" s="389"/>
      <c r="T800" s="389"/>
      <c r="U800" s="389"/>
      <c r="V800" s="389"/>
      <c r="W800" s="389"/>
      <c r="X800" s="389"/>
      <c r="Y800" s="389"/>
      <c r="Z800" s="389"/>
      <c r="AA800" s="389"/>
      <c r="AB800" s="389"/>
      <c r="AC800" s="389"/>
      <c r="AD800" s="389"/>
      <c r="AE800" s="389"/>
    </row>
    <row r="801" spans="1:31" ht="15.5" x14ac:dyDescent="0.35">
      <c r="A801" s="390"/>
      <c r="B801" s="389"/>
      <c r="C801" s="389"/>
      <c r="D801" s="389"/>
      <c r="E801" s="389"/>
      <c r="F801" s="389"/>
      <c r="G801" s="389"/>
      <c r="H801" s="389"/>
      <c r="I801" s="389"/>
      <c r="J801" s="389"/>
      <c r="K801" s="389"/>
      <c r="L801" s="389"/>
      <c r="M801" s="389"/>
      <c r="N801" s="389"/>
      <c r="O801" s="389"/>
      <c r="P801" s="389"/>
      <c r="Q801" s="389"/>
      <c r="R801" s="389"/>
      <c r="S801" s="389"/>
      <c r="T801" s="389"/>
      <c r="U801" s="389"/>
      <c r="V801" s="389"/>
      <c r="W801" s="389"/>
      <c r="X801" s="389"/>
      <c r="Y801" s="389"/>
      <c r="Z801" s="389"/>
      <c r="AA801" s="389"/>
      <c r="AB801" s="389"/>
      <c r="AC801" s="389"/>
      <c r="AD801" s="389"/>
      <c r="AE801" s="389"/>
    </row>
    <row r="802" spans="1:31" ht="15.5" x14ac:dyDescent="0.35">
      <c r="A802" s="390"/>
      <c r="B802" s="389"/>
      <c r="C802" s="389"/>
      <c r="D802" s="389"/>
      <c r="E802" s="389"/>
      <c r="F802" s="389"/>
      <c r="G802" s="389"/>
      <c r="H802" s="389"/>
      <c r="I802" s="389"/>
      <c r="J802" s="389"/>
      <c r="K802" s="389"/>
      <c r="L802" s="389"/>
      <c r="M802" s="389"/>
      <c r="N802" s="389"/>
      <c r="O802" s="389"/>
      <c r="P802" s="389"/>
      <c r="Q802" s="389"/>
      <c r="R802" s="389"/>
      <c r="S802" s="389"/>
      <c r="T802" s="389"/>
      <c r="U802" s="389"/>
      <c r="V802" s="389"/>
      <c r="W802" s="389"/>
      <c r="X802" s="389"/>
      <c r="Y802" s="389"/>
      <c r="Z802" s="389"/>
      <c r="AA802" s="389"/>
      <c r="AB802" s="389"/>
      <c r="AC802" s="389"/>
      <c r="AD802" s="389"/>
      <c r="AE802" s="389"/>
    </row>
    <row r="803" spans="1:31" ht="15.5" x14ac:dyDescent="0.35">
      <c r="A803" s="390"/>
      <c r="B803" s="389"/>
      <c r="C803" s="389"/>
      <c r="D803" s="389"/>
      <c r="E803" s="389"/>
      <c r="F803" s="389"/>
      <c r="G803" s="389"/>
      <c r="H803" s="389"/>
      <c r="I803" s="389"/>
      <c r="J803" s="389"/>
      <c r="K803" s="389"/>
      <c r="L803" s="389"/>
      <c r="M803" s="389"/>
      <c r="N803" s="389"/>
      <c r="O803" s="389"/>
      <c r="P803" s="389"/>
      <c r="Q803" s="389"/>
      <c r="R803" s="389"/>
      <c r="S803" s="389"/>
      <c r="T803" s="389"/>
      <c r="U803" s="389"/>
      <c r="V803" s="389"/>
      <c r="W803" s="389"/>
      <c r="X803" s="389"/>
      <c r="Y803" s="389"/>
      <c r="Z803" s="389"/>
      <c r="AA803" s="389"/>
      <c r="AB803" s="389"/>
      <c r="AC803" s="389"/>
      <c r="AD803" s="389"/>
      <c r="AE803" s="389"/>
    </row>
    <row r="804" spans="1:31" ht="15.5" x14ac:dyDescent="0.35">
      <c r="A804" s="390"/>
      <c r="B804" s="389"/>
      <c r="C804" s="389"/>
      <c r="D804" s="389"/>
      <c r="E804" s="389"/>
      <c r="F804" s="389"/>
      <c r="G804" s="389"/>
      <c r="H804" s="389"/>
      <c r="I804" s="389"/>
      <c r="J804" s="389"/>
      <c r="K804" s="389"/>
      <c r="L804" s="389"/>
      <c r="M804" s="389"/>
      <c r="N804" s="389"/>
      <c r="O804" s="389"/>
      <c r="P804" s="389"/>
      <c r="Q804" s="389"/>
      <c r="R804" s="389"/>
      <c r="S804" s="389"/>
      <c r="T804" s="389"/>
      <c r="U804" s="389"/>
      <c r="V804" s="389"/>
      <c r="W804" s="389"/>
      <c r="X804" s="389"/>
      <c r="Y804" s="389"/>
      <c r="Z804" s="389"/>
      <c r="AA804" s="389"/>
      <c r="AB804" s="389"/>
      <c r="AC804" s="389"/>
      <c r="AD804" s="389"/>
      <c r="AE804" s="389"/>
    </row>
    <row r="805" spans="1:31" ht="15.5" x14ac:dyDescent="0.35">
      <c r="A805" s="390"/>
      <c r="B805" s="389"/>
      <c r="C805" s="389"/>
      <c r="D805" s="389"/>
      <c r="E805" s="389"/>
      <c r="F805" s="389"/>
      <c r="G805" s="389"/>
      <c r="H805" s="389"/>
      <c r="I805" s="389"/>
      <c r="J805" s="389"/>
      <c r="K805" s="389"/>
      <c r="L805" s="389"/>
      <c r="M805" s="389"/>
      <c r="N805" s="389"/>
      <c r="O805" s="389"/>
      <c r="P805" s="389"/>
      <c r="Q805" s="389"/>
      <c r="R805" s="389"/>
      <c r="S805" s="389"/>
      <c r="T805" s="389"/>
      <c r="U805" s="389"/>
      <c r="V805" s="389"/>
      <c r="W805" s="389"/>
      <c r="X805" s="389"/>
      <c r="Y805" s="389"/>
      <c r="Z805" s="389"/>
      <c r="AA805" s="389"/>
      <c r="AB805" s="389"/>
      <c r="AC805" s="389"/>
      <c r="AD805" s="389"/>
      <c r="AE805" s="389"/>
    </row>
    <row r="806" spans="1:31" ht="15.5" x14ac:dyDescent="0.35">
      <c r="A806" s="390"/>
      <c r="B806" s="389"/>
      <c r="C806" s="389"/>
      <c r="D806" s="389"/>
      <c r="E806" s="389"/>
      <c r="F806" s="389"/>
      <c r="G806" s="389"/>
      <c r="H806" s="389"/>
      <c r="I806" s="389"/>
      <c r="J806" s="389"/>
      <c r="K806" s="389"/>
      <c r="L806" s="389"/>
      <c r="M806" s="389"/>
      <c r="N806" s="389"/>
      <c r="O806" s="389"/>
      <c r="P806" s="389"/>
      <c r="Q806" s="389"/>
      <c r="R806" s="389"/>
      <c r="S806" s="389"/>
      <c r="T806" s="389"/>
      <c r="U806" s="389"/>
      <c r="V806" s="389"/>
      <c r="W806" s="389"/>
      <c r="X806" s="389"/>
      <c r="Y806" s="389"/>
      <c r="Z806" s="389"/>
      <c r="AA806" s="389"/>
      <c r="AB806" s="389"/>
      <c r="AC806" s="389"/>
      <c r="AD806" s="389"/>
      <c r="AE806" s="389"/>
    </row>
    <row r="807" spans="1:31" ht="15.5" x14ac:dyDescent="0.35">
      <c r="A807" s="390"/>
      <c r="B807" s="389"/>
      <c r="C807" s="389"/>
      <c r="D807" s="389"/>
      <c r="E807" s="389"/>
      <c r="F807" s="389"/>
      <c r="G807" s="389"/>
      <c r="H807" s="389"/>
      <c r="I807" s="389"/>
      <c r="J807" s="389"/>
      <c r="K807" s="389"/>
      <c r="L807" s="389"/>
      <c r="M807" s="389"/>
      <c r="N807" s="389"/>
      <c r="O807" s="389"/>
      <c r="P807" s="389"/>
      <c r="Q807" s="389"/>
      <c r="R807" s="389"/>
      <c r="S807" s="389"/>
      <c r="T807" s="389"/>
      <c r="U807" s="389"/>
      <c r="V807" s="389"/>
      <c r="W807" s="389"/>
      <c r="X807" s="389"/>
      <c r="Y807" s="389"/>
      <c r="Z807" s="389"/>
      <c r="AA807" s="389"/>
      <c r="AB807" s="389"/>
      <c r="AC807" s="389"/>
      <c r="AD807" s="389"/>
      <c r="AE807" s="389"/>
    </row>
    <row r="808" spans="1:31" ht="15.5" x14ac:dyDescent="0.35">
      <c r="A808" s="390"/>
      <c r="B808" s="389"/>
      <c r="C808" s="389"/>
      <c r="D808" s="389"/>
      <c r="E808" s="389"/>
      <c r="F808" s="389"/>
      <c r="G808" s="389"/>
      <c r="H808" s="389"/>
      <c r="I808" s="389"/>
      <c r="J808" s="389"/>
      <c r="K808" s="389"/>
      <c r="L808" s="389"/>
      <c r="M808" s="389"/>
      <c r="N808" s="389"/>
      <c r="O808" s="389"/>
      <c r="P808" s="389"/>
      <c r="Q808" s="389"/>
      <c r="R808" s="389"/>
      <c r="S808" s="389"/>
      <c r="T808" s="389"/>
      <c r="U808" s="389"/>
      <c r="V808" s="389"/>
      <c r="W808" s="389"/>
      <c r="X808" s="389"/>
      <c r="Y808" s="389"/>
      <c r="Z808" s="389"/>
      <c r="AA808" s="389"/>
      <c r="AB808" s="389"/>
      <c r="AC808" s="389"/>
      <c r="AD808" s="389"/>
      <c r="AE808" s="389"/>
    </row>
    <row r="809" spans="1:31" ht="15.5" x14ac:dyDescent="0.35">
      <c r="A809" s="390"/>
      <c r="B809" s="389"/>
      <c r="C809" s="389"/>
      <c r="D809" s="389"/>
      <c r="E809" s="389"/>
      <c r="F809" s="389"/>
      <c r="G809" s="389"/>
      <c r="H809" s="389"/>
      <c r="I809" s="389"/>
      <c r="J809" s="389"/>
      <c r="K809" s="389"/>
      <c r="L809" s="389"/>
      <c r="M809" s="389"/>
      <c r="N809" s="389"/>
      <c r="O809" s="389"/>
      <c r="P809" s="389"/>
      <c r="Q809" s="389"/>
      <c r="R809" s="389"/>
      <c r="S809" s="389"/>
      <c r="T809" s="389"/>
      <c r="U809" s="389"/>
      <c r="V809" s="389"/>
      <c r="W809" s="389"/>
      <c r="X809" s="389"/>
      <c r="Y809" s="389"/>
      <c r="Z809" s="389"/>
      <c r="AA809" s="389"/>
      <c r="AB809" s="389"/>
      <c r="AC809" s="389"/>
      <c r="AD809" s="389"/>
      <c r="AE809" s="389"/>
    </row>
    <row r="810" spans="1:31" ht="15.5" x14ac:dyDescent="0.35">
      <c r="A810" s="390"/>
      <c r="B810" s="389"/>
      <c r="C810" s="389"/>
      <c r="D810" s="389"/>
      <c r="E810" s="389"/>
      <c r="F810" s="389"/>
      <c r="G810" s="389"/>
      <c r="H810" s="389"/>
      <c r="I810" s="389"/>
      <c r="J810" s="389"/>
      <c r="K810" s="389"/>
      <c r="L810" s="389"/>
      <c r="M810" s="389"/>
      <c r="N810" s="389"/>
      <c r="O810" s="389"/>
      <c r="P810" s="389"/>
      <c r="Q810" s="389"/>
      <c r="R810" s="389"/>
      <c r="S810" s="389"/>
      <c r="T810" s="389"/>
      <c r="U810" s="389"/>
      <c r="V810" s="389"/>
      <c r="W810" s="389"/>
      <c r="X810" s="389"/>
      <c r="Y810" s="389"/>
      <c r="Z810" s="389"/>
      <c r="AA810" s="389"/>
      <c r="AB810" s="389"/>
      <c r="AC810" s="389"/>
      <c r="AD810" s="389"/>
      <c r="AE810" s="389"/>
    </row>
    <row r="811" spans="1:31" ht="15.5" x14ac:dyDescent="0.35">
      <c r="A811" s="390"/>
      <c r="B811" s="389"/>
      <c r="C811" s="389"/>
      <c r="D811" s="389"/>
      <c r="E811" s="389"/>
      <c r="F811" s="389"/>
      <c r="G811" s="389"/>
      <c r="H811" s="389"/>
      <c r="I811" s="389"/>
      <c r="J811" s="389"/>
      <c r="K811" s="389"/>
      <c r="L811" s="389"/>
      <c r="M811" s="389"/>
      <c r="N811" s="389"/>
      <c r="O811" s="389"/>
      <c r="P811" s="389"/>
      <c r="Q811" s="389"/>
      <c r="R811" s="389"/>
      <c r="S811" s="389"/>
      <c r="T811" s="389"/>
      <c r="U811" s="389"/>
      <c r="V811" s="389"/>
      <c r="W811" s="389"/>
      <c r="X811" s="389"/>
      <c r="Y811" s="389"/>
      <c r="Z811" s="389"/>
      <c r="AA811" s="389"/>
      <c r="AB811" s="389"/>
      <c r="AC811" s="389"/>
      <c r="AD811" s="389"/>
      <c r="AE811" s="389"/>
    </row>
    <row r="812" spans="1:31" ht="15.5" x14ac:dyDescent="0.35">
      <c r="A812" s="390"/>
      <c r="B812" s="389"/>
      <c r="C812" s="389"/>
      <c r="D812" s="389"/>
      <c r="E812" s="389"/>
      <c r="F812" s="389"/>
      <c r="G812" s="389"/>
      <c r="H812" s="389"/>
      <c r="I812" s="389"/>
      <c r="J812" s="389"/>
      <c r="K812" s="389"/>
      <c r="L812" s="389"/>
      <c r="M812" s="389"/>
      <c r="N812" s="389"/>
      <c r="O812" s="389"/>
      <c r="P812" s="389"/>
      <c r="Q812" s="389"/>
      <c r="R812" s="389"/>
      <c r="S812" s="389"/>
      <c r="T812" s="389"/>
      <c r="U812" s="389"/>
      <c r="V812" s="389"/>
      <c r="W812" s="389"/>
      <c r="X812" s="389"/>
      <c r="Y812" s="389"/>
      <c r="Z812" s="389"/>
      <c r="AA812" s="389"/>
      <c r="AB812" s="389"/>
      <c r="AC812" s="389"/>
      <c r="AD812" s="389"/>
      <c r="AE812" s="389"/>
    </row>
    <row r="813" spans="1:31" ht="15.5" x14ac:dyDescent="0.35">
      <c r="A813" s="390"/>
      <c r="B813" s="389"/>
      <c r="C813" s="389"/>
      <c r="D813" s="389"/>
      <c r="E813" s="389"/>
      <c r="F813" s="389"/>
      <c r="G813" s="389"/>
      <c r="H813" s="389"/>
      <c r="I813" s="389"/>
      <c r="J813" s="389"/>
      <c r="K813" s="389"/>
      <c r="L813" s="389"/>
      <c r="M813" s="389"/>
      <c r="N813" s="389"/>
      <c r="O813" s="389"/>
      <c r="P813" s="389"/>
      <c r="Q813" s="389"/>
      <c r="R813" s="389"/>
      <c r="S813" s="389"/>
      <c r="T813" s="389"/>
      <c r="U813" s="389"/>
      <c r="V813" s="389"/>
      <c r="W813" s="389"/>
      <c r="X813" s="389"/>
      <c r="Y813" s="389"/>
      <c r="Z813" s="389"/>
      <c r="AA813" s="389"/>
      <c r="AB813" s="389"/>
      <c r="AC813" s="389"/>
      <c r="AD813" s="389"/>
      <c r="AE813" s="389"/>
    </row>
    <row r="814" spans="1:31" ht="15.5" x14ac:dyDescent="0.35">
      <c r="A814" s="390"/>
      <c r="B814" s="389"/>
      <c r="C814" s="389"/>
      <c r="D814" s="389"/>
      <c r="E814" s="389"/>
      <c r="F814" s="389"/>
      <c r="G814" s="389"/>
      <c r="H814" s="389"/>
      <c r="I814" s="389"/>
      <c r="J814" s="389"/>
      <c r="K814" s="389"/>
      <c r="L814" s="389"/>
      <c r="M814" s="389"/>
      <c r="N814" s="389"/>
      <c r="O814" s="389"/>
      <c r="P814" s="389"/>
      <c r="Q814" s="389"/>
      <c r="R814" s="389"/>
      <c r="S814" s="389"/>
      <c r="T814" s="389"/>
      <c r="U814" s="389"/>
      <c r="V814" s="389"/>
      <c r="W814" s="389"/>
      <c r="X814" s="389"/>
      <c r="Y814" s="389"/>
      <c r="Z814" s="389"/>
      <c r="AA814" s="389"/>
      <c r="AB814" s="389"/>
      <c r="AC814" s="389"/>
      <c r="AD814" s="389"/>
      <c r="AE814" s="389"/>
    </row>
    <row r="815" spans="1:31" ht="15.5" x14ac:dyDescent="0.35">
      <c r="A815" s="390"/>
      <c r="B815" s="389"/>
      <c r="C815" s="389"/>
      <c r="D815" s="389"/>
      <c r="E815" s="389"/>
      <c r="F815" s="389"/>
      <c r="G815" s="389"/>
      <c r="H815" s="389"/>
      <c r="I815" s="389"/>
      <c r="J815" s="389"/>
      <c r="K815" s="389"/>
      <c r="L815" s="389"/>
      <c r="M815" s="389"/>
      <c r="N815" s="389"/>
      <c r="O815" s="389"/>
      <c r="P815" s="389"/>
      <c r="Q815" s="389"/>
      <c r="R815" s="389"/>
      <c r="S815" s="389"/>
      <c r="T815" s="389"/>
      <c r="U815" s="389"/>
      <c r="V815" s="389"/>
      <c r="W815" s="389"/>
      <c r="X815" s="389"/>
      <c r="Y815" s="389"/>
      <c r="Z815" s="389"/>
      <c r="AA815" s="389"/>
      <c r="AB815" s="389"/>
      <c r="AC815" s="389"/>
      <c r="AD815" s="389"/>
      <c r="AE815" s="389"/>
    </row>
    <row r="816" spans="1:31" ht="15.5" x14ac:dyDescent="0.35">
      <c r="A816" s="390"/>
      <c r="B816" s="389"/>
      <c r="C816" s="389"/>
      <c r="D816" s="389"/>
      <c r="E816" s="389"/>
      <c r="F816" s="389"/>
      <c r="G816" s="389"/>
      <c r="H816" s="389"/>
      <c r="I816" s="389"/>
      <c r="J816" s="389"/>
      <c r="K816" s="389"/>
      <c r="L816" s="389"/>
      <c r="M816" s="389"/>
      <c r="N816" s="389"/>
      <c r="O816" s="389"/>
      <c r="P816" s="389"/>
      <c r="Q816" s="389"/>
      <c r="R816" s="389"/>
      <c r="S816" s="389"/>
      <c r="T816" s="389"/>
      <c r="U816" s="389"/>
      <c r="V816" s="389"/>
      <c r="W816" s="389"/>
      <c r="X816" s="389"/>
      <c r="Y816" s="389"/>
      <c r="Z816" s="389"/>
      <c r="AA816" s="389"/>
      <c r="AB816" s="389"/>
      <c r="AC816" s="389"/>
      <c r="AD816" s="389"/>
      <c r="AE816" s="389"/>
    </row>
    <row r="817" spans="1:31" ht="15.5" x14ac:dyDescent="0.35">
      <c r="A817" s="390"/>
      <c r="B817" s="389"/>
      <c r="C817" s="389"/>
      <c r="D817" s="389"/>
      <c r="E817" s="389"/>
      <c r="F817" s="389"/>
      <c r="G817" s="389"/>
      <c r="H817" s="389"/>
      <c r="I817" s="389"/>
      <c r="J817" s="389"/>
      <c r="K817" s="389"/>
      <c r="L817" s="389"/>
      <c r="M817" s="389"/>
      <c r="N817" s="389"/>
      <c r="O817" s="389"/>
      <c r="P817" s="389"/>
      <c r="Q817" s="389"/>
      <c r="R817" s="389"/>
      <c r="S817" s="389"/>
      <c r="T817" s="389"/>
      <c r="U817" s="389"/>
      <c r="V817" s="389"/>
      <c r="W817" s="389"/>
      <c r="X817" s="389"/>
      <c r="Y817" s="389"/>
      <c r="Z817" s="389"/>
      <c r="AA817" s="389"/>
      <c r="AB817" s="389"/>
      <c r="AC817" s="389"/>
      <c r="AD817" s="389"/>
      <c r="AE817" s="389"/>
    </row>
    <row r="818" spans="1:31" ht="15.5" x14ac:dyDescent="0.35">
      <c r="A818" s="390"/>
      <c r="B818" s="389"/>
      <c r="C818" s="389"/>
      <c r="D818" s="389"/>
      <c r="E818" s="389"/>
      <c r="F818" s="389"/>
      <c r="G818" s="389"/>
      <c r="H818" s="389"/>
      <c r="I818" s="389"/>
      <c r="J818" s="389"/>
      <c r="K818" s="389"/>
      <c r="L818" s="389"/>
      <c r="M818" s="389"/>
      <c r="N818" s="389"/>
      <c r="O818" s="389"/>
      <c r="P818" s="389"/>
      <c r="Q818" s="389"/>
      <c r="R818" s="389"/>
      <c r="S818" s="389"/>
      <c r="T818" s="389"/>
      <c r="U818" s="389"/>
      <c r="V818" s="389"/>
      <c r="W818" s="389"/>
      <c r="X818" s="389"/>
      <c r="Y818" s="389"/>
      <c r="Z818" s="389"/>
      <c r="AA818" s="389"/>
      <c r="AB818" s="389"/>
      <c r="AC818" s="389"/>
      <c r="AD818" s="389"/>
      <c r="AE818" s="389"/>
    </row>
    <row r="819" spans="1:31" ht="15.5" x14ac:dyDescent="0.35">
      <c r="A819" s="390"/>
      <c r="B819" s="389"/>
      <c r="C819" s="389"/>
      <c r="D819" s="389"/>
      <c r="E819" s="389"/>
      <c r="F819" s="389"/>
      <c r="G819" s="389"/>
      <c r="H819" s="389"/>
      <c r="I819" s="389"/>
      <c r="J819" s="389"/>
      <c r="K819" s="389"/>
      <c r="L819" s="389"/>
      <c r="M819" s="389"/>
      <c r="N819" s="389"/>
      <c r="O819" s="389"/>
      <c r="P819" s="389"/>
      <c r="Q819" s="389"/>
      <c r="R819" s="389"/>
      <c r="S819" s="389"/>
      <c r="T819" s="389"/>
      <c r="U819" s="389"/>
      <c r="V819" s="389"/>
      <c r="W819" s="389"/>
      <c r="X819" s="389"/>
      <c r="Y819" s="389"/>
      <c r="Z819" s="389"/>
      <c r="AA819" s="389"/>
      <c r="AB819" s="389"/>
      <c r="AC819" s="389"/>
      <c r="AD819" s="389"/>
      <c r="AE819" s="389"/>
    </row>
    <row r="820" spans="1:31" ht="15.5" x14ac:dyDescent="0.35">
      <c r="A820" s="390"/>
      <c r="B820" s="389"/>
      <c r="C820" s="389"/>
      <c r="D820" s="389"/>
      <c r="E820" s="389"/>
      <c r="F820" s="389"/>
      <c r="G820" s="389"/>
      <c r="H820" s="389"/>
      <c r="I820" s="389"/>
      <c r="J820" s="389"/>
      <c r="K820" s="389"/>
      <c r="L820" s="389"/>
      <c r="M820" s="389"/>
      <c r="N820" s="389"/>
      <c r="O820" s="389"/>
      <c r="P820" s="389"/>
      <c r="Q820" s="389"/>
      <c r="R820" s="389"/>
      <c r="S820" s="389"/>
      <c r="T820" s="389"/>
      <c r="U820" s="389"/>
      <c r="V820" s="389"/>
      <c r="W820" s="389"/>
      <c r="X820" s="389"/>
      <c r="Y820" s="389"/>
      <c r="Z820" s="389"/>
      <c r="AA820" s="389"/>
      <c r="AB820" s="389"/>
      <c r="AC820" s="389"/>
      <c r="AD820" s="389"/>
      <c r="AE820" s="389"/>
    </row>
    <row r="821" spans="1:31" ht="15.5" x14ac:dyDescent="0.35">
      <c r="A821" s="390"/>
      <c r="B821" s="389"/>
      <c r="C821" s="389"/>
      <c r="D821" s="389"/>
      <c r="E821" s="389"/>
      <c r="F821" s="389"/>
      <c r="G821" s="389"/>
      <c r="H821" s="389"/>
      <c r="I821" s="389"/>
      <c r="J821" s="389"/>
      <c r="K821" s="389"/>
      <c r="L821" s="389"/>
      <c r="M821" s="389"/>
      <c r="N821" s="389"/>
      <c r="O821" s="389"/>
      <c r="P821" s="389"/>
      <c r="Q821" s="389"/>
      <c r="R821" s="389"/>
      <c r="S821" s="389"/>
      <c r="T821" s="389"/>
      <c r="U821" s="389"/>
      <c r="V821" s="389"/>
      <c r="W821" s="389"/>
      <c r="X821" s="389"/>
      <c r="Y821" s="389"/>
      <c r="Z821" s="389"/>
      <c r="AA821" s="389"/>
      <c r="AB821" s="389"/>
      <c r="AC821" s="389"/>
      <c r="AD821" s="389"/>
      <c r="AE821" s="389"/>
    </row>
    <row r="822" spans="1:31" ht="15.5" x14ac:dyDescent="0.35">
      <c r="A822" s="390"/>
      <c r="B822" s="389"/>
      <c r="C822" s="389"/>
      <c r="D822" s="389"/>
      <c r="E822" s="389"/>
      <c r="F822" s="389"/>
      <c r="G822" s="389"/>
      <c r="H822" s="389"/>
      <c r="I822" s="389"/>
      <c r="J822" s="389"/>
      <c r="K822" s="389"/>
      <c r="L822" s="389"/>
      <c r="M822" s="389"/>
      <c r="N822" s="389"/>
      <c r="O822" s="389"/>
      <c r="P822" s="389"/>
      <c r="Q822" s="389"/>
      <c r="R822" s="389"/>
      <c r="S822" s="389"/>
      <c r="T822" s="389"/>
      <c r="U822" s="389"/>
      <c r="V822" s="389"/>
      <c r="W822" s="389"/>
      <c r="X822" s="389"/>
      <c r="Y822" s="389"/>
      <c r="Z822" s="389"/>
      <c r="AA822" s="389"/>
      <c r="AB822" s="389"/>
      <c r="AC822" s="389"/>
      <c r="AD822" s="389"/>
      <c r="AE822" s="389"/>
    </row>
    <row r="823" spans="1:31" ht="15.5" x14ac:dyDescent="0.35">
      <c r="A823" s="390"/>
      <c r="B823" s="389"/>
      <c r="C823" s="389"/>
      <c r="D823" s="389"/>
      <c r="E823" s="389"/>
      <c r="F823" s="389"/>
      <c r="G823" s="389"/>
      <c r="H823" s="389"/>
      <c r="I823" s="389"/>
      <c r="J823" s="389"/>
      <c r="K823" s="389"/>
      <c r="L823" s="389"/>
      <c r="M823" s="389"/>
      <c r="N823" s="389"/>
      <c r="O823" s="389"/>
      <c r="P823" s="389"/>
      <c r="Q823" s="389"/>
      <c r="R823" s="389"/>
      <c r="S823" s="389"/>
      <c r="T823" s="389"/>
      <c r="U823" s="389"/>
      <c r="V823" s="389"/>
      <c r="W823" s="389"/>
      <c r="X823" s="389"/>
      <c r="Y823" s="389"/>
      <c r="Z823" s="389"/>
      <c r="AA823" s="389"/>
      <c r="AB823" s="389"/>
      <c r="AC823" s="389"/>
      <c r="AD823" s="389"/>
      <c r="AE823" s="389"/>
    </row>
    <row r="824" spans="1:31" ht="15.5" x14ac:dyDescent="0.35">
      <c r="A824" s="390"/>
      <c r="B824" s="389"/>
      <c r="C824" s="389"/>
      <c r="D824" s="389"/>
      <c r="E824" s="389"/>
      <c r="F824" s="389"/>
      <c r="G824" s="389"/>
      <c r="H824" s="389"/>
      <c r="I824" s="389"/>
      <c r="J824" s="389"/>
      <c r="K824" s="389"/>
      <c r="L824" s="389"/>
      <c r="M824" s="389"/>
      <c r="N824" s="389"/>
      <c r="O824" s="389"/>
      <c r="P824" s="389"/>
      <c r="Q824" s="389"/>
      <c r="R824" s="389"/>
      <c r="S824" s="389"/>
      <c r="T824" s="389"/>
      <c r="U824" s="389"/>
      <c r="V824" s="389"/>
      <c r="W824" s="389"/>
      <c r="X824" s="389"/>
      <c r="Y824" s="389"/>
      <c r="Z824" s="389"/>
      <c r="AA824" s="389"/>
      <c r="AB824" s="389"/>
      <c r="AC824" s="389"/>
      <c r="AD824" s="389"/>
      <c r="AE824" s="389"/>
    </row>
    <row r="825" spans="1:31" ht="15.5" x14ac:dyDescent="0.35">
      <c r="A825" s="390"/>
      <c r="B825" s="389"/>
      <c r="C825" s="389"/>
      <c r="D825" s="389"/>
      <c r="E825" s="389"/>
      <c r="F825" s="389"/>
      <c r="G825" s="389"/>
      <c r="H825" s="389"/>
      <c r="I825" s="389"/>
      <c r="J825" s="389"/>
      <c r="K825" s="389"/>
      <c r="L825" s="389"/>
      <c r="M825" s="389"/>
      <c r="N825" s="389"/>
      <c r="O825" s="389"/>
      <c r="P825" s="389"/>
      <c r="Q825" s="389"/>
      <c r="R825" s="389"/>
      <c r="S825" s="389"/>
      <c r="T825" s="389"/>
      <c r="U825" s="389"/>
      <c r="V825" s="389"/>
      <c r="W825" s="389"/>
      <c r="X825" s="389"/>
      <c r="Y825" s="389"/>
      <c r="Z825" s="389"/>
      <c r="AA825" s="389"/>
      <c r="AB825" s="389"/>
      <c r="AC825" s="389"/>
      <c r="AD825" s="389"/>
      <c r="AE825" s="389"/>
    </row>
    <row r="826" spans="1:31" ht="15.5" x14ac:dyDescent="0.35">
      <c r="A826" s="390"/>
      <c r="B826" s="389"/>
      <c r="C826" s="389"/>
      <c r="D826" s="389"/>
      <c r="E826" s="389"/>
      <c r="F826" s="389"/>
      <c r="G826" s="389"/>
      <c r="H826" s="389"/>
      <c r="I826" s="389"/>
      <c r="J826" s="389"/>
      <c r="K826" s="389"/>
      <c r="L826" s="389"/>
      <c r="M826" s="389"/>
      <c r="N826" s="389"/>
      <c r="O826" s="389"/>
      <c r="P826" s="389"/>
      <c r="Q826" s="389"/>
      <c r="R826" s="389"/>
      <c r="S826" s="389"/>
      <c r="T826" s="389"/>
      <c r="U826" s="389"/>
      <c r="V826" s="389"/>
      <c r="W826" s="389"/>
      <c r="X826" s="389"/>
      <c r="Y826" s="389"/>
      <c r="Z826" s="389"/>
      <c r="AA826" s="389"/>
      <c r="AB826" s="389"/>
      <c r="AC826" s="389"/>
      <c r="AD826" s="389"/>
      <c r="AE826" s="389"/>
    </row>
    <row r="827" spans="1:31" ht="15.5" x14ac:dyDescent="0.35">
      <c r="A827" s="390"/>
      <c r="B827" s="389"/>
      <c r="C827" s="389"/>
      <c r="D827" s="389"/>
      <c r="E827" s="389"/>
      <c r="F827" s="389"/>
      <c r="G827" s="389"/>
      <c r="H827" s="389"/>
      <c r="I827" s="389"/>
      <c r="J827" s="389"/>
      <c r="K827" s="389"/>
      <c r="L827" s="389"/>
      <c r="M827" s="389"/>
      <c r="N827" s="389"/>
      <c r="O827" s="389"/>
      <c r="P827" s="389"/>
      <c r="Q827" s="389"/>
      <c r="R827" s="389"/>
      <c r="S827" s="389"/>
      <c r="T827" s="389"/>
      <c r="U827" s="389"/>
      <c r="V827" s="389"/>
      <c r="W827" s="389"/>
      <c r="X827" s="389"/>
      <c r="Y827" s="389"/>
      <c r="Z827" s="389"/>
      <c r="AA827" s="389"/>
      <c r="AB827" s="389"/>
      <c r="AC827" s="389"/>
      <c r="AD827" s="389"/>
      <c r="AE827" s="389"/>
    </row>
    <row r="828" spans="1:31" ht="15.5" x14ac:dyDescent="0.35">
      <c r="A828" s="390"/>
      <c r="B828" s="389"/>
      <c r="C828" s="389"/>
      <c r="D828" s="389"/>
      <c r="E828" s="389"/>
      <c r="F828" s="389"/>
      <c r="G828" s="389"/>
      <c r="H828" s="389"/>
      <c r="I828" s="389"/>
      <c r="J828" s="389"/>
      <c r="K828" s="389"/>
      <c r="L828" s="389"/>
      <c r="M828" s="389"/>
      <c r="N828" s="389"/>
      <c r="O828" s="389"/>
      <c r="P828" s="389"/>
      <c r="Q828" s="389"/>
      <c r="R828" s="389"/>
      <c r="S828" s="389"/>
      <c r="T828" s="389"/>
      <c r="U828" s="389"/>
      <c r="V828" s="389"/>
      <c r="W828" s="389"/>
      <c r="X828" s="389"/>
      <c r="Y828" s="389"/>
      <c r="Z828" s="389"/>
      <c r="AA828" s="389"/>
      <c r="AB828" s="389"/>
      <c r="AC828" s="389"/>
      <c r="AD828" s="389"/>
      <c r="AE828" s="389"/>
    </row>
    <row r="829" spans="1:31" ht="15.5" x14ac:dyDescent="0.35">
      <c r="A829" s="390"/>
      <c r="B829" s="389"/>
      <c r="C829" s="389"/>
      <c r="D829" s="389"/>
      <c r="E829" s="389"/>
      <c r="F829" s="389"/>
      <c r="G829" s="389"/>
      <c r="H829" s="389"/>
      <c r="I829" s="389"/>
      <c r="J829" s="389"/>
      <c r="K829" s="389"/>
      <c r="L829" s="389"/>
      <c r="M829" s="389"/>
      <c r="N829" s="389"/>
      <c r="O829" s="389"/>
      <c r="P829" s="389"/>
      <c r="Q829" s="389"/>
      <c r="R829" s="389"/>
      <c r="S829" s="389"/>
      <c r="T829" s="389"/>
      <c r="U829" s="389"/>
      <c r="V829" s="389"/>
      <c r="W829" s="389"/>
      <c r="X829" s="389"/>
      <c r="Y829" s="389"/>
      <c r="Z829" s="389"/>
      <c r="AA829" s="389"/>
      <c r="AB829" s="389"/>
      <c r="AC829" s="389"/>
      <c r="AD829" s="389"/>
      <c r="AE829" s="389"/>
    </row>
    <row r="830" spans="1:31" ht="15.5" x14ac:dyDescent="0.35">
      <c r="A830" s="390"/>
      <c r="B830" s="389"/>
      <c r="C830" s="389"/>
      <c r="D830" s="389"/>
      <c r="E830" s="389"/>
      <c r="F830" s="389"/>
      <c r="G830" s="389"/>
      <c r="H830" s="389"/>
      <c r="I830" s="389"/>
      <c r="J830" s="389"/>
      <c r="K830" s="389"/>
      <c r="L830" s="389"/>
      <c r="M830" s="389"/>
      <c r="N830" s="389"/>
      <c r="O830" s="389"/>
      <c r="P830" s="389"/>
      <c r="Q830" s="389"/>
      <c r="R830" s="389"/>
      <c r="S830" s="389"/>
      <c r="T830" s="389"/>
      <c r="U830" s="389"/>
      <c r="V830" s="389"/>
      <c r="W830" s="389"/>
      <c r="X830" s="389"/>
      <c r="Y830" s="389"/>
      <c r="Z830" s="389"/>
      <c r="AA830" s="389"/>
      <c r="AB830" s="389"/>
      <c r="AC830" s="389"/>
      <c r="AD830" s="389"/>
      <c r="AE830" s="389"/>
    </row>
    <row r="831" spans="1:31" ht="15.5" x14ac:dyDescent="0.35">
      <c r="A831" s="390"/>
      <c r="B831" s="389"/>
      <c r="C831" s="389"/>
      <c r="D831" s="389"/>
      <c r="E831" s="389"/>
      <c r="F831" s="389"/>
      <c r="G831" s="389"/>
      <c r="H831" s="389"/>
      <c r="I831" s="389"/>
      <c r="J831" s="389"/>
      <c r="K831" s="389"/>
      <c r="L831" s="389"/>
      <c r="M831" s="389"/>
      <c r="N831" s="389"/>
      <c r="O831" s="389"/>
      <c r="P831" s="389"/>
      <c r="Q831" s="389"/>
      <c r="R831" s="389"/>
      <c r="S831" s="389"/>
      <c r="T831" s="389"/>
      <c r="U831" s="389"/>
      <c r="V831" s="389"/>
      <c r="W831" s="389"/>
      <c r="X831" s="389"/>
      <c r="Y831" s="389"/>
      <c r="Z831" s="389"/>
      <c r="AA831" s="389"/>
      <c r="AB831" s="389"/>
      <c r="AC831" s="389"/>
      <c r="AD831" s="389"/>
      <c r="AE831" s="389"/>
    </row>
    <row r="832" spans="1:31" ht="15.5" x14ac:dyDescent="0.35">
      <c r="A832" s="390"/>
      <c r="B832" s="389"/>
      <c r="C832" s="389"/>
      <c r="D832" s="389"/>
      <c r="E832" s="389"/>
      <c r="F832" s="389"/>
      <c r="G832" s="389"/>
      <c r="H832" s="389"/>
      <c r="I832" s="389"/>
      <c r="J832" s="389"/>
      <c r="K832" s="389"/>
      <c r="L832" s="389"/>
      <c r="M832" s="389"/>
      <c r="N832" s="389"/>
      <c r="O832" s="389"/>
      <c r="P832" s="389"/>
      <c r="Q832" s="389"/>
      <c r="R832" s="389"/>
      <c r="S832" s="389"/>
      <c r="T832" s="389"/>
      <c r="U832" s="389"/>
      <c r="V832" s="389"/>
      <c r="W832" s="389"/>
      <c r="X832" s="389"/>
      <c r="Y832" s="389"/>
      <c r="Z832" s="389"/>
      <c r="AA832" s="389"/>
      <c r="AB832" s="389"/>
      <c r="AC832" s="389"/>
      <c r="AD832" s="389"/>
      <c r="AE832" s="389"/>
    </row>
    <row r="833" spans="1:31" ht="15.5" x14ac:dyDescent="0.35">
      <c r="A833" s="390"/>
      <c r="B833" s="389"/>
      <c r="C833" s="389"/>
      <c r="D833" s="389"/>
      <c r="E833" s="389"/>
      <c r="F833" s="389"/>
      <c r="G833" s="389"/>
      <c r="H833" s="389"/>
      <c r="I833" s="389"/>
      <c r="J833" s="389"/>
      <c r="K833" s="389"/>
      <c r="L833" s="389"/>
      <c r="M833" s="389"/>
      <c r="N833" s="389"/>
      <c r="O833" s="389"/>
      <c r="P833" s="389"/>
      <c r="Q833" s="389"/>
      <c r="R833" s="389"/>
      <c r="S833" s="389"/>
      <c r="T833" s="389"/>
      <c r="U833" s="389"/>
      <c r="V833" s="389"/>
      <c r="W833" s="389"/>
      <c r="X833" s="389"/>
      <c r="Y833" s="389"/>
      <c r="Z833" s="389"/>
      <c r="AA833" s="389"/>
      <c r="AB833" s="389"/>
      <c r="AC833" s="389"/>
      <c r="AD833" s="389"/>
      <c r="AE833" s="389"/>
    </row>
    <row r="834" spans="1:31" ht="15.5" x14ac:dyDescent="0.35">
      <c r="A834" s="390"/>
      <c r="B834" s="389"/>
      <c r="C834" s="389"/>
      <c r="D834" s="389"/>
      <c r="E834" s="389"/>
      <c r="F834" s="389"/>
      <c r="G834" s="389"/>
      <c r="H834" s="389"/>
      <c r="I834" s="389"/>
      <c r="J834" s="389"/>
      <c r="K834" s="389"/>
      <c r="L834" s="389"/>
      <c r="M834" s="389"/>
      <c r="N834" s="389"/>
      <c r="O834" s="389"/>
      <c r="P834" s="389"/>
      <c r="Q834" s="389"/>
      <c r="R834" s="389"/>
      <c r="S834" s="389"/>
      <c r="T834" s="389"/>
      <c r="U834" s="389"/>
      <c r="V834" s="389"/>
      <c r="W834" s="389"/>
      <c r="X834" s="389"/>
      <c r="Y834" s="389"/>
      <c r="Z834" s="389"/>
      <c r="AA834" s="389"/>
      <c r="AB834" s="389"/>
      <c r="AC834" s="389"/>
      <c r="AD834" s="389"/>
      <c r="AE834" s="389"/>
    </row>
    <row r="835" spans="1:31" ht="15.5" x14ac:dyDescent="0.35">
      <c r="A835" s="390"/>
      <c r="B835" s="389"/>
      <c r="C835" s="389"/>
      <c r="D835" s="389"/>
      <c r="E835" s="389"/>
      <c r="F835" s="389"/>
      <c r="G835" s="389"/>
      <c r="H835" s="389"/>
      <c r="I835" s="389"/>
      <c r="J835" s="389"/>
      <c r="K835" s="389"/>
      <c r="L835" s="389"/>
      <c r="M835" s="389"/>
      <c r="N835" s="389"/>
      <c r="O835" s="389"/>
      <c r="P835" s="389"/>
      <c r="Q835" s="389"/>
      <c r="R835" s="389"/>
      <c r="S835" s="389"/>
      <c r="T835" s="389"/>
      <c r="U835" s="389"/>
      <c r="V835" s="389"/>
      <c r="W835" s="389"/>
      <c r="X835" s="389"/>
      <c r="Y835" s="389"/>
      <c r="Z835" s="389"/>
      <c r="AA835" s="389"/>
      <c r="AB835" s="389"/>
      <c r="AC835" s="389"/>
      <c r="AD835" s="389"/>
      <c r="AE835" s="389"/>
    </row>
    <row r="836" spans="1:31" ht="15.5" x14ac:dyDescent="0.35">
      <c r="A836" s="390"/>
      <c r="B836" s="389"/>
      <c r="C836" s="389"/>
      <c r="D836" s="389"/>
      <c r="E836" s="389"/>
      <c r="F836" s="389"/>
      <c r="G836" s="389"/>
      <c r="H836" s="389"/>
      <c r="I836" s="389"/>
      <c r="J836" s="389"/>
      <c r="K836" s="389"/>
      <c r="L836" s="389"/>
      <c r="M836" s="389"/>
      <c r="N836" s="389"/>
      <c r="O836" s="389"/>
      <c r="P836" s="389"/>
      <c r="Q836" s="389"/>
      <c r="R836" s="389"/>
      <c r="S836" s="389"/>
      <c r="T836" s="389"/>
      <c r="U836" s="389"/>
      <c r="V836" s="389"/>
      <c r="W836" s="389"/>
      <c r="X836" s="389"/>
      <c r="Y836" s="389"/>
      <c r="Z836" s="389"/>
      <c r="AA836" s="389"/>
      <c r="AB836" s="389"/>
      <c r="AC836" s="389"/>
      <c r="AD836" s="389"/>
      <c r="AE836" s="389"/>
    </row>
    <row r="837" spans="1:31" ht="15.5" x14ac:dyDescent="0.35">
      <c r="A837" s="390"/>
      <c r="B837" s="389"/>
      <c r="C837" s="389"/>
      <c r="D837" s="389"/>
      <c r="E837" s="389"/>
      <c r="F837" s="389"/>
      <c r="G837" s="389"/>
      <c r="H837" s="389"/>
      <c r="I837" s="389"/>
      <c r="J837" s="389"/>
      <c r="K837" s="389"/>
      <c r="L837" s="389"/>
      <c r="M837" s="389"/>
      <c r="N837" s="389"/>
      <c r="O837" s="389"/>
      <c r="P837" s="389"/>
      <c r="Q837" s="389"/>
      <c r="R837" s="389"/>
      <c r="S837" s="389"/>
      <c r="T837" s="389"/>
      <c r="U837" s="389"/>
      <c r="V837" s="389"/>
      <c r="W837" s="389"/>
      <c r="X837" s="389"/>
      <c r="Y837" s="389"/>
      <c r="Z837" s="389"/>
      <c r="AA837" s="389"/>
      <c r="AB837" s="389"/>
      <c r="AC837" s="389"/>
      <c r="AD837" s="389"/>
      <c r="AE837" s="389"/>
    </row>
    <row r="838" spans="1:31" ht="15.5" x14ac:dyDescent="0.35">
      <c r="A838" s="390"/>
      <c r="B838" s="389"/>
      <c r="C838" s="389"/>
      <c r="D838" s="389"/>
      <c r="E838" s="389"/>
      <c r="F838" s="389"/>
      <c r="G838" s="389"/>
      <c r="H838" s="389"/>
      <c r="I838" s="389"/>
      <c r="J838" s="389"/>
      <c r="K838" s="389"/>
      <c r="L838" s="389"/>
      <c r="M838" s="389"/>
      <c r="N838" s="389"/>
      <c r="O838" s="389"/>
      <c r="P838" s="389"/>
      <c r="Q838" s="389"/>
      <c r="R838" s="389"/>
      <c r="S838" s="389"/>
      <c r="T838" s="389"/>
      <c r="U838" s="389"/>
      <c r="V838" s="389"/>
      <c r="W838" s="389"/>
      <c r="X838" s="389"/>
      <c r="Y838" s="389"/>
      <c r="Z838" s="389"/>
      <c r="AA838" s="389"/>
      <c r="AB838" s="389"/>
      <c r="AC838" s="389"/>
      <c r="AD838" s="389"/>
      <c r="AE838" s="389"/>
    </row>
    <row r="839" spans="1:31" ht="15.5" x14ac:dyDescent="0.35">
      <c r="A839" s="390"/>
      <c r="B839" s="389"/>
      <c r="C839" s="389"/>
      <c r="D839" s="389"/>
      <c r="E839" s="389"/>
      <c r="F839" s="389"/>
      <c r="G839" s="389"/>
      <c r="H839" s="389"/>
      <c r="I839" s="389"/>
      <c r="J839" s="389"/>
      <c r="K839" s="389"/>
      <c r="L839" s="389"/>
      <c r="M839" s="389"/>
      <c r="N839" s="389"/>
      <c r="O839" s="389"/>
      <c r="P839" s="389"/>
      <c r="Q839" s="389"/>
      <c r="R839" s="389"/>
      <c r="S839" s="389"/>
      <c r="T839" s="389"/>
      <c r="U839" s="389"/>
      <c r="V839" s="389"/>
      <c r="W839" s="389"/>
      <c r="X839" s="389"/>
      <c r="Y839" s="389"/>
      <c r="Z839" s="389"/>
      <c r="AA839" s="389"/>
      <c r="AB839" s="389"/>
      <c r="AC839" s="389"/>
      <c r="AD839" s="389"/>
      <c r="AE839" s="389"/>
    </row>
    <row r="840" spans="1:31" ht="15.5" x14ac:dyDescent="0.35">
      <c r="A840" s="390"/>
      <c r="B840" s="389"/>
      <c r="C840" s="389"/>
      <c r="D840" s="389"/>
      <c r="E840" s="389"/>
      <c r="F840" s="389"/>
      <c r="G840" s="389"/>
      <c r="H840" s="389"/>
      <c r="I840" s="389"/>
      <c r="J840" s="389"/>
      <c r="K840" s="389"/>
      <c r="L840" s="389"/>
      <c r="M840" s="389"/>
      <c r="N840" s="389"/>
      <c r="O840" s="389"/>
      <c r="P840" s="389"/>
      <c r="Q840" s="389"/>
      <c r="R840" s="389"/>
      <c r="S840" s="389"/>
      <c r="T840" s="389"/>
      <c r="U840" s="389"/>
      <c r="V840" s="389"/>
      <c r="W840" s="389"/>
      <c r="X840" s="389"/>
      <c r="Y840" s="389"/>
      <c r="Z840" s="389"/>
      <c r="AA840" s="389"/>
      <c r="AB840" s="389"/>
      <c r="AC840" s="389"/>
      <c r="AD840" s="389"/>
      <c r="AE840" s="389"/>
    </row>
    <row r="841" spans="1:31" ht="15.5" x14ac:dyDescent="0.35">
      <c r="A841" s="390"/>
      <c r="B841" s="389"/>
      <c r="C841" s="389"/>
      <c r="D841" s="389"/>
      <c r="E841" s="389"/>
      <c r="F841" s="389"/>
      <c r="G841" s="389"/>
      <c r="H841" s="389"/>
      <c r="I841" s="389"/>
      <c r="J841" s="389"/>
      <c r="K841" s="389"/>
      <c r="L841" s="389"/>
      <c r="M841" s="389"/>
      <c r="N841" s="389"/>
      <c r="O841" s="389"/>
      <c r="P841" s="389"/>
      <c r="Q841" s="389"/>
      <c r="R841" s="389"/>
      <c r="S841" s="389"/>
      <c r="T841" s="389"/>
      <c r="U841" s="389"/>
      <c r="V841" s="389"/>
      <c r="W841" s="389"/>
      <c r="X841" s="389"/>
      <c r="Y841" s="389"/>
      <c r="Z841" s="389"/>
      <c r="AA841" s="389"/>
      <c r="AB841" s="389"/>
      <c r="AC841" s="389"/>
      <c r="AD841" s="389"/>
      <c r="AE841" s="389"/>
    </row>
    <row r="842" spans="1:31" ht="15.5" x14ac:dyDescent="0.35">
      <c r="A842" s="390"/>
      <c r="B842" s="389"/>
      <c r="C842" s="389"/>
      <c r="D842" s="389"/>
      <c r="E842" s="389"/>
      <c r="F842" s="389"/>
      <c r="G842" s="389"/>
      <c r="H842" s="389"/>
      <c r="I842" s="389"/>
      <c r="J842" s="389"/>
      <c r="K842" s="389"/>
      <c r="L842" s="389"/>
      <c r="M842" s="389"/>
      <c r="N842" s="389"/>
      <c r="O842" s="389"/>
      <c r="P842" s="389"/>
      <c r="Q842" s="389"/>
      <c r="R842" s="389"/>
      <c r="S842" s="389"/>
      <c r="T842" s="389"/>
      <c r="U842" s="389"/>
      <c r="V842" s="389"/>
      <c r="W842" s="389"/>
      <c r="X842" s="389"/>
      <c r="Y842" s="389"/>
      <c r="Z842" s="389"/>
      <c r="AA842" s="389"/>
      <c r="AB842" s="389"/>
      <c r="AC842" s="389"/>
      <c r="AD842" s="389"/>
      <c r="AE842" s="389"/>
    </row>
    <row r="843" spans="1:31" ht="15.5" x14ac:dyDescent="0.35">
      <c r="A843" s="390"/>
      <c r="B843" s="389"/>
      <c r="C843" s="389"/>
      <c r="D843" s="389"/>
      <c r="E843" s="389"/>
      <c r="F843" s="389"/>
      <c r="G843" s="389"/>
      <c r="H843" s="389"/>
      <c r="I843" s="389"/>
      <c r="J843" s="389"/>
      <c r="K843" s="389"/>
      <c r="L843" s="389"/>
      <c r="M843" s="389"/>
      <c r="N843" s="389"/>
      <c r="O843" s="389"/>
      <c r="P843" s="389"/>
      <c r="Q843" s="389"/>
      <c r="R843" s="389"/>
      <c r="S843" s="389"/>
      <c r="T843" s="389"/>
      <c r="U843" s="389"/>
      <c r="V843" s="389"/>
      <c r="W843" s="389"/>
      <c r="X843" s="389"/>
      <c r="Y843" s="389"/>
      <c r="Z843" s="389"/>
      <c r="AA843" s="389"/>
      <c r="AB843" s="389"/>
      <c r="AC843" s="389"/>
      <c r="AD843" s="389"/>
      <c r="AE843" s="389"/>
    </row>
    <row r="844" spans="1:31" ht="15.5" x14ac:dyDescent="0.35">
      <c r="A844" s="390"/>
      <c r="B844" s="389"/>
      <c r="C844" s="389"/>
      <c r="D844" s="389"/>
      <c r="E844" s="389"/>
      <c r="F844" s="389"/>
      <c r="G844" s="389"/>
      <c r="H844" s="389"/>
      <c r="I844" s="389"/>
      <c r="J844" s="389"/>
      <c r="K844" s="389"/>
      <c r="L844" s="389"/>
      <c r="M844" s="389"/>
      <c r="N844" s="389"/>
      <c r="O844" s="389"/>
      <c r="P844" s="389"/>
      <c r="Q844" s="389"/>
      <c r="R844" s="389"/>
      <c r="S844" s="389"/>
      <c r="T844" s="389"/>
      <c r="U844" s="389"/>
      <c r="V844" s="389"/>
      <c r="W844" s="389"/>
      <c r="X844" s="389"/>
      <c r="Y844" s="389"/>
      <c r="Z844" s="389"/>
      <c r="AA844" s="389"/>
      <c r="AB844" s="389"/>
      <c r="AC844" s="389"/>
      <c r="AD844" s="389"/>
      <c r="AE844" s="389"/>
    </row>
    <row r="845" spans="1:31" ht="15.5" x14ac:dyDescent="0.35">
      <c r="A845" s="390"/>
      <c r="B845" s="389"/>
      <c r="C845" s="389"/>
      <c r="D845" s="389"/>
      <c r="E845" s="389"/>
      <c r="F845" s="389"/>
      <c r="G845" s="389"/>
      <c r="H845" s="389"/>
      <c r="I845" s="389"/>
      <c r="J845" s="389"/>
      <c r="K845" s="389"/>
      <c r="L845" s="389"/>
      <c r="M845" s="389"/>
      <c r="N845" s="389"/>
      <c r="O845" s="389"/>
      <c r="P845" s="389"/>
      <c r="Q845" s="389"/>
      <c r="R845" s="389"/>
      <c r="S845" s="389"/>
      <c r="T845" s="389"/>
      <c r="U845" s="389"/>
      <c r="V845" s="389"/>
      <c r="W845" s="389"/>
      <c r="X845" s="389"/>
      <c r="Y845" s="389"/>
      <c r="Z845" s="389"/>
      <c r="AA845" s="389"/>
      <c r="AB845" s="389"/>
      <c r="AC845" s="389"/>
      <c r="AD845" s="389"/>
      <c r="AE845" s="389"/>
    </row>
    <row r="846" spans="1:31" ht="15.5" x14ac:dyDescent="0.35">
      <c r="A846" s="390"/>
      <c r="B846" s="389"/>
      <c r="C846" s="389"/>
      <c r="D846" s="389"/>
      <c r="E846" s="389"/>
      <c r="F846" s="389"/>
      <c r="G846" s="389"/>
      <c r="H846" s="389"/>
      <c r="I846" s="389"/>
      <c r="J846" s="389"/>
      <c r="K846" s="389"/>
      <c r="L846" s="389"/>
      <c r="M846" s="389"/>
      <c r="N846" s="389"/>
      <c r="O846" s="389"/>
      <c r="P846" s="389"/>
      <c r="Q846" s="389"/>
      <c r="R846" s="389"/>
      <c r="S846" s="389"/>
      <c r="T846" s="389"/>
      <c r="U846" s="389"/>
      <c r="V846" s="389"/>
      <c r="W846" s="389"/>
      <c r="X846" s="389"/>
      <c r="Y846" s="389"/>
      <c r="Z846" s="389"/>
      <c r="AA846" s="389"/>
      <c r="AB846" s="389"/>
      <c r="AC846" s="389"/>
      <c r="AD846" s="389"/>
      <c r="AE846" s="389"/>
    </row>
    <row r="847" spans="1:31" ht="15.5" x14ac:dyDescent="0.35">
      <c r="A847" s="390"/>
      <c r="B847" s="389"/>
      <c r="C847" s="389"/>
      <c r="D847" s="389"/>
      <c r="E847" s="389"/>
      <c r="F847" s="389"/>
      <c r="G847" s="389"/>
      <c r="H847" s="389"/>
      <c r="I847" s="389"/>
      <c r="J847" s="389"/>
      <c r="K847" s="389"/>
      <c r="L847" s="389"/>
      <c r="M847" s="389"/>
      <c r="N847" s="389"/>
      <c r="O847" s="389"/>
      <c r="P847" s="389"/>
      <c r="Q847" s="389"/>
      <c r="R847" s="389"/>
      <c r="S847" s="389"/>
      <c r="T847" s="389"/>
      <c r="U847" s="389"/>
      <c r="V847" s="389"/>
      <c r="W847" s="389"/>
      <c r="X847" s="389"/>
      <c r="Y847" s="389"/>
      <c r="Z847" s="389"/>
      <c r="AA847" s="389"/>
      <c r="AB847" s="389"/>
      <c r="AC847" s="389"/>
      <c r="AD847" s="389"/>
      <c r="AE847" s="389"/>
    </row>
    <row r="848" spans="1:31" ht="15.5" x14ac:dyDescent="0.35">
      <c r="A848" s="390"/>
      <c r="B848" s="389"/>
      <c r="C848" s="389"/>
      <c r="D848" s="389"/>
      <c r="E848" s="389"/>
      <c r="F848" s="389"/>
      <c r="G848" s="389"/>
      <c r="H848" s="389"/>
      <c r="I848" s="389"/>
      <c r="J848" s="389"/>
      <c r="K848" s="389"/>
      <c r="L848" s="389"/>
      <c r="M848" s="389"/>
      <c r="N848" s="389"/>
      <c r="O848" s="389"/>
      <c r="P848" s="389"/>
      <c r="Q848" s="389"/>
      <c r="R848" s="389"/>
      <c r="S848" s="389"/>
      <c r="T848" s="389"/>
      <c r="U848" s="389"/>
      <c r="V848" s="389"/>
      <c r="W848" s="389"/>
      <c r="X848" s="389"/>
      <c r="Y848" s="389"/>
      <c r="Z848" s="389"/>
      <c r="AA848" s="389"/>
      <c r="AB848" s="389"/>
      <c r="AC848" s="389"/>
      <c r="AD848" s="389"/>
      <c r="AE848" s="389"/>
    </row>
    <row r="849" spans="1:31" ht="15.5" x14ac:dyDescent="0.35">
      <c r="A849" s="390"/>
      <c r="B849" s="389"/>
      <c r="C849" s="389"/>
      <c r="D849" s="389"/>
      <c r="E849" s="389"/>
      <c r="F849" s="389"/>
      <c r="G849" s="389"/>
      <c r="H849" s="389"/>
      <c r="I849" s="389"/>
      <c r="J849" s="389"/>
      <c r="K849" s="389"/>
      <c r="L849" s="389"/>
      <c r="M849" s="389"/>
      <c r="N849" s="389"/>
      <c r="O849" s="389"/>
      <c r="P849" s="389"/>
      <c r="Q849" s="389"/>
      <c r="R849" s="389"/>
      <c r="S849" s="389"/>
      <c r="T849" s="389"/>
      <c r="U849" s="389"/>
      <c r="V849" s="389"/>
      <c r="W849" s="389"/>
      <c r="X849" s="389"/>
      <c r="Y849" s="389"/>
      <c r="Z849" s="389"/>
      <c r="AA849" s="389"/>
      <c r="AB849" s="389"/>
      <c r="AC849" s="389"/>
      <c r="AD849" s="389"/>
      <c r="AE849" s="389"/>
    </row>
    <row r="850" spans="1:31" ht="15.5" x14ac:dyDescent="0.35">
      <c r="A850" s="390"/>
      <c r="B850" s="389"/>
      <c r="C850" s="389"/>
      <c r="D850" s="389"/>
      <c r="E850" s="389"/>
      <c r="F850" s="389"/>
      <c r="G850" s="389"/>
      <c r="H850" s="389"/>
      <c r="I850" s="389"/>
      <c r="J850" s="389"/>
      <c r="K850" s="389"/>
      <c r="L850" s="389"/>
      <c r="M850" s="389"/>
      <c r="N850" s="389"/>
      <c r="O850" s="389"/>
      <c r="P850" s="389"/>
      <c r="Q850" s="389"/>
      <c r="R850" s="389"/>
      <c r="S850" s="389"/>
      <c r="T850" s="389"/>
      <c r="U850" s="389"/>
      <c r="V850" s="389"/>
      <c r="W850" s="389"/>
      <c r="X850" s="389"/>
      <c r="Y850" s="389"/>
      <c r="Z850" s="389"/>
      <c r="AA850" s="389"/>
      <c r="AB850" s="389"/>
      <c r="AC850" s="389"/>
      <c r="AD850" s="389"/>
      <c r="AE850" s="389"/>
    </row>
    <row r="851" spans="1:31" ht="15.5" x14ac:dyDescent="0.35">
      <c r="A851" s="390"/>
      <c r="B851" s="389"/>
      <c r="C851" s="389"/>
      <c r="D851" s="389"/>
      <c r="E851" s="389"/>
      <c r="F851" s="389"/>
      <c r="G851" s="389"/>
      <c r="H851" s="389"/>
      <c r="I851" s="389"/>
      <c r="J851" s="389"/>
      <c r="K851" s="389"/>
      <c r="L851" s="389"/>
      <c r="M851" s="389"/>
      <c r="N851" s="389"/>
      <c r="O851" s="389"/>
      <c r="P851" s="389"/>
      <c r="Q851" s="389"/>
      <c r="R851" s="389"/>
      <c r="S851" s="389"/>
      <c r="T851" s="389"/>
      <c r="U851" s="389"/>
      <c r="V851" s="389"/>
      <c r="W851" s="389"/>
      <c r="X851" s="389"/>
      <c r="Y851" s="389"/>
      <c r="Z851" s="389"/>
      <c r="AA851" s="389"/>
      <c r="AB851" s="389"/>
      <c r="AC851" s="389"/>
      <c r="AD851" s="389"/>
      <c r="AE851" s="389"/>
    </row>
    <row r="852" spans="1:31" ht="15.5" x14ac:dyDescent="0.35">
      <c r="A852" s="390"/>
      <c r="B852" s="389"/>
      <c r="C852" s="389"/>
      <c r="D852" s="389"/>
      <c r="E852" s="389"/>
      <c r="F852" s="389"/>
      <c r="G852" s="389"/>
      <c r="H852" s="389"/>
      <c r="I852" s="389"/>
      <c r="J852" s="389"/>
      <c r="K852" s="389"/>
      <c r="L852" s="389"/>
      <c r="M852" s="389"/>
      <c r="N852" s="389"/>
      <c r="O852" s="389"/>
      <c r="P852" s="389"/>
      <c r="Q852" s="389"/>
      <c r="R852" s="389"/>
      <c r="S852" s="389"/>
      <c r="T852" s="389"/>
      <c r="U852" s="389"/>
      <c r="V852" s="389"/>
      <c r="W852" s="389"/>
      <c r="X852" s="389"/>
      <c r="Y852" s="389"/>
      <c r="Z852" s="389"/>
      <c r="AA852" s="389"/>
      <c r="AB852" s="389"/>
      <c r="AC852" s="389"/>
      <c r="AD852" s="389"/>
      <c r="AE852" s="389"/>
    </row>
    <row r="853" spans="1:31" ht="15.5" x14ac:dyDescent="0.35">
      <c r="A853" s="390"/>
      <c r="B853" s="389"/>
      <c r="C853" s="389"/>
      <c r="D853" s="389"/>
      <c r="E853" s="389"/>
      <c r="F853" s="389"/>
      <c r="G853" s="389"/>
      <c r="H853" s="389"/>
      <c r="I853" s="389"/>
      <c r="J853" s="389"/>
      <c r="K853" s="389"/>
      <c r="L853" s="389"/>
      <c r="M853" s="389"/>
      <c r="N853" s="389"/>
      <c r="O853" s="389"/>
      <c r="P853" s="389"/>
      <c r="Q853" s="389"/>
      <c r="R853" s="389"/>
      <c r="S853" s="389"/>
      <c r="T853" s="389"/>
      <c r="U853" s="389"/>
      <c r="V853" s="389"/>
      <c r="W853" s="389"/>
      <c r="X853" s="389"/>
      <c r="Y853" s="389"/>
      <c r="Z853" s="389"/>
      <c r="AA853" s="389"/>
      <c r="AB853" s="389"/>
      <c r="AC853" s="389"/>
      <c r="AD853" s="389"/>
      <c r="AE853" s="389"/>
    </row>
    <row r="854" spans="1:31" ht="15.5" x14ac:dyDescent="0.35">
      <c r="A854" s="390"/>
      <c r="B854" s="389"/>
      <c r="C854" s="389"/>
      <c r="D854" s="389"/>
      <c r="E854" s="389"/>
      <c r="F854" s="389"/>
      <c r="G854" s="389"/>
      <c r="H854" s="389"/>
      <c r="I854" s="389"/>
      <c r="J854" s="389"/>
      <c r="K854" s="389"/>
      <c r="L854" s="389"/>
      <c r="M854" s="389"/>
      <c r="N854" s="389"/>
      <c r="O854" s="389"/>
      <c r="P854" s="389"/>
      <c r="Q854" s="389"/>
      <c r="R854" s="389"/>
      <c r="S854" s="389"/>
      <c r="T854" s="389"/>
      <c r="U854" s="389"/>
      <c r="V854" s="389"/>
      <c r="W854" s="389"/>
      <c r="X854" s="389"/>
      <c r="Y854" s="389"/>
      <c r="Z854" s="389"/>
      <c r="AA854" s="389"/>
      <c r="AB854" s="389"/>
      <c r="AC854" s="389"/>
      <c r="AD854" s="389"/>
      <c r="AE854" s="389"/>
    </row>
    <row r="855" spans="1:31" ht="15.5" x14ac:dyDescent="0.35">
      <c r="A855" s="390"/>
      <c r="B855" s="389"/>
      <c r="C855" s="389"/>
      <c r="D855" s="389"/>
      <c r="E855" s="389"/>
      <c r="F855" s="389"/>
      <c r="G855" s="389"/>
      <c r="H855" s="389"/>
      <c r="I855" s="389"/>
      <c r="J855" s="389"/>
      <c r="K855" s="389"/>
      <c r="L855" s="389"/>
      <c r="M855" s="389"/>
      <c r="N855" s="389"/>
      <c r="O855" s="389"/>
      <c r="P855" s="389"/>
      <c r="Q855" s="389"/>
      <c r="R855" s="389"/>
      <c r="S855" s="389"/>
      <c r="T855" s="389"/>
      <c r="U855" s="389"/>
      <c r="V855" s="389"/>
      <c r="W855" s="389"/>
      <c r="X855" s="389"/>
      <c r="Y855" s="389"/>
      <c r="Z855" s="389"/>
      <c r="AA855" s="389"/>
      <c r="AB855" s="389"/>
      <c r="AC855" s="389"/>
      <c r="AD855" s="389"/>
      <c r="AE855" s="389"/>
    </row>
    <row r="856" spans="1:31" ht="15.5" x14ac:dyDescent="0.35">
      <c r="A856" s="390"/>
      <c r="B856" s="389"/>
      <c r="C856" s="389"/>
      <c r="D856" s="389"/>
      <c r="E856" s="389"/>
      <c r="F856" s="389"/>
      <c r="G856" s="389"/>
      <c r="H856" s="389"/>
      <c r="I856" s="389"/>
      <c r="J856" s="389"/>
      <c r="K856" s="389"/>
      <c r="L856" s="389"/>
      <c r="M856" s="389"/>
      <c r="N856" s="389"/>
      <c r="O856" s="389"/>
      <c r="P856" s="389"/>
      <c r="Q856" s="389"/>
      <c r="R856" s="389"/>
      <c r="S856" s="389"/>
      <c r="T856" s="389"/>
      <c r="U856" s="389"/>
      <c r="V856" s="389"/>
      <c r="W856" s="389"/>
      <c r="X856" s="389"/>
      <c r="Y856" s="389"/>
      <c r="Z856" s="389"/>
      <c r="AA856" s="389"/>
      <c r="AB856" s="389"/>
      <c r="AC856" s="389"/>
      <c r="AD856" s="389"/>
      <c r="AE856" s="389"/>
    </row>
    <row r="857" spans="1:31" ht="15.5" x14ac:dyDescent="0.35">
      <c r="A857" s="390"/>
      <c r="B857" s="389"/>
      <c r="C857" s="389"/>
      <c r="D857" s="389"/>
      <c r="E857" s="389"/>
      <c r="F857" s="389"/>
      <c r="G857" s="389"/>
      <c r="H857" s="389"/>
      <c r="I857" s="389"/>
      <c r="J857" s="389"/>
      <c r="K857" s="389"/>
      <c r="L857" s="389"/>
      <c r="M857" s="389"/>
      <c r="N857" s="389"/>
      <c r="O857" s="389"/>
      <c r="P857" s="389"/>
      <c r="Q857" s="389"/>
      <c r="R857" s="389"/>
      <c r="S857" s="389"/>
      <c r="T857" s="389"/>
      <c r="U857" s="389"/>
      <c r="V857" s="389"/>
      <c r="W857" s="389"/>
      <c r="X857" s="389"/>
      <c r="Y857" s="389"/>
      <c r="Z857" s="389"/>
      <c r="AA857" s="389"/>
      <c r="AB857" s="389"/>
      <c r="AC857" s="389"/>
      <c r="AD857" s="389"/>
      <c r="AE857" s="389"/>
    </row>
    <row r="858" spans="1:31" ht="15.5" x14ac:dyDescent="0.35">
      <c r="A858" s="390"/>
      <c r="B858" s="389"/>
      <c r="C858" s="389"/>
      <c r="D858" s="389"/>
      <c r="E858" s="389"/>
      <c r="F858" s="389"/>
      <c r="G858" s="389"/>
      <c r="H858" s="389"/>
      <c r="I858" s="389"/>
      <c r="J858" s="389"/>
      <c r="K858" s="389"/>
      <c r="L858" s="389"/>
      <c r="M858" s="389"/>
      <c r="N858" s="389"/>
      <c r="O858" s="389"/>
      <c r="P858" s="389"/>
      <c r="Q858" s="389"/>
      <c r="R858" s="389"/>
      <c r="S858" s="389"/>
      <c r="T858" s="389"/>
      <c r="U858" s="389"/>
      <c r="V858" s="389"/>
      <c r="W858" s="389"/>
      <c r="X858" s="389"/>
      <c r="Y858" s="389"/>
      <c r="Z858" s="389"/>
      <c r="AA858" s="389"/>
      <c r="AB858" s="389"/>
      <c r="AC858" s="389"/>
      <c r="AD858" s="389"/>
      <c r="AE858" s="389"/>
    </row>
    <row r="859" spans="1:31" ht="15.5" x14ac:dyDescent="0.35">
      <c r="A859" s="390"/>
      <c r="B859" s="389"/>
      <c r="C859" s="389"/>
      <c r="D859" s="389"/>
      <c r="E859" s="389"/>
      <c r="F859" s="389"/>
      <c r="G859" s="389"/>
      <c r="H859" s="389"/>
      <c r="I859" s="389"/>
      <c r="J859" s="389"/>
      <c r="K859" s="389"/>
      <c r="L859" s="389"/>
      <c r="M859" s="389"/>
      <c r="N859" s="389"/>
      <c r="O859" s="389"/>
      <c r="P859" s="389"/>
      <c r="Q859" s="389"/>
      <c r="R859" s="389"/>
      <c r="S859" s="389"/>
      <c r="T859" s="389"/>
      <c r="U859" s="389"/>
      <c r="V859" s="389"/>
      <c r="W859" s="389"/>
      <c r="X859" s="389"/>
      <c r="Y859" s="389"/>
      <c r="Z859" s="389"/>
      <c r="AA859" s="389"/>
      <c r="AB859" s="389"/>
      <c r="AC859" s="389"/>
      <c r="AD859" s="389"/>
      <c r="AE859" s="389"/>
    </row>
    <row r="860" spans="1:31" ht="15.5" x14ac:dyDescent="0.35">
      <c r="A860" s="390"/>
      <c r="B860" s="389"/>
      <c r="C860" s="389"/>
      <c r="D860" s="389"/>
      <c r="E860" s="389"/>
      <c r="F860" s="389"/>
      <c r="G860" s="389"/>
      <c r="H860" s="389"/>
      <c r="I860" s="389"/>
      <c r="J860" s="389"/>
      <c r="K860" s="389"/>
      <c r="L860" s="389"/>
      <c r="M860" s="389"/>
      <c r="N860" s="389"/>
      <c r="O860" s="389"/>
      <c r="P860" s="389"/>
      <c r="Q860" s="389"/>
      <c r="R860" s="389"/>
      <c r="S860" s="389"/>
      <c r="T860" s="389"/>
      <c r="U860" s="389"/>
      <c r="V860" s="389"/>
      <c r="W860" s="389"/>
      <c r="X860" s="389"/>
      <c r="Y860" s="389"/>
      <c r="Z860" s="389"/>
      <c r="AA860" s="389"/>
      <c r="AB860" s="389"/>
      <c r="AC860" s="389"/>
      <c r="AD860" s="389"/>
      <c r="AE860" s="389"/>
    </row>
    <row r="861" spans="1:31" ht="15.5" x14ac:dyDescent="0.35">
      <c r="A861" s="390"/>
      <c r="B861" s="389"/>
      <c r="C861" s="389"/>
      <c r="D861" s="389"/>
      <c r="E861" s="389"/>
      <c r="F861" s="389"/>
      <c r="G861" s="389"/>
      <c r="H861" s="389"/>
      <c r="I861" s="389"/>
      <c r="J861" s="389"/>
      <c r="K861" s="389"/>
      <c r="L861" s="389"/>
      <c r="M861" s="389"/>
      <c r="N861" s="389"/>
      <c r="O861" s="389"/>
      <c r="P861" s="389"/>
      <c r="Q861" s="389"/>
      <c r="R861" s="389"/>
      <c r="S861" s="389"/>
      <c r="T861" s="389"/>
      <c r="U861" s="389"/>
      <c r="V861" s="389"/>
      <c r="W861" s="389"/>
      <c r="X861" s="389"/>
      <c r="Y861" s="389"/>
      <c r="Z861" s="389"/>
      <c r="AA861" s="389"/>
      <c r="AB861" s="389"/>
      <c r="AC861" s="389"/>
      <c r="AD861" s="389"/>
      <c r="AE861" s="389"/>
    </row>
    <row r="862" spans="1:31" ht="15.5" x14ac:dyDescent="0.35">
      <c r="A862" s="390"/>
      <c r="B862" s="389"/>
      <c r="C862" s="389"/>
      <c r="D862" s="389"/>
      <c r="E862" s="389"/>
      <c r="F862" s="389"/>
      <c r="G862" s="389"/>
      <c r="H862" s="389"/>
      <c r="I862" s="389"/>
      <c r="J862" s="389"/>
      <c r="K862" s="389"/>
      <c r="L862" s="389"/>
      <c r="M862" s="389"/>
      <c r="N862" s="389"/>
      <c r="O862" s="389"/>
      <c r="P862" s="389"/>
      <c r="Q862" s="389"/>
      <c r="R862" s="389"/>
      <c r="S862" s="389"/>
      <c r="T862" s="389"/>
      <c r="U862" s="389"/>
      <c r="V862" s="389"/>
      <c r="W862" s="389"/>
      <c r="X862" s="389"/>
      <c r="Y862" s="389"/>
      <c r="Z862" s="389"/>
      <c r="AA862" s="389"/>
      <c r="AB862" s="389"/>
      <c r="AC862" s="389"/>
      <c r="AD862" s="389"/>
      <c r="AE862" s="389"/>
    </row>
    <row r="863" spans="1:31" ht="15.5" x14ac:dyDescent="0.35">
      <c r="A863" s="390"/>
      <c r="B863" s="389"/>
      <c r="C863" s="389"/>
      <c r="D863" s="389"/>
      <c r="E863" s="389"/>
      <c r="F863" s="389"/>
      <c r="G863" s="389"/>
      <c r="H863" s="389"/>
      <c r="I863" s="389"/>
      <c r="J863" s="389"/>
      <c r="K863" s="389"/>
      <c r="L863" s="389"/>
      <c r="M863" s="389"/>
      <c r="N863" s="389"/>
      <c r="O863" s="389"/>
      <c r="P863" s="389"/>
      <c r="Q863" s="389"/>
      <c r="R863" s="389"/>
      <c r="S863" s="389"/>
      <c r="T863" s="389"/>
      <c r="U863" s="389"/>
      <c r="V863" s="389"/>
      <c r="W863" s="389"/>
      <c r="X863" s="389"/>
      <c r="Y863" s="389"/>
      <c r="Z863" s="389"/>
      <c r="AA863" s="389"/>
      <c r="AB863" s="389"/>
      <c r="AC863" s="389"/>
      <c r="AD863" s="389"/>
      <c r="AE863" s="389"/>
    </row>
    <row r="864" spans="1:31" ht="15.5" x14ac:dyDescent="0.35">
      <c r="A864" s="390"/>
      <c r="B864" s="389"/>
      <c r="C864" s="389"/>
      <c r="D864" s="389"/>
      <c r="E864" s="389"/>
      <c r="F864" s="389"/>
      <c r="G864" s="389"/>
      <c r="H864" s="389"/>
      <c r="I864" s="389"/>
      <c r="J864" s="389"/>
      <c r="K864" s="389"/>
      <c r="L864" s="389"/>
      <c r="M864" s="389"/>
      <c r="N864" s="389"/>
      <c r="O864" s="389"/>
      <c r="P864" s="389"/>
      <c r="Q864" s="389"/>
      <c r="R864" s="389"/>
      <c r="S864" s="389"/>
      <c r="T864" s="389"/>
      <c r="U864" s="389"/>
      <c r="V864" s="389"/>
      <c r="W864" s="389"/>
      <c r="X864" s="389"/>
      <c r="Y864" s="389"/>
      <c r="Z864" s="389"/>
      <c r="AA864" s="389"/>
      <c r="AB864" s="389"/>
      <c r="AC864" s="389"/>
      <c r="AD864" s="389"/>
      <c r="AE864" s="389"/>
    </row>
    <row r="865" spans="1:31" ht="15.5" x14ac:dyDescent="0.35">
      <c r="A865" s="390"/>
      <c r="B865" s="389"/>
      <c r="C865" s="389"/>
      <c r="D865" s="389"/>
      <c r="E865" s="389"/>
      <c r="F865" s="389"/>
      <c r="G865" s="389"/>
      <c r="H865" s="389"/>
      <c r="I865" s="389"/>
      <c r="J865" s="389"/>
      <c r="K865" s="389"/>
      <c r="L865" s="389"/>
      <c r="M865" s="389"/>
      <c r="N865" s="389"/>
      <c r="O865" s="389"/>
      <c r="P865" s="389"/>
      <c r="Q865" s="389"/>
      <c r="R865" s="389"/>
      <c r="S865" s="389"/>
      <c r="T865" s="389"/>
      <c r="U865" s="389"/>
      <c r="V865" s="389"/>
      <c r="W865" s="389"/>
      <c r="X865" s="389"/>
      <c r="Y865" s="389"/>
      <c r="Z865" s="389"/>
      <c r="AA865" s="389"/>
      <c r="AB865" s="389"/>
      <c r="AC865" s="389"/>
      <c r="AD865" s="389"/>
      <c r="AE865" s="389"/>
    </row>
    <row r="866" spans="1:31" ht="15.5" x14ac:dyDescent="0.35">
      <c r="A866" s="390"/>
      <c r="B866" s="389"/>
      <c r="C866" s="389"/>
      <c r="D866" s="389"/>
      <c r="E866" s="389"/>
      <c r="F866" s="389"/>
      <c r="G866" s="389"/>
      <c r="H866" s="389"/>
      <c r="I866" s="389"/>
      <c r="J866" s="389"/>
      <c r="K866" s="389"/>
      <c r="L866" s="389"/>
      <c r="M866" s="389"/>
      <c r="N866" s="389"/>
      <c r="O866" s="389"/>
      <c r="P866" s="389"/>
      <c r="Q866" s="389"/>
      <c r="R866" s="389"/>
      <c r="S866" s="389"/>
      <c r="T866" s="389"/>
      <c r="U866" s="389"/>
      <c r="V866" s="389"/>
      <c r="W866" s="389"/>
      <c r="X866" s="389"/>
      <c r="Y866" s="389"/>
      <c r="Z866" s="389"/>
      <c r="AA866" s="389"/>
      <c r="AB866" s="389"/>
      <c r="AC866" s="389"/>
      <c r="AD866" s="389"/>
      <c r="AE866" s="389"/>
    </row>
    <row r="867" spans="1:31" ht="15.5" x14ac:dyDescent="0.35">
      <c r="A867" s="390"/>
      <c r="B867" s="389"/>
      <c r="C867" s="389"/>
      <c r="D867" s="389"/>
      <c r="E867" s="389"/>
      <c r="F867" s="389"/>
      <c r="G867" s="389"/>
      <c r="H867" s="389"/>
      <c r="I867" s="389"/>
      <c r="J867" s="389"/>
      <c r="K867" s="389"/>
      <c r="L867" s="389"/>
      <c r="M867" s="389"/>
      <c r="N867" s="389"/>
      <c r="O867" s="389"/>
      <c r="P867" s="389"/>
      <c r="Q867" s="389"/>
      <c r="R867" s="389"/>
      <c r="S867" s="389"/>
      <c r="T867" s="389"/>
      <c r="U867" s="389"/>
      <c r="V867" s="389"/>
      <c r="W867" s="389"/>
      <c r="X867" s="389"/>
      <c r="Y867" s="389"/>
      <c r="Z867" s="389"/>
      <c r="AA867" s="389"/>
      <c r="AB867" s="389"/>
      <c r="AC867" s="389"/>
      <c r="AD867" s="389"/>
      <c r="AE867" s="389"/>
    </row>
    <row r="868" spans="1:31" ht="15.5" x14ac:dyDescent="0.35">
      <c r="A868" s="390"/>
      <c r="B868" s="389"/>
      <c r="C868" s="389"/>
      <c r="D868" s="389"/>
      <c r="E868" s="389"/>
      <c r="F868" s="389"/>
      <c r="G868" s="389"/>
      <c r="H868" s="389"/>
      <c r="I868" s="389"/>
      <c r="J868" s="389"/>
      <c r="K868" s="389"/>
      <c r="L868" s="389"/>
      <c r="M868" s="389"/>
      <c r="N868" s="389"/>
      <c r="O868" s="389"/>
      <c r="P868" s="389"/>
      <c r="Q868" s="389"/>
      <c r="R868" s="389"/>
      <c r="S868" s="389"/>
      <c r="T868" s="389"/>
      <c r="U868" s="389"/>
      <c r="V868" s="389"/>
      <c r="W868" s="389"/>
      <c r="X868" s="389"/>
      <c r="Y868" s="389"/>
      <c r="Z868" s="389"/>
      <c r="AA868" s="389"/>
      <c r="AB868" s="389"/>
      <c r="AC868" s="389"/>
      <c r="AD868" s="389"/>
      <c r="AE868" s="389"/>
    </row>
    <row r="869" spans="1:31" ht="15.5" x14ac:dyDescent="0.35">
      <c r="A869" s="390"/>
      <c r="B869" s="389"/>
      <c r="C869" s="389"/>
      <c r="D869" s="389"/>
      <c r="E869" s="389"/>
      <c r="F869" s="389"/>
      <c r="G869" s="389"/>
      <c r="H869" s="389"/>
      <c r="I869" s="389"/>
      <c r="J869" s="389"/>
      <c r="K869" s="389"/>
      <c r="L869" s="389"/>
      <c r="M869" s="389"/>
      <c r="N869" s="389"/>
      <c r="O869" s="389"/>
      <c r="P869" s="389"/>
      <c r="Q869" s="389"/>
      <c r="R869" s="389"/>
      <c r="S869" s="389"/>
      <c r="T869" s="389"/>
      <c r="U869" s="389"/>
      <c r="V869" s="389"/>
      <c r="W869" s="389"/>
      <c r="X869" s="389"/>
      <c r="Y869" s="389"/>
      <c r="Z869" s="389"/>
      <c r="AA869" s="389"/>
      <c r="AB869" s="389"/>
      <c r="AC869" s="389"/>
      <c r="AD869" s="389"/>
      <c r="AE869" s="389"/>
    </row>
    <row r="870" spans="1:31" ht="15.5" x14ac:dyDescent="0.35">
      <c r="A870" s="390"/>
      <c r="B870" s="389"/>
      <c r="C870" s="389"/>
      <c r="D870" s="389"/>
      <c r="E870" s="389"/>
      <c r="F870" s="389"/>
      <c r="G870" s="389"/>
      <c r="H870" s="389"/>
      <c r="I870" s="389"/>
      <c r="J870" s="389"/>
      <c r="K870" s="389"/>
      <c r="L870" s="389"/>
      <c r="M870" s="389"/>
      <c r="N870" s="389"/>
      <c r="O870" s="389"/>
      <c r="P870" s="389"/>
      <c r="Q870" s="389"/>
      <c r="R870" s="389"/>
      <c r="S870" s="389"/>
      <c r="T870" s="389"/>
      <c r="U870" s="389"/>
      <c r="V870" s="389"/>
      <c r="W870" s="389"/>
      <c r="X870" s="389"/>
      <c r="Y870" s="389"/>
      <c r="Z870" s="389"/>
      <c r="AA870" s="389"/>
      <c r="AB870" s="389"/>
      <c r="AC870" s="389"/>
      <c r="AD870" s="389"/>
      <c r="AE870" s="389"/>
    </row>
    <row r="871" spans="1:31" ht="15.5" x14ac:dyDescent="0.35">
      <c r="A871" s="390"/>
      <c r="B871" s="389"/>
      <c r="C871" s="389"/>
      <c r="D871" s="389"/>
      <c r="E871" s="389"/>
      <c r="F871" s="389"/>
      <c r="G871" s="389"/>
      <c r="H871" s="389"/>
      <c r="I871" s="389"/>
      <c r="J871" s="389"/>
      <c r="K871" s="389"/>
      <c r="L871" s="389"/>
      <c r="M871" s="389"/>
      <c r="N871" s="389"/>
      <c r="O871" s="389"/>
      <c r="P871" s="389"/>
      <c r="Q871" s="389"/>
      <c r="R871" s="389"/>
      <c r="S871" s="389"/>
      <c r="T871" s="389"/>
      <c r="U871" s="389"/>
      <c r="V871" s="389"/>
      <c r="W871" s="389"/>
      <c r="X871" s="389"/>
      <c r="Y871" s="389"/>
      <c r="Z871" s="389"/>
      <c r="AA871" s="389"/>
      <c r="AB871" s="389"/>
      <c r="AC871" s="389"/>
      <c r="AD871" s="389"/>
      <c r="AE871" s="389"/>
    </row>
    <row r="872" spans="1:31" ht="15.5" x14ac:dyDescent="0.35">
      <c r="A872" s="390"/>
      <c r="B872" s="389"/>
      <c r="C872" s="389"/>
      <c r="D872" s="389"/>
      <c r="E872" s="389"/>
      <c r="F872" s="389"/>
      <c r="G872" s="389"/>
      <c r="H872" s="389"/>
      <c r="I872" s="389"/>
      <c r="J872" s="389"/>
      <c r="K872" s="389"/>
      <c r="L872" s="389"/>
      <c r="M872" s="389"/>
      <c r="N872" s="389"/>
      <c r="O872" s="389"/>
      <c r="P872" s="389"/>
      <c r="Q872" s="389"/>
      <c r="R872" s="389"/>
      <c r="S872" s="389"/>
      <c r="T872" s="389"/>
      <c r="U872" s="389"/>
      <c r="V872" s="389"/>
      <c r="W872" s="389"/>
      <c r="X872" s="389"/>
      <c r="Y872" s="389"/>
      <c r="Z872" s="389"/>
      <c r="AA872" s="389"/>
      <c r="AB872" s="389"/>
      <c r="AC872" s="389"/>
      <c r="AD872" s="389"/>
      <c r="AE872" s="389"/>
    </row>
    <row r="873" spans="1:31" ht="15.5" x14ac:dyDescent="0.35">
      <c r="A873" s="390"/>
      <c r="B873" s="389"/>
      <c r="C873" s="389"/>
      <c r="D873" s="389"/>
      <c r="E873" s="389"/>
      <c r="F873" s="389"/>
      <c r="G873" s="389"/>
      <c r="H873" s="389"/>
      <c r="I873" s="389"/>
      <c r="J873" s="389"/>
      <c r="K873" s="389"/>
      <c r="L873" s="389"/>
      <c r="M873" s="389"/>
      <c r="N873" s="389"/>
      <c r="O873" s="389"/>
      <c r="P873" s="389"/>
      <c r="Q873" s="389"/>
      <c r="R873" s="389"/>
      <c r="S873" s="389"/>
      <c r="T873" s="389"/>
      <c r="U873" s="389"/>
      <c r="V873" s="389"/>
      <c r="W873" s="389"/>
      <c r="X873" s="389"/>
      <c r="Y873" s="389"/>
      <c r="Z873" s="389"/>
      <c r="AA873" s="389"/>
      <c r="AB873" s="389"/>
      <c r="AC873" s="389"/>
      <c r="AD873" s="389"/>
      <c r="AE873" s="389"/>
    </row>
    <row r="874" spans="1:31" ht="15.5" x14ac:dyDescent="0.35">
      <c r="A874" s="390"/>
      <c r="B874" s="389"/>
      <c r="C874" s="389"/>
      <c r="D874" s="389"/>
      <c r="E874" s="389"/>
      <c r="F874" s="389"/>
      <c r="G874" s="389"/>
      <c r="H874" s="389"/>
      <c r="I874" s="389"/>
      <c r="J874" s="389"/>
      <c r="K874" s="389"/>
      <c r="L874" s="389"/>
      <c r="M874" s="389"/>
      <c r="N874" s="389"/>
      <c r="O874" s="389"/>
      <c r="P874" s="389"/>
      <c r="Q874" s="389"/>
      <c r="R874" s="389"/>
      <c r="S874" s="389"/>
      <c r="T874" s="389"/>
      <c r="U874" s="389"/>
      <c r="V874" s="389"/>
      <c r="W874" s="389"/>
      <c r="X874" s="389"/>
      <c r="Y874" s="389"/>
      <c r="Z874" s="389"/>
      <c r="AA874" s="389"/>
      <c r="AB874" s="389"/>
      <c r="AC874" s="389"/>
      <c r="AD874" s="389"/>
      <c r="AE874" s="389"/>
    </row>
    <row r="875" spans="1:31" ht="15.5" x14ac:dyDescent="0.35">
      <c r="A875" s="390"/>
      <c r="B875" s="389"/>
      <c r="C875" s="389"/>
      <c r="D875" s="389"/>
      <c r="E875" s="389"/>
      <c r="F875" s="389"/>
      <c r="G875" s="389"/>
      <c r="H875" s="389"/>
      <c r="I875" s="389"/>
      <c r="J875" s="389"/>
      <c r="K875" s="389"/>
      <c r="L875" s="389"/>
      <c r="M875" s="389"/>
      <c r="N875" s="389"/>
      <c r="O875" s="389"/>
      <c r="P875" s="389"/>
      <c r="Q875" s="389"/>
      <c r="R875" s="389"/>
      <c r="S875" s="389"/>
      <c r="T875" s="389"/>
      <c r="U875" s="389"/>
      <c r="V875" s="389"/>
      <c r="W875" s="389"/>
      <c r="X875" s="389"/>
      <c r="Y875" s="389"/>
      <c r="Z875" s="389"/>
      <c r="AA875" s="389"/>
      <c r="AB875" s="389"/>
      <c r="AC875" s="389"/>
      <c r="AD875" s="389"/>
      <c r="AE875" s="389"/>
    </row>
    <row r="876" spans="1:31" ht="15.5" x14ac:dyDescent="0.35">
      <c r="A876" s="390"/>
      <c r="B876" s="389"/>
      <c r="C876" s="389"/>
      <c r="D876" s="389"/>
      <c r="E876" s="389"/>
      <c r="F876" s="389"/>
      <c r="G876" s="389"/>
      <c r="H876" s="389"/>
      <c r="I876" s="389"/>
      <c r="J876" s="389"/>
      <c r="K876" s="389"/>
      <c r="L876" s="389"/>
      <c r="M876" s="389"/>
      <c r="N876" s="389"/>
      <c r="O876" s="389"/>
      <c r="P876" s="389"/>
      <c r="Q876" s="389"/>
      <c r="R876" s="389"/>
      <c r="S876" s="389"/>
      <c r="T876" s="389"/>
      <c r="U876" s="389"/>
      <c r="V876" s="389"/>
      <c r="W876" s="389"/>
      <c r="X876" s="389"/>
      <c r="Y876" s="389"/>
      <c r="Z876" s="389"/>
      <c r="AA876" s="389"/>
      <c r="AB876" s="389"/>
      <c r="AC876" s="389"/>
      <c r="AD876" s="389"/>
      <c r="AE876" s="389"/>
    </row>
    <row r="877" spans="1:31" ht="15.5" x14ac:dyDescent="0.35">
      <c r="A877" s="390"/>
      <c r="B877" s="389"/>
      <c r="C877" s="389"/>
      <c r="D877" s="389"/>
      <c r="E877" s="389"/>
      <c r="F877" s="389"/>
      <c r="G877" s="389"/>
      <c r="H877" s="389"/>
      <c r="I877" s="389"/>
      <c r="J877" s="389"/>
      <c r="K877" s="389"/>
      <c r="L877" s="389"/>
      <c r="M877" s="389"/>
      <c r="N877" s="389"/>
      <c r="O877" s="389"/>
      <c r="P877" s="389"/>
      <c r="Q877" s="389"/>
      <c r="R877" s="389"/>
      <c r="S877" s="389"/>
      <c r="T877" s="389"/>
      <c r="U877" s="389"/>
      <c r="V877" s="389"/>
      <c r="W877" s="389"/>
      <c r="X877" s="389"/>
      <c r="Y877" s="389"/>
      <c r="Z877" s="389"/>
      <c r="AA877" s="389"/>
      <c r="AB877" s="389"/>
      <c r="AC877" s="389"/>
      <c r="AD877" s="389"/>
      <c r="AE877" s="389"/>
    </row>
    <row r="878" spans="1:31" ht="15.5" x14ac:dyDescent="0.35">
      <c r="A878" s="390"/>
      <c r="B878" s="389"/>
      <c r="C878" s="389"/>
      <c r="D878" s="389"/>
      <c r="E878" s="389"/>
      <c r="F878" s="389"/>
      <c r="G878" s="389"/>
      <c r="H878" s="389"/>
      <c r="I878" s="389"/>
      <c r="J878" s="389"/>
      <c r="K878" s="389"/>
      <c r="L878" s="389"/>
      <c r="M878" s="389"/>
      <c r="N878" s="389"/>
      <c r="O878" s="389"/>
      <c r="P878" s="389"/>
      <c r="Q878" s="389"/>
      <c r="R878" s="389"/>
      <c r="S878" s="389"/>
      <c r="T878" s="389"/>
      <c r="U878" s="389"/>
      <c r="V878" s="389"/>
      <c r="W878" s="389"/>
      <c r="X878" s="389"/>
      <c r="Y878" s="389"/>
      <c r="Z878" s="389"/>
      <c r="AA878" s="389"/>
      <c r="AB878" s="389"/>
      <c r="AC878" s="389"/>
      <c r="AD878" s="389"/>
      <c r="AE878" s="389"/>
    </row>
    <row r="879" spans="1:31" ht="15.5" x14ac:dyDescent="0.35">
      <c r="A879" s="390"/>
      <c r="B879" s="389"/>
      <c r="C879" s="389"/>
      <c r="D879" s="389"/>
      <c r="E879" s="389"/>
      <c r="F879" s="389"/>
      <c r="G879" s="389"/>
      <c r="H879" s="389"/>
      <c r="I879" s="389"/>
      <c r="J879" s="389"/>
      <c r="K879" s="389"/>
      <c r="L879" s="389"/>
      <c r="M879" s="389"/>
      <c r="N879" s="389"/>
      <c r="O879" s="389"/>
      <c r="P879" s="389"/>
      <c r="Q879" s="389"/>
      <c r="R879" s="389"/>
      <c r="S879" s="389"/>
      <c r="T879" s="389"/>
      <c r="U879" s="389"/>
      <c r="V879" s="389"/>
      <c r="W879" s="389"/>
      <c r="X879" s="389"/>
      <c r="Y879" s="389"/>
      <c r="Z879" s="389"/>
      <c r="AA879" s="389"/>
      <c r="AB879" s="389"/>
      <c r="AC879" s="389"/>
      <c r="AD879" s="389"/>
      <c r="AE879" s="389"/>
    </row>
    <row r="880" spans="1:31" ht="15.5" x14ac:dyDescent="0.35">
      <c r="A880" s="390"/>
      <c r="B880" s="389"/>
      <c r="C880" s="389"/>
      <c r="D880" s="389"/>
      <c r="E880" s="389"/>
      <c r="F880" s="389"/>
      <c r="G880" s="389"/>
      <c r="H880" s="389"/>
      <c r="I880" s="389"/>
      <c r="J880" s="389"/>
      <c r="K880" s="389"/>
      <c r="L880" s="389"/>
      <c r="M880" s="389"/>
      <c r="N880" s="389"/>
      <c r="O880" s="389"/>
      <c r="P880" s="389"/>
      <c r="Q880" s="389"/>
      <c r="R880" s="389"/>
      <c r="S880" s="389"/>
      <c r="T880" s="389"/>
      <c r="U880" s="389"/>
      <c r="V880" s="389"/>
      <c r="W880" s="389"/>
      <c r="X880" s="389"/>
      <c r="Y880" s="389"/>
      <c r="Z880" s="389"/>
      <c r="AA880" s="389"/>
      <c r="AB880" s="389"/>
      <c r="AC880" s="389"/>
      <c r="AD880" s="389"/>
      <c r="AE880" s="389"/>
    </row>
    <row r="881" spans="1:31" ht="15.5" x14ac:dyDescent="0.35">
      <c r="A881" s="390"/>
      <c r="B881" s="389"/>
      <c r="C881" s="389"/>
      <c r="D881" s="389"/>
      <c r="E881" s="389"/>
      <c r="F881" s="389"/>
      <c r="G881" s="389"/>
      <c r="H881" s="389"/>
      <c r="I881" s="389"/>
      <c r="J881" s="389"/>
      <c r="K881" s="389"/>
      <c r="L881" s="389"/>
      <c r="M881" s="389"/>
      <c r="N881" s="389"/>
      <c r="O881" s="389"/>
      <c r="P881" s="389"/>
      <c r="Q881" s="389"/>
      <c r="R881" s="389"/>
      <c r="S881" s="389"/>
      <c r="T881" s="389"/>
      <c r="U881" s="389"/>
      <c r="V881" s="389"/>
      <c r="W881" s="389"/>
      <c r="X881" s="389"/>
      <c r="Y881" s="389"/>
      <c r="Z881" s="389"/>
      <c r="AA881" s="389"/>
      <c r="AB881" s="389"/>
      <c r="AC881" s="389"/>
      <c r="AD881" s="389"/>
      <c r="AE881" s="389"/>
    </row>
    <row r="882" spans="1:31" ht="15.5" x14ac:dyDescent="0.35">
      <c r="A882" s="390"/>
      <c r="B882" s="389"/>
      <c r="C882" s="389"/>
      <c r="D882" s="389"/>
      <c r="E882" s="389"/>
      <c r="F882" s="389"/>
      <c r="G882" s="389"/>
      <c r="H882" s="389"/>
      <c r="I882" s="389"/>
      <c r="J882" s="389"/>
      <c r="K882" s="389"/>
      <c r="L882" s="389"/>
      <c r="M882" s="389"/>
      <c r="N882" s="389"/>
      <c r="O882" s="389"/>
      <c r="P882" s="389"/>
      <c r="Q882" s="389"/>
      <c r="R882" s="389"/>
      <c r="S882" s="389"/>
      <c r="T882" s="389"/>
      <c r="U882" s="389"/>
      <c r="V882" s="389"/>
      <c r="W882" s="389"/>
      <c r="X882" s="389"/>
      <c r="Y882" s="389"/>
      <c r="Z882" s="389"/>
      <c r="AA882" s="389"/>
      <c r="AB882" s="389"/>
      <c r="AC882" s="389"/>
      <c r="AD882" s="389"/>
      <c r="AE882" s="389"/>
    </row>
    <row r="883" spans="1:31" ht="15.5" x14ac:dyDescent="0.35">
      <c r="A883" s="390"/>
      <c r="B883" s="389"/>
      <c r="C883" s="389"/>
      <c r="D883" s="389"/>
      <c r="E883" s="389"/>
      <c r="F883" s="389"/>
      <c r="G883" s="389"/>
      <c r="H883" s="389"/>
      <c r="I883" s="389"/>
      <c r="J883" s="389"/>
      <c r="K883" s="389"/>
      <c r="L883" s="389"/>
      <c r="M883" s="389"/>
      <c r="N883" s="389"/>
      <c r="O883" s="389"/>
      <c r="P883" s="389"/>
      <c r="Q883" s="389"/>
      <c r="R883" s="389"/>
      <c r="S883" s="389"/>
      <c r="T883" s="389"/>
      <c r="U883" s="389"/>
      <c r="V883" s="389"/>
      <c r="W883" s="389"/>
      <c r="X883" s="389"/>
      <c r="Y883" s="389"/>
      <c r="Z883" s="389"/>
      <c r="AA883" s="389"/>
      <c r="AB883" s="389"/>
      <c r="AC883" s="389"/>
      <c r="AD883" s="389"/>
      <c r="AE883" s="389"/>
    </row>
    <row r="884" spans="1:31" ht="15.5" x14ac:dyDescent="0.35">
      <c r="A884" s="390"/>
      <c r="B884" s="389"/>
      <c r="C884" s="389"/>
      <c r="D884" s="389"/>
      <c r="E884" s="389"/>
      <c r="F884" s="389"/>
      <c r="G884" s="389"/>
      <c r="H884" s="389"/>
      <c r="I884" s="389"/>
      <c r="J884" s="389"/>
      <c r="K884" s="389"/>
      <c r="L884" s="389"/>
      <c r="M884" s="389"/>
      <c r="N884" s="389"/>
      <c r="O884" s="389"/>
      <c r="P884" s="389"/>
      <c r="Q884" s="389"/>
      <c r="R884" s="389"/>
      <c r="S884" s="389"/>
      <c r="T884" s="389"/>
      <c r="U884" s="389"/>
      <c r="V884" s="389"/>
      <c r="W884" s="389"/>
      <c r="X884" s="389"/>
      <c r="Y884" s="389"/>
      <c r="Z884" s="389"/>
      <c r="AA884" s="389"/>
      <c r="AB884" s="389"/>
      <c r="AC884" s="389"/>
      <c r="AD884" s="389"/>
      <c r="AE884" s="389"/>
    </row>
    <row r="885" spans="1:31" ht="15.5" x14ac:dyDescent="0.35">
      <c r="A885" s="390"/>
      <c r="B885" s="389"/>
      <c r="C885" s="389"/>
      <c r="D885" s="389"/>
      <c r="E885" s="389"/>
      <c r="F885" s="389"/>
      <c r="G885" s="389"/>
      <c r="H885" s="389"/>
      <c r="I885" s="389"/>
      <c r="J885" s="389"/>
      <c r="K885" s="389"/>
      <c r="L885" s="389"/>
      <c r="M885" s="389"/>
      <c r="N885" s="389"/>
      <c r="O885" s="389"/>
      <c r="P885" s="389"/>
      <c r="Q885" s="389"/>
      <c r="R885" s="389"/>
      <c r="S885" s="389"/>
      <c r="T885" s="389"/>
      <c r="U885" s="389"/>
      <c r="V885" s="389"/>
      <c r="W885" s="389"/>
      <c r="X885" s="389"/>
      <c r="Y885" s="389"/>
      <c r="Z885" s="389"/>
      <c r="AA885" s="389"/>
      <c r="AB885" s="389"/>
      <c r="AC885" s="389"/>
      <c r="AD885" s="389"/>
      <c r="AE885" s="389"/>
    </row>
    <row r="886" spans="1:31" ht="15.5" x14ac:dyDescent="0.35">
      <c r="A886" s="390"/>
      <c r="B886" s="389"/>
      <c r="C886" s="389"/>
      <c r="D886" s="389"/>
      <c r="E886" s="389"/>
      <c r="F886" s="389"/>
      <c r="G886" s="389"/>
      <c r="H886" s="389"/>
      <c r="I886" s="389"/>
      <c r="J886" s="389"/>
      <c r="K886" s="389"/>
      <c r="L886" s="389"/>
      <c r="M886" s="389"/>
      <c r="N886" s="389"/>
      <c r="O886" s="389"/>
      <c r="P886" s="389"/>
      <c r="Q886" s="389"/>
      <c r="R886" s="389"/>
      <c r="S886" s="389"/>
      <c r="T886" s="389"/>
      <c r="U886" s="389"/>
      <c r="V886" s="389"/>
      <c r="W886" s="389"/>
      <c r="X886" s="389"/>
      <c r="Y886" s="389"/>
      <c r="Z886" s="389"/>
      <c r="AA886" s="389"/>
      <c r="AB886" s="389"/>
      <c r="AC886" s="389"/>
      <c r="AD886" s="389"/>
      <c r="AE886" s="389"/>
    </row>
    <row r="887" spans="1:31" ht="15.5" x14ac:dyDescent="0.35">
      <c r="A887" s="390"/>
      <c r="B887" s="389"/>
      <c r="C887" s="389"/>
      <c r="D887" s="389"/>
      <c r="E887" s="389"/>
      <c r="F887" s="389"/>
      <c r="G887" s="389"/>
      <c r="H887" s="389"/>
      <c r="I887" s="389"/>
      <c r="J887" s="389"/>
      <c r="K887" s="389"/>
      <c r="L887" s="389"/>
      <c r="M887" s="389"/>
      <c r="N887" s="389"/>
      <c r="O887" s="389"/>
      <c r="P887" s="389"/>
      <c r="Q887" s="389"/>
      <c r="R887" s="389"/>
      <c r="S887" s="389"/>
      <c r="T887" s="389"/>
      <c r="U887" s="389"/>
      <c r="V887" s="389"/>
      <c r="W887" s="389"/>
      <c r="X887" s="389"/>
      <c r="Y887" s="389"/>
      <c r="Z887" s="389"/>
      <c r="AA887" s="389"/>
      <c r="AB887" s="389"/>
      <c r="AC887" s="389"/>
      <c r="AD887" s="389"/>
      <c r="AE887" s="389"/>
    </row>
    <row r="888" spans="1:31" ht="15.5" x14ac:dyDescent="0.35">
      <c r="A888" s="390"/>
      <c r="B888" s="389"/>
      <c r="C888" s="389"/>
      <c r="D888" s="389"/>
      <c r="E888" s="389"/>
      <c r="F888" s="389"/>
      <c r="G888" s="389"/>
      <c r="H888" s="389"/>
      <c r="I888" s="389"/>
      <c r="J888" s="389"/>
      <c r="K888" s="389"/>
      <c r="L888" s="389"/>
      <c r="M888" s="389"/>
      <c r="N888" s="389"/>
      <c r="O888" s="389"/>
      <c r="P888" s="389"/>
      <c r="Q888" s="389"/>
      <c r="R888" s="389"/>
      <c r="S888" s="389"/>
      <c r="T888" s="389"/>
      <c r="U888" s="389"/>
      <c r="V888" s="389"/>
      <c r="W888" s="389"/>
      <c r="X888" s="389"/>
      <c r="Y888" s="389"/>
      <c r="Z888" s="389"/>
      <c r="AA888" s="389"/>
      <c r="AB888" s="389"/>
      <c r="AC888" s="389"/>
      <c r="AD888" s="389"/>
      <c r="AE888" s="389"/>
    </row>
    <row r="889" spans="1:31" ht="15.5" x14ac:dyDescent="0.35">
      <c r="A889" s="390"/>
      <c r="B889" s="389"/>
      <c r="C889" s="389"/>
      <c r="D889" s="389"/>
      <c r="E889" s="389"/>
      <c r="F889" s="389"/>
      <c r="G889" s="389"/>
      <c r="H889" s="389"/>
      <c r="I889" s="389"/>
      <c r="J889" s="389"/>
      <c r="K889" s="389"/>
      <c r="L889" s="389"/>
      <c r="M889" s="389"/>
      <c r="N889" s="389"/>
      <c r="O889" s="389"/>
      <c r="P889" s="389"/>
      <c r="Q889" s="389"/>
      <c r="R889" s="389"/>
      <c r="S889" s="389"/>
      <c r="T889" s="389"/>
      <c r="U889" s="389"/>
      <c r="V889" s="389"/>
      <c r="W889" s="389"/>
      <c r="X889" s="389"/>
      <c r="Y889" s="389"/>
      <c r="Z889" s="389"/>
      <c r="AA889" s="389"/>
      <c r="AB889" s="389"/>
      <c r="AC889" s="389"/>
      <c r="AD889" s="389"/>
      <c r="AE889" s="389"/>
    </row>
    <row r="890" spans="1:31" ht="15.5" x14ac:dyDescent="0.35">
      <c r="A890" s="390"/>
      <c r="B890" s="389"/>
      <c r="C890" s="389"/>
      <c r="D890" s="389"/>
      <c r="E890" s="389"/>
      <c r="F890" s="389"/>
      <c r="G890" s="389"/>
      <c r="H890" s="389"/>
      <c r="I890" s="389"/>
      <c r="J890" s="389"/>
      <c r="K890" s="389"/>
      <c r="L890" s="389"/>
      <c r="M890" s="389"/>
      <c r="N890" s="389"/>
      <c r="O890" s="389"/>
      <c r="P890" s="389"/>
      <c r="Q890" s="389"/>
      <c r="R890" s="389"/>
      <c r="S890" s="389"/>
      <c r="T890" s="389"/>
      <c r="U890" s="389"/>
      <c r="V890" s="389"/>
      <c r="W890" s="389"/>
      <c r="X890" s="389"/>
      <c r="Y890" s="389"/>
      <c r="Z890" s="389"/>
      <c r="AA890" s="389"/>
      <c r="AB890" s="389"/>
      <c r="AC890" s="389"/>
      <c r="AD890" s="389"/>
      <c r="AE890" s="389"/>
    </row>
    <row r="891" spans="1:31" ht="15.5" x14ac:dyDescent="0.35">
      <c r="A891" s="390"/>
      <c r="B891" s="389"/>
      <c r="C891" s="389"/>
      <c r="D891" s="389"/>
      <c r="E891" s="389"/>
      <c r="F891" s="389"/>
      <c r="G891" s="389"/>
      <c r="H891" s="389"/>
      <c r="I891" s="389"/>
      <c r="J891" s="389"/>
      <c r="K891" s="389"/>
      <c r="L891" s="389"/>
      <c r="M891" s="389"/>
      <c r="N891" s="389"/>
      <c r="O891" s="389"/>
      <c r="P891" s="389"/>
      <c r="Q891" s="389"/>
      <c r="R891" s="389"/>
      <c r="S891" s="389"/>
      <c r="T891" s="389"/>
      <c r="U891" s="389"/>
      <c r="V891" s="389"/>
      <c r="W891" s="389"/>
      <c r="X891" s="389"/>
      <c r="Y891" s="389"/>
      <c r="Z891" s="389"/>
      <c r="AA891" s="389"/>
      <c r="AB891" s="389"/>
      <c r="AC891" s="389"/>
      <c r="AD891" s="389"/>
      <c r="AE891" s="389"/>
    </row>
    <row r="892" spans="1:31" ht="15.5" x14ac:dyDescent="0.35">
      <c r="A892" s="390"/>
      <c r="B892" s="389"/>
      <c r="C892" s="389"/>
      <c r="D892" s="389"/>
      <c r="E892" s="389"/>
      <c r="F892" s="389"/>
      <c r="G892" s="389"/>
      <c r="H892" s="389"/>
      <c r="I892" s="389"/>
      <c r="J892" s="389"/>
      <c r="K892" s="389"/>
      <c r="L892" s="389"/>
      <c r="M892" s="389"/>
      <c r="N892" s="389"/>
      <c r="O892" s="389"/>
      <c r="P892" s="389"/>
      <c r="Q892" s="389"/>
      <c r="R892" s="389"/>
      <c r="S892" s="389"/>
      <c r="T892" s="389"/>
      <c r="U892" s="389"/>
      <c r="V892" s="389"/>
      <c r="W892" s="389"/>
      <c r="X892" s="389"/>
      <c r="Y892" s="389"/>
      <c r="Z892" s="389"/>
      <c r="AA892" s="389"/>
      <c r="AB892" s="389"/>
      <c r="AC892" s="389"/>
      <c r="AD892" s="389"/>
      <c r="AE892" s="389"/>
    </row>
    <row r="893" spans="1:31" ht="15.5" x14ac:dyDescent="0.35">
      <c r="A893" s="390"/>
      <c r="B893" s="389"/>
      <c r="C893" s="389"/>
      <c r="D893" s="389"/>
      <c r="E893" s="389"/>
      <c r="F893" s="389"/>
      <c r="G893" s="389"/>
      <c r="H893" s="389"/>
      <c r="I893" s="389"/>
      <c r="J893" s="389"/>
      <c r="K893" s="389"/>
      <c r="L893" s="389"/>
      <c r="M893" s="389"/>
      <c r="N893" s="389"/>
      <c r="O893" s="389"/>
      <c r="P893" s="389"/>
      <c r="Q893" s="389"/>
      <c r="R893" s="389"/>
      <c r="S893" s="389"/>
      <c r="T893" s="389"/>
      <c r="U893" s="389"/>
      <c r="V893" s="389"/>
      <c r="W893" s="389"/>
      <c r="X893" s="389"/>
      <c r="Y893" s="389"/>
      <c r="Z893" s="389"/>
      <c r="AA893" s="389"/>
      <c r="AB893" s="389"/>
      <c r="AC893" s="389"/>
      <c r="AD893" s="389"/>
      <c r="AE893" s="389"/>
    </row>
    <row r="894" spans="1:31" ht="15.5" x14ac:dyDescent="0.35">
      <c r="A894" s="390"/>
      <c r="B894" s="389"/>
      <c r="C894" s="389"/>
      <c r="D894" s="389"/>
      <c r="E894" s="389"/>
      <c r="F894" s="389"/>
      <c r="G894" s="389"/>
      <c r="H894" s="389"/>
      <c r="I894" s="389"/>
      <c r="J894" s="389"/>
      <c r="K894" s="389"/>
      <c r="L894" s="389"/>
      <c r="M894" s="389"/>
      <c r="N894" s="389"/>
      <c r="O894" s="389"/>
      <c r="P894" s="389"/>
      <c r="Q894" s="389"/>
      <c r="R894" s="389"/>
      <c r="S894" s="389"/>
      <c r="T894" s="389"/>
      <c r="U894" s="389"/>
      <c r="V894" s="389"/>
      <c r="W894" s="389"/>
      <c r="X894" s="389"/>
      <c r="Y894" s="389"/>
      <c r="Z894" s="389"/>
      <c r="AA894" s="389"/>
      <c r="AB894" s="389"/>
      <c r="AC894" s="389"/>
      <c r="AD894" s="389"/>
      <c r="AE894" s="389"/>
    </row>
    <row r="895" spans="1:31" ht="15.5" x14ac:dyDescent="0.35">
      <c r="A895" s="390"/>
      <c r="B895" s="389"/>
      <c r="C895" s="389"/>
      <c r="D895" s="389"/>
      <c r="E895" s="389"/>
      <c r="F895" s="389"/>
      <c r="G895" s="389"/>
      <c r="H895" s="389"/>
      <c r="I895" s="389"/>
      <c r="J895" s="389"/>
      <c r="K895" s="389"/>
      <c r="L895" s="389"/>
      <c r="M895" s="389"/>
      <c r="N895" s="389"/>
      <c r="O895" s="389"/>
      <c r="P895" s="389"/>
      <c r="Q895" s="389"/>
      <c r="R895" s="389"/>
      <c r="S895" s="389"/>
      <c r="T895" s="389"/>
      <c r="U895" s="389"/>
      <c r="V895" s="389"/>
      <c r="W895" s="389"/>
      <c r="X895" s="389"/>
      <c r="Y895" s="389"/>
      <c r="Z895" s="389"/>
      <c r="AA895" s="389"/>
      <c r="AB895" s="389"/>
      <c r="AC895" s="389"/>
      <c r="AD895" s="389"/>
      <c r="AE895" s="389"/>
    </row>
    <row r="896" spans="1:31" ht="15.5" x14ac:dyDescent="0.35">
      <c r="A896" s="390"/>
      <c r="B896" s="389"/>
      <c r="C896" s="389"/>
      <c r="D896" s="389"/>
      <c r="E896" s="389"/>
      <c r="F896" s="389"/>
      <c r="G896" s="389"/>
      <c r="H896" s="389"/>
      <c r="I896" s="389"/>
      <c r="J896" s="389"/>
      <c r="K896" s="389"/>
      <c r="L896" s="389"/>
      <c r="M896" s="389"/>
      <c r="N896" s="389"/>
      <c r="O896" s="389"/>
      <c r="P896" s="389"/>
      <c r="Q896" s="389"/>
      <c r="R896" s="389"/>
      <c r="S896" s="389"/>
      <c r="T896" s="389"/>
      <c r="U896" s="389"/>
      <c r="V896" s="389"/>
      <c r="W896" s="389"/>
      <c r="X896" s="389"/>
      <c r="Y896" s="389"/>
      <c r="Z896" s="389"/>
      <c r="AA896" s="389"/>
      <c r="AB896" s="389"/>
      <c r="AC896" s="389"/>
      <c r="AD896" s="389"/>
      <c r="AE896" s="389"/>
    </row>
    <row r="897" spans="1:31" ht="15.5" x14ac:dyDescent="0.35">
      <c r="A897" s="390"/>
      <c r="B897" s="389"/>
      <c r="C897" s="389"/>
      <c r="D897" s="389"/>
      <c r="E897" s="389"/>
      <c r="F897" s="389"/>
      <c r="G897" s="389"/>
      <c r="H897" s="389"/>
      <c r="I897" s="389"/>
      <c r="J897" s="389"/>
      <c r="K897" s="389"/>
      <c r="L897" s="389"/>
      <c r="M897" s="389"/>
      <c r="N897" s="389"/>
      <c r="O897" s="389"/>
      <c r="P897" s="389"/>
      <c r="Q897" s="389"/>
      <c r="R897" s="389"/>
      <c r="S897" s="389"/>
      <c r="T897" s="389"/>
      <c r="U897" s="389"/>
      <c r="V897" s="389"/>
      <c r="W897" s="389"/>
      <c r="X897" s="389"/>
      <c r="Y897" s="389"/>
      <c r="Z897" s="389"/>
      <c r="AA897" s="389"/>
      <c r="AB897" s="389"/>
      <c r="AC897" s="389"/>
      <c r="AD897" s="389"/>
      <c r="AE897" s="389"/>
    </row>
    <row r="898" spans="1:31" ht="15.5" x14ac:dyDescent="0.35">
      <c r="A898" s="390"/>
      <c r="B898" s="389"/>
      <c r="C898" s="389"/>
      <c r="D898" s="389"/>
      <c r="E898" s="389"/>
      <c r="F898" s="389"/>
      <c r="G898" s="389"/>
      <c r="H898" s="389"/>
      <c r="I898" s="389"/>
      <c r="J898" s="389"/>
      <c r="K898" s="389"/>
      <c r="L898" s="389"/>
      <c r="M898" s="389"/>
      <c r="N898" s="389"/>
      <c r="O898" s="389"/>
      <c r="P898" s="389"/>
      <c r="Q898" s="389"/>
      <c r="R898" s="389"/>
      <c r="S898" s="389"/>
      <c r="T898" s="389"/>
      <c r="U898" s="389"/>
      <c r="V898" s="389"/>
      <c r="W898" s="389"/>
      <c r="X898" s="389"/>
      <c r="Y898" s="389"/>
      <c r="Z898" s="389"/>
      <c r="AA898" s="389"/>
      <c r="AB898" s="389"/>
      <c r="AC898" s="389"/>
      <c r="AD898" s="389"/>
      <c r="AE898" s="389"/>
    </row>
    <row r="899" spans="1:31" ht="15.5" x14ac:dyDescent="0.35">
      <c r="A899" s="390"/>
      <c r="B899" s="389"/>
      <c r="C899" s="389"/>
      <c r="D899" s="389"/>
      <c r="E899" s="389"/>
      <c r="F899" s="389"/>
      <c r="G899" s="389"/>
      <c r="H899" s="389"/>
      <c r="I899" s="389"/>
      <c r="J899" s="389"/>
      <c r="K899" s="389"/>
      <c r="L899" s="389"/>
      <c r="M899" s="389"/>
      <c r="N899" s="389"/>
      <c r="O899" s="389"/>
      <c r="P899" s="389"/>
      <c r="Q899" s="389"/>
      <c r="R899" s="389"/>
      <c r="S899" s="389"/>
      <c r="T899" s="389"/>
      <c r="U899" s="389"/>
      <c r="V899" s="389"/>
      <c r="W899" s="389"/>
      <c r="X899" s="389"/>
      <c r="Y899" s="389"/>
      <c r="Z899" s="389"/>
      <c r="AA899" s="389"/>
      <c r="AB899" s="389"/>
      <c r="AC899" s="389"/>
      <c r="AD899" s="389"/>
      <c r="AE899" s="389"/>
    </row>
    <row r="900" spans="1:31" ht="15.5" x14ac:dyDescent="0.35">
      <c r="A900" s="390"/>
      <c r="B900" s="389"/>
      <c r="C900" s="389"/>
      <c r="D900" s="389"/>
      <c r="E900" s="389"/>
      <c r="F900" s="389"/>
      <c r="G900" s="389"/>
      <c r="H900" s="389"/>
      <c r="I900" s="389"/>
      <c r="J900" s="389"/>
      <c r="K900" s="389"/>
      <c r="L900" s="389"/>
      <c r="M900" s="389"/>
      <c r="N900" s="389"/>
      <c r="O900" s="389"/>
      <c r="P900" s="389"/>
      <c r="Q900" s="389"/>
      <c r="R900" s="389"/>
      <c r="S900" s="389"/>
      <c r="T900" s="389"/>
      <c r="U900" s="389"/>
      <c r="V900" s="389"/>
      <c r="W900" s="389"/>
      <c r="X900" s="389"/>
      <c r="Y900" s="389"/>
      <c r="Z900" s="389"/>
      <c r="AA900" s="389"/>
      <c r="AB900" s="389"/>
      <c r="AC900" s="389"/>
      <c r="AD900" s="389"/>
      <c r="AE900" s="389"/>
    </row>
    <row r="901" spans="1:31" ht="15.5" x14ac:dyDescent="0.35">
      <c r="A901" s="390"/>
      <c r="B901" s="389"/>
      <c r="C901" s="389"/>
      <c r="D901" s="389"/>
      <c r="E901" s="389"/>
      <c r="F901" s="389"/>
      <c r="G901" s="389"/>
      <c r="H901" s="389"/>
      <c r="I901" s="389"/>
      <c r="J901" s="389"/>
      <c r="K901" s="389"/>
      <c r="L901" s="389"/>
      <c r="M901" s="389"/>
      <c r="N901" s="389"/>
      <c r="O901" s="389"/>
      <c r="P901" s="389"/>
      <c r="Q901" s="389"/>
      <c r="R901" s="389"/>
      <c r="S901" s="389"/>
      <c r="T901" s="389"/>
      <c r="U901" s="389"/>
      <c r="V901" s="389"/>
      <c r="W901" s="389"/>
      <c r="X901" s="389"/>
      <c r="Y901" s="389"/>
      <c r="Z901" s="389"/>
      <c r="AA901" s="389"/>
      <c r="AB901" s="389"/>
      <c r="AC901" s="389"/>
      <c r="AD901" s="389"/>
      <c r="AE901" s="389"/>
    </row>
    <row r="902" spans="1:31" ht="15.5" x14ac:dyDescent="0.35">
      <c r="A902" s="390"/>
      <c r="B902" s="389"/>
      <c r="C902" s="389"/>
      <c r="D902" s="389"/>
      <c r="E902" s="389"/>
      <c r="F902" s="389"/>
      <c r="G902" s="389"/>
      <c r="H902" s="389"/>
      <c r="I902" s="389"/>
      <c r="J902" s="389"/>
      <c r="K902" s="389"/>
      <c r="L902" s="389"/>
      <c r="M902" s="389"/>
      <c r="N902" s="389"/>
      <c r="O902" s="389"/>
      <c r="P902" s="389"/>
      <c r="Q902" s="389"/>
      <c r="R902" s="389"/>
      <c r="S902" s="389"/>
      <c r="T902" s="389"/>
      <c r="U902" s="389"/>
      <c r="V902" s="389"/>
      <c r="W902" s="389"/>
      <c r="X902" s="389"/>
      <c r="Y902" s="389"/>
      <c r="Z902" s="389"/>
      <c r="AA902" s="389"/>
      <c r="AB902" s="389"/>
      <c r="AC902" s="389"/>
      <c r="AD902" s="389"/>
      <c r="AE902" s="389"/>
    </row>
    <row r="903" spans="1:31" ht="15.5" x14ac:dyDescent="0.35">
      <c r="A903" s="390"/>
      <c r="B903" s="389"/>
      <c r="C903" s="389"/>
      <c r="D903" s="389"/>
      <c r="E903" s="389"/>
      <c r="F903" s="389"/>
      <c r="G903" s="389"/>
      <c r="H903" s="389"/>
      <c r="I903" s="389"/>
      <c r="J903" s="389"/>
      <c r="K903" s="389"/>
      <c r="L903" s="389"/>
      <c r="M903" s="389"/>
      <c r="N903" s="389"/>
      <c r="O903" s="389"/>
      <c r="P903" s="389"/>
      <c r="Q903" s="389"/>
      <c r="R903" s="389"/>
      <c r="S903" s="389"/>
      <c r="T903" s="389"/>
      <c r="U903" s="389"/>
      <c r="V903" s="389"/>
      <c r="W903" s="389"/>
      <c r="X903" s="389"/>
      <c r="Y903" s="389"/>
      <c r="Z903" s="389"/>
      <c r="AA903" s="389"/>
      <c r="AB903" s="389"/>
      <c r="AC903" s="389"/>
      <c r="AD903" s="389"/>
      <c r="AE903" s="389"/>
    </row>
    <row r="904" spans="1:31" ht="15.5" x14ac:dyDescent="0.35">
      <c r="A904" s="390"/>
      <c r="B904" s="389"/>
      <c r="C904" s="389"/>
      <c r="D904" s="389"/>
      <c r="E904" s="389"/>
      <c r="F904" s="389"/>
      <c r="G904" s="389"/>
      <c r="H904" s="389"/>
      <c r="I904" s="389"/>
      <c r="J904" s="389"/>
      <c r="K904" s="389"/>
      <c r="L904" s="389"/>
      <c r="M904" s="389"/>
      <c r="N904" s="389"/>
      <c r="O904" s="389"/>
      <c r="P904" s="389"/>
      <c r="Q904" s="389"/>
      <c r="R904" s="389"/>
      <c r="S904" s="389"/>
      <c r="T904" s="389"/>
      <c r="U904" s="389"/>
      <c r="V904" s="389"/>
      <c r="W904" s="389"/>
      <c r="X904" s="389"/>
      <c r="Y904" s="389"/>
      <c r="Z904" s="389"/>
      <c r="AA904" s="389"/>
      <c r="AB904" s="389"/>
      <c r="AC904" s="389"/>
      <c r="AD904" s="389"/>
      <c r="AE904" s="389"/>
    </row>
    <row r="905" spans="1:31" ht="15.5" x14ac:dyDescent="0.35">
      <c r="A905" s="390"/>
      <c r="B905" s="389"/>
      <c r="C905" s="389"/>
      <c r="D905" s="389"/>
      <c r="E905" s="389"/>
      <c r="F905" s="389"/>
      <c r="G905" s="389"/>
      <c r="H905" s="389"/>
      <c r="I905" s="389"/>
      <c r="J905" s="389"/>
      <c r="K905" s="389"/>
      <c r="L905" s="389"/>
      <c r="M905" s="389"/>
      <c r="N905" s="389"/>
      <c r="O905" s="389"/>
      <c r="P905" s="389"/>
      <c r="Q905" s="389"/>
      <c r="R905" s="389"/>
      <c r="S905" s="389"/>
      <c r="T905" s="389"/>
      <c r="U905" s="389"/>
      <c r="V905" s="389"/>
      <c r="W905" s="389"/>
      <c r="X905" s="389"/>
      <c r="Y905" s="389"/>
      <c r="Z905" s="389"/>
      <c r="AA905" s="389"/>
      <c r="AB905" s="389"/>
      <c r="AC905" s="389"/>
      <c r="AD905" s="389"/>
      <c r="AE905" s="389"/>
    </row>
    <row r="906" spans="1:31" ht="15.5" x14ac:dyDescent="0.35">
      <c r="A906" s="390"/>
      <c r="B906" s="389"/>
      <c r="C906" s="389"/>
      <c r="D906" s="389"/>
      <c r="E906" s="389"/>
      <c r="F906" s="389"/>
      <c r="G906" s="389"/>
      <c r="H906" s="389"/>
      <c r="I906" s="389"/>
      <c r="J906" s="389"/>
      <c r="K906" s="389"/>
      <c r="L906" s="389"/>
      <c r="M906" s="389"/>
      <c r="N906" s="389"/>
      <c r="O906" s="389"/>
      <c r="P906" s="389"/>
      <c r="Q906" s="389"/>
      <c r="R906" s="389"/>
      <c r="S906" s="389"/>
      <c r="T906" s="389"/>
      <c r="U906" s="389"/>
      <c r="V906" s="389"/>
      <c r="W906" s="389"/>
      <c r="X906" s="389"/>
      <c r="Y906" s="389"/>
      <c r="Z906" s="389"/>
      <c r="AA906" s="389"/>
      <c r="AB906" s="389"/>
      <c r="AC906" s="389"/>
      <c r="AD906" s="389"/>
      <c r="AE906" s="389"/>
    </row>
    <row r="907" spans="1:31" ht="15.5" x14ac:dyDescent="0.35">
      <c r="A907" s="390"/>
      <c r="B907" s="389"/>
      <c r="C907" s="389"/>
      <c r="D907" s="389"/>
      <c r="E907" s="389"/>
      <c r="F907" s="389"/>
      <c r="G907" s="389"/>
      <c r="H907" s="389"/>
      <c r="I907" s="389"/>
      <c r="J907" s="389"/>
      <c r="K907" s="389"/>
      <c r="L907" s="389"/>
      <c r="M907" s="389"/>
      <c r="N907" s="389"/>
      <c r="O907" s="389"/>
      <c r="P907" s="389"/>
      <c r="Q907" s="389"/>
      <c r="R907" s="389"/>
      <c r="S907" s="389"/>
      <c r="T907" s="389"/>
      <c r="U907" s="389"/>
      <c r="V907" s="389"/>
      <c r="W907" s="389"/>
      <c r="X907" s="389"/>
      <c r="Y907" s="389"/>
      <c r="Z907" s="389"/>
      <c r="AA907" s="389"/>
      <c r="AB907" s="389"/>
      <c r="AC907" s="389"/>
      <c r="AD907" s="389"/>
      <c r="AE907" s="389"/>
    </row>
    <row r="908" spans="1:31" ht="15.5" x14ac:dyDescent="0.35">
      <c r="A908" s="390"/>
      <c r="B908" s="389"/>
      <c r="C908" s="389"/>
      <c r="D908" s="389"/>
      <c r="E908" s="389"/>
      <c r="F908" s="389"/>
      <c r="G908" s="389"/>
      <c r="H908" s="389"/>
      <c r="I908" s="389"/>
      <c r="J908" s="389"/>
      <c r="K908" s="389"/>
      <c r="L908" s="389"/>
      <c r="M908" s="389"/>
      <c r="N908" s="389"/>
      <c r="O908" s="389"/>
      <c r="P908" s="389"/>
      <c r="Q908" s="389"/>
      <c r="R908" s="389"/>
      <c r="S908" s="389"/>
      <c r="T908" s="389"/>
      <c r="U908" s="389"/>
      <c r="V908" s="389"/>
      <c r="W908" s="389"/>
      <c r="X908" s="389"/>
      <c r="Y908" s="389"/>
      <c r="Z908" s="389"/>
      <c r="AA908" s="389"/>
      <c r="AB908" s="389"/>
      <c r="AC908" s="389"/>
      <c r="AD908" s="389"/>
      <c r="AE908" s="389"/>
    </row>
    <row r="909" spans="1:31" ht="15.5" x14ac:dyDescent="0.35">
      <c r="A909" s="390"/>
      <c r="B909" s="389"/>
      <c r="C909" s="389"/>
      <c r="D909" s="389"/>
      <c r="E909" s="389"/>
      <c r="F909" s="389"/>
      <c r="G909" s="389"/>
      <c r="H909" s="389"/>
      <c r="I909" s="389"/>
      <c r="J909" s="389"/>
      <c r="K909" s="389"/>
      <c r="L909" s="389"/>
      <c r="M909" s="389"/>
      <c r="N909" s="389"/>
      <c r="O909" s="389"/>
      <c r="P909" s="389"/>
      <c r="Q909" s="389"/>
      <c r="R909" s="389"/>
      <c r="S909" s="389"/>
      <c r="T909" s="389"/>
      <c r="U909" s="389"/>
      <c r="V909" s="389"/>
      <c r="W909" s="389"/>
      <c r="X909" s="389"/>
      <c r="Y909" s="389"/>
      <c r="Z909" s="389"/>
      <c r="AA909" s="389"/>
      <c r="AB909" s="389"/>
      <c r="AC909" s="389"/>
      <c r="AD909" s="389"/>
      <c r="AE909" s="389"/>
    </row>
    <row r="910" spans="1:31" ht="15.5" x14ac:dyDescent="0.35">
      <c r="A910" s="390"/>
      <c r="B910" s="389"/>
      <c r="C910" s="389"/>
      <c r="D910" s="389"/>
      <c r="E910" s="389"/>
      <c r="F910" s="389"/>
      <c r="G910" s="389"/>
      <c r="H910" s="389"/>
      <c r="I910" s="389"/>
      <c r="J910" s="389"/>
      <c r="K910" s="389"/>
      <c r="L910" s="389"/>
      <c r="M910" s="389"/>
      <c r="N910" s="389"/>
      <c r="O910" s="389"/>
      <c r="P910" s="389"/>
      <c r="Q910" s="389"/>
      <c r="R910" s="389"/>
      <c r="S910" s="389"/>
      <c r="T910" s="389"/>
      <c r="U910" s="389"/>
      <c r="V910" s="389"/>
      <c r="W910" s="389"/>
      <c r="X910" s="389"/>
      <c r="Y910" s="389"/>
      <c r="Z910" s="389"/>
      <c r="AA910" s="389"/>
      <c r="AB910" s="389"/>
      <c r="AC910" s="389"/>
      <c r="AD910" s="389"/>
      <c r="AE910" s="389"/>
    </row>
    <row r="911" spans="1:31" ht="15.5" x14ac:dyDescent="0.35">
      <c r="A911" s="390"/>
      <c r="B911" s="389"/>
      <c r="C911" s="389"/>
      <c r="D911" s="389"/>
      <c r="E911" s="389"/>
      <c r="F911" s="389"/>
      <c r="G911" s="389"/>
      <c r="H911" s="389"/>
      <c r="I911" s="389"/>
      <c r="J911" s="389"/>
      <c r="K911" s="389"/>
      <c r="L911" s="389"/>
      <c r="M911" s="389"/>
      <c r="N911" s="389"/>
      <c r="O911" s="389"/>
      <c r="P911" s="389"/>
      <c r="Q911" s="389"/>
      <c r="R911" s="389"/>
      <c r="S911" s="389"/>
      <c r="T911" s="389"/>
      <c r="U911" s="389"/>
      <c r="V911" s="389"/>
      <c r="W911" s="389"/>
      <c r="X911" s="389"/>
      <c r="Y911" s="389"/>
      <c r="Z911" s="389"/>
      <c r="AA911" s="389"/>
      <c r="AB911" s="389"/>
      <c r="AC911" s="389"/>
      <c r="AD911" s="389"/>
      <c r="AE911" s="389"/>
    </row>
    <row r="912" spans="1:31" ht="15.5" x14ac:dyDescent="0.35">
      <c r="A912" s="390"/>
      <c r="B912" s="389"/>
      <c r="C912" s="389"/>
      <c r="D912" s="389"/>
      <c r="E912" s="389"/>
      <c r="F912" s="389"/>
      <c r="G912" s="389"/>
      <c r="H912" s="389"/>
      <c r="I912" s="389"/>
      <c r="J912" s="389"/>
      <c r="K912" s="389"/>
      <c r="L912" s="389"/>
      <c r="M912" s="389"/>
      <c r="N912" s="389"/>
      <c r="O912" s="389"/>
      <c r="P912" s="389"/>
      <c r="Q912" s="389"/>
      <c r="R912" s="389"/>
      <c r="S912" s="389"/>
      <c r="T912" s="389"/>
      <c r="U912" s="389"/>
      <c r="V912" s="389"/>
      <c r="W912" s="389"/>
      <c r="X912" s="389"/>
      <c r="Y912" s="389"/>
      <c r="Z912" s="389"/>
      <c r="AA912" s="389"/>
      <c r="AB912" s="389"/>
      <c r="AC912" s="389"/>
      <c r="AD912" s="389"/>
      <c r="AE912" s="389"/>
    </row>
    <row r="913" spans="1:31" ht="15.5" x14ac:dyDescent="0.35">
      <c r="A913" s="390"/>
      <c r="B913" s="389"/>
      <c r="C913" s="389"/>
      <c r="D913" s="389"/>
      <c r="E913" s="389"/>
      <c r="F913" s="389"/>
      <c r="G913" s="389"/>
      <c r="H913" s="389"/>
      <c r="I913" s="389"/>
      <c r="J913" s="389"/>
      <c r="K913" s="389"/>
      <c r="L913" s="389"/>
      <c r="M913" s="389"/>
      <c r="N913" s="389"/>
      <c r="O913" s="389"/>
      <c r="P913" s="389"/>
      <c r="Q913" s="389"/>
      <c r="R913" s="389"/>
      <c r="S913" s="389"/>
      <c r="T913" s="389"/>
      <c r="U913" s="389"/>
      <c r="V913" s="389"/>
      <c r="W913" s="389"/>
      <c r="X913" s="389"/>
      <c r="Y913" s="389"/>
      <c r="Z913" s="389"/>
      <c r="AA913" s="389"/>
      <c r="AB913" s="389"/>
      <c r="AC913" s="389"/>
      <c r="AD913" s="389"/>
      <c r="AE913" s="389"/>
    </row>
    <row r="914" spans="1:31" ht="15.5" x14ac:dyDescent="0.35">
      <c r="A914" s="390"/>
      <c r="B914" s="389"/>
      <c r="C914" s="389"/>
      <c r="D914" s="389"/>
      <c r="E914" s="389"/>
      <c r="F914" s="389"/>
      <c r="G914" s="389"/>
      <c r="H914" s="389"/>
      <c r="I914" s="389"/>
      <c r="J914" s="389"/>
      <c r="K914" s="389"/>
      <c r="L914" s="389"/>
      <c r="M914" s="389"/>
      <c r="N914" s="389"/>
      <c r="O914" s="389"/>
      <c r="P914" s="389"/>
      <c r="Q914" s="389"/>
      <c r="R914" s="389"/>
      <c r="S914" s="389"/>
      <c r="T914" s="389"/>
      <c r="U914" s="389"/>
      <c r="V914" s="389"/>
      <c r="W914" s="389"/>
      <c r="X914" s="389"/>
      <c r="Y914" s="389"/>
      <c r="Z914" s="389"/>
      <c r="AA914" s="389"/>
      <c r="AB914" s="389"/>
      <c r="AC914" s="389"/>
      <c r="AD914" s="389"/>
      <c r="AE914" s="389"/>
    </row>
    <row r="915" spans="1:31" ht="15.5" x14ac:dyDescent="0.35">
      <c r="A915" s="390"/>
      <c r="B915" s="389"/>
      <c r="C915" s="389"/>
      <c r="D915" s="389"/>
      <c r="E915" s="389"/>
      <c r="F915" s="389"/>
      <c r="G915" s="389"/>
      <c r="H915" s="389"/>
      <c r="I915" s="389"/>
      <c r="J915" s="389"/>
      <c r="K915" s="389"/>
      <c r="L915" s="389"/>
      <c r="M915" s="389"/>
      <c r="N915" s="389"/>
      <c r="O915" s="389"/>
      <c r="P915" s="389"/>
      <c r="Q915" s="389"/>
      <c r="R915" s="389"/>
      <c r="S915" s="389"/>
      <c r="T915" s="389"/>
      <c r="U915" s="389"/>
      <c r="V915" s="389"/>
      <c r="W915" s="389"/>
      <c r="X915" s="389"/>
      <c r="Y915" s="389"/>
      <c r="Z915" s="389"/>
      <c r="AA915" s="389"/>
      <c r="AB915" s="389"/>
      <c r="AC915" s="389"/>
      <c r="AD915" s="389"/>
      <c r="AE915" s="389"/>
    </row>
    <row r="916" spans="1:31" ht="15.5" x14ac:dyDescent="0.35">
      <c r="A916" s="390"/>
      <c r="B916" s="389"/>
      <c r="C916" s="389"/>
      <c r="D916" s="389"/>
      <c r="E916" s="389"/>
      <c r="F916" s="389"/>
      <c r="G916" s="389"/>
      <c r="H916" s="389"/>
      <c r="I916" s="389"/>
      <c r="J916" s="389"/>
      <c r="K916" s="389"/>
      <c r="L916" s="389"/>
      <c r="M916" s="389"/>
      <c r="N916" s="389"/>
      <c r="O916" s="389"/>
      <c r="P916" s="389"/>
      <c r="Q916" s="389"/>
      <c r="R916" s="389"/>
      <c r="S916" s="389"/>
      <c r="T916" s="389"/>
      <c r="U916" s="389"/>
      <c r="V916" s="389"/>
      <c r="W916" s="389"/>
      <c r="X916" s="389"/>
      <c r="Y916" s="389"/>
      <c r="Z916" s="389"/>
      <c r="AA916" s="389"/>
      <c r="AB916" s="389"/>
      <c r="AC916" s="389"/>
      <c r="AD916" s="389"/>
      <c r="AE916" s="389"/>
    </row>
    <row r="917" spans="1:31" ht="15.5" x14ac:dyDescent="0.35">
      <c r="A917" s="390"/>
      <c r="B917" s="389"/>
      <c r="C917" s="389"/>
      <c r="D917" s="389"/>
      <c r="E917" s="389"/>
      <c r="F917" s="389"/>
      <c r="G917" s="389"/>
      <c r="H917" s="389"/>
      <c r="I917" s="389"/>
      <c r="J917" s="389"/>
      <c r="K917" s="389"/>
      <c r="L917" s="389"/>
      <c r="M917" s="389"/>
      <c r="N917" s="389"/>
      <c r="O917" s="389"/>
      <c r="P917" s="389"/>
      <c r="Q917" s="389"/>
      <c r="R917" s="389"/>
      <c r="S917" s="389"/>
      <c r="T917" s="389"/>
      <c r="U917" s="389"/>
      <c r="V917" s="389"/>
      <c r="W917" s="389"/>
      <c r="X917" s="389"/>
      <c r="Y917" s="389"/>
      <c r="Z917" s="389"/>
      <c r="AA917" s="389"/>
      <c r="AB917" s="389"/>
      <c r="AC917" s="389"/>
      <c r="AD917" s="389"/>
      <c r="AE917" s="389"/>
    </row>
    <row r="918" spans="1:31" ht="15.5" x14ac:dyDescent="0.35">
      <c r="A918" s="390"/>
      <c r="B918" s="389"/>
      <c r="C918" s="389"/>
      <c r="D918" s="389"/>
      <c r="E918" s="389"/>
      <c r="F918" s="389"/>
      <c r="G918" s="389"/>
      <c r="H918" s="389"/>
      <c r="I918" s="389"/>
      <c r="J918" s="389"/>
      <c r="K918" s="389"/>
      <c r="L918" s="389"/>
      <c r="M918" s="389"/>
      <c r="N918" s="389"/>
      <c r="O918" s="389"/>
      <c r="P918" s="389"/>
      <c r="Q918" s="389"/>
      <c r="R918" s="389"/>
      <c r="S918" s="389"/>
      <c r="T918" s="389"/>
      <c r="U918" s="389"/>
      <c r="V918" s="389"/>
      <c r="W918" s="389"/>
      <c r="X918" s="389"/>
      <c r="Y918" s="389"/>
      <c r="Z918" s="389"/>
      <c r="AA918" s="389"/>
      <c r="AB918" s="389"/>
      <c r="AC918" s="389"/>
      <c r="AD918" s="389"/>
      <c r="AE918" s="389"/>
    </row>
    <row r="919" spans="1:31" ht="15.5" x14ac:dyDescent="0.35">
      <c r="A919" s="390"/>
      <c r="B919" s="389"/>
      <c r="C919" s="389"/>
      <c r="D919" s="389"/>
      <c r="E919" s="389"/>
      <c r="F919" s="389"/>
      <c r="G919" s="389"/>
      <c r="H919" s="389"/>
      <c r="I919" s="389"/>
      <c r="J919" s="389"/>
      <c r="K919" s="389"/>
      <c r="L919" s="389"/>
      <c r="M919" s="389"/>
      <c r="N919" s="389"/>
      <c r="O919" s="389"/>
      <c r="P919" s="389"/>
      <c r="Q919" s="389"/>
      <c r="R919" s="389"/>
      <c r="S919" s="389"/>
      <c r="T919" s="389"/>
      <c r="U919" s="389"/>
      <c r="V919" s="389"/>
      <c r="W919" s="389"/>
      <c r="X919" s="389"/>
      <c r="Y919" s="389"/>
      <c r="Z919" s="389"/>
      <c r="AA919" s="389"/>
      <c r="AB919" s="389"/>
      <c r="AC919" s="389"/>
      <c r="AD919" s="389"/>
      <c r="AE919" s="389"/>
    </row>
    <row r="920" spans="1:31" ht="15.5" x14ac:dyDescent="0.35">
      <c r="A920" s="390"/>
      <c r="B920" s="389"/>
      <c r="C920" s="389"/>
      <c r="D920" s="389"/>
      <c r="E920" s="389"/>
      <c r="F920" s="389"/>
      <c r="G920" s="389"/>
      <c r="H920" s="389"/>
      <c r="I920" s="389"/>
      <c r="J920" s="389"/>
      <c r="K920" s="389"/>
      <c r="L920" s="389"/>
      <c r="M920" s="389"/>
      <c r="N920" s="389"/>
      <c r="O920" s="389"/>
      <c r="P920" s="389"/>
      <c r="Q920" s="389"/>
      <c r="R920" s="389"/>
      <c r="S920" s="389"/>
      <c r="T920" s="389"/>
      <c r="U920" s="389"/>
      <c r="V920" s="389"/>
      <c r="W920" s="389"/>
      <c r="X920" s="389"/>
      <c r="Y920" s="389"/>
      <c r="Z920" s="389"/>
      <c r="AA920" s="389"/>
      <c r="AB920" s="389"/>
      <c r="AC920" s="389"/>
      <c r="AD920" s="389"/>
      <c r="AE920" s="389"/>
    </row>
    <row r="921" spans="1:31" ht="15.5" x14ac:dyDescent="0.35">
      <c r="A921" s="390"/>
      <c r="B921" s="389"/>
      <c r="C921" s="389"/>
      <c r="D921" s="389"/>
      <c r="E921" s="389"/>
      <c r="F921" s="389"/>
      <c r="G921" s="389"/>
      <c r="H921" s="389"/>
      <c r="I921" s="389"/>
      <c r="J921" s="389"/>
      <c r="K921" s="389"/>
      <c r="L921" s="389"/>
      <c r="M921" s="389"/>
      <c r="N921" s="389"/>
      <c r="O921" s="389"/>
      <c r="P921" s="389"/>
      <c r="Q921" s="389"/>
      <c r="R921" s="389"/>
      <c r="S921" s="389"/>
      <c r="T921" s="389"/>
      <c r="U921" s="389"/>
      <c r="V921" s="389"/>
      <c r="W921" s="389"/>
      <c r="X921" s="389"/>
      <c r="Y921" s="389"/>
      <c r="Z921" s="389"/>
      <c r="AA921" s="389"/>
      <c r="AB921" s="389"/>
      <c r="AC921" s="389"/>
      <c r="AD921" s="389"/>
      <c r="AE921" s="389"/>
    </row>
    <row r="922" spans="1:31" ht="15.5" x14ac:dyDescent="0.35">
      <c r="A922" s="390"/>
      <c r="B922" s="389"/>
      <c r="C922" s="389"/>
      <c r="D922" s="389"/>
      <c r="E922" s="389"/>
      <c r="F922" s="389"/>
      <c r="G922" s="389"/>
      <c r="H922" s="389"/>
      <c r="I922" s="389"/>
      <c r="J922" s="389"/>
      <c r="K922" s="389"/>
      <c r="L922" s="389"/>
      <c r="M922" s="389"/>
      <c r="N922" s="389"/>
      <c r="O922" s="389"/>
      <c r="P922" s="389"/>
      <c r="Q922" s="389"/>
      <c r="R922" s="389"/>
      <c r="S922" s="389"/>
      <c r="T922" s="389"/>
      <c r="U922" s="389"/>
      <c r="V922" s="389"/>
      <c r="W922" s="389"/>
      <c r="X922" s="389"/>
      <c r="Y922" s="389"/>
      <c r="Z922" s="389"/>
      <c r="AA922" s="389"/>
      <c r="AB922" s="389"/>
      <c r="AC922" s="389"/>
      <c r="AD922" s="389"/>
      <c r="AE922" s="389"/>
    </row>
    <row r="923" spans="1:31" ht="15.5" x14ac:dyDescent="0.35">
      <c r="A923" s="390"/>
      <c r="B923" s="389"/>
      <c r="C923" s="389"/>
      <c r="D923" s="389"/>
      <c r="E923" s="389"/>
      <c r="F923" s="389"/>
      <c r="G923" s="389"/>
      <c r="H923" s="389"/>
      <c r="I923" s="389"/>
      <c r="J923" s="389"/>
      <c r="K923" s="389"/>
      <c r="L923" s="389"/>
      <c r="M923" s="389"/>
      <c r="N923" s="389"/>
      <c r="O923" s="389"/>
      <c r="P923" s="389"/>
      <c r="Q923" s="389"/>
      <c r="R923" s="389"/>
      <c r="S923" s="389"/>
      <c r="T923" s="389"/>
      <c r="U923" s="389"/>
      <c r="V923" s="389"/>
      <c r="W923" s="389"/>
      <c r="X923" s="389"/>
      <c r="Y923" s="389"/>
      <c r="Z923" s="389"/>
      <c r="AA923" s="389"/>
      <c r="AB923" s="389"/>
      <c r="AC923" s="389"/>
      <c r="AD923" s="389"/>
      <c r="AE923" s="389"/>
    </row>
    <row r="924" spans="1:31" ht="15.5" x14ac:dyDescent="0.35">
      <c r="A924" s="390"/>
      <c r="B924" s="389"/>
      <c r="C924" s="389"/>
      <c r="D924" s="389"/>
      <c r="E924" s="389"/>
      <c r="F924" s="389"/>
      <c r="G924" s="389"/>
      <c r="H924" s="389"/>
      <c r="I924" s="389"/>
      <c r="J924" s="389"/>
      <c r="K924" s="389"/>
      <c r="L924" s="389"/>
      <c r="M924" s="389"/>
      <c r="N924" s="389"/>
      <c r="O924" s="389"/>
      <c r="P924" s="389"/>
      <c r="Q924" s="389"/>
      <c r="R924" s="389"/>
      <c r="S924" s="389"/>
      <c r="T924" s="389"/>
      <c r="U924" s="389"/>
      <c r="V924" s="389"/>
      <c r="W924" s="389"/>
      <c r="X924" s="389"/>
      <c r="Y924" s="389"/>
      <c r="Z924" s="389"/>
      <c r="AA924" s="389"/>
      <c r="AB924" s="389"/>
      <c r="AC924" s="389"/>
      <c r="AD924" s="389"/>
      <c r="AE924" s="389"/>
    </row>
    <row r="925" spans="1:31" ht="15.5" x14ac:dyDescent="0.35">
      <c r="A925" s="390"/>
      <c r="B925" s="389"/>
      <c r="C925" s="389"/>
      <c r="D925" s="389"/>
      <c r="E925" s="389"/>
      <c r="F925" s="389"/>
      <c r="G925" s="389"/>
      <c r="H925" s="389"/>
      <c r="I925" s="389"/>
      <c r="J925" s="389"/>
      <c r="K925" s="389"/>
      <c r="L925" s="389"/>
      <c r="M925" s="389"/>
      <c r="N925" s="389"/>
      <c r="O925" s="389"/>
      <c r="P925" s="389"/>
      <c r="Q925" s="389"/>
      <c r="R925" s="389"/>
      <c r="S925" s="389"/>
      <c r="T925" s="389"/>
      <c r="U925" s="389"/>
      <c r="V925" s="389"/>
      <c r="W925" s="389"/>
      <c r="X925" s="389"/>
      <c r="Y925" s="389"/>
      <c r="Z925" s="389"/>
      <c r="AA925" s="389"/>
      <c r="AB925" s="389"/>
      <c r="AC925" s="389"/>
      <c r="AD925" s="389"/>
      <c r="AE925" s="389"/>
    </row>
    <row r="926" spans="1:31" ht="15.5" x14ac:dyDescent="0.35">
      <c r="A926" s="390"/>
      <c r="B926" s="389"/>
      <c r="C926" s="389"/>
      <c r="D926" s="389"/>
      <c r="E926" s="389"/>
      <c r="F926" s="389"/>
      <c r="G926" s="389"/>
      <c r="H926" s="389"/>
      <c r="I926" s="389"/>
      <c r="J926" s="389"/>
      <c r="K926" s="389"/>
      <c r="L926" s="389"/>
      <c r="M926" s="389"/>
      <c r="N926" s="389"/>
      <c r="O926" s="389"/>
      <c r="P926" s="389"/>
      <c r="Q926" s="389"/>
      <c r="R926" s="389"/>
      <c r="S926" s="389"/>
      <c r="T926" s="389"/>
      <c r="U926" s="389"/>
      <c r="V926" s="389"/>
      <c r="W926" s="389"/>
      <c r="X926" s="389"/>
      <c r="Y926" s="389"/>
      <c r="Z926" s="389"/>
      <c r="AA926" s="389"/>
      <c r="AB926" s="389"/>
      <c r="AC926" s="389"/>
      <c r="AD926" s="389"/>
      <c r="AE926" s="389"/>
    </row>
    <row r="927" spans="1:31" ht="15.5" x14ac:dyDescent="0.35">
      <c r="A927" s="390"/>
      <c r="B927" s="389"/>
      <c r="C927" s="389"/>
      <c r="D927" s="389"/>
      <c r="E927" s="389"/>
      <c r="F927" s="389"/>
      <c r="G927" s="389"/>
      <c r="H927" s="389"/>
      <c r="I927" s="389"/>
      <c r="J927" s="389"/>
      <c r="K927" s="389"/>
      <c r="L927" s="389"/>
      <c r="M927" s="389"/>
      <c r="N927" s="389"/>
      <c r="O927" s="389"/>
      <c r="P927" s="389"/>
      <c r="Q927" s="389"/>
      <c r="R927" s="389"/>
      <c r="S927" s="389"/>
      <c r="T927" s="389"/>
      <c r="U927" s="389"/>
      <c r="V927" s="389"/>
      <c r="W927" s="389"/>
      <c r="X927" s="389"/>
      <c r="Y927" s="389"/>
      <c r="Z927" s="389"/>
      <c r="AA927" s="389"/>
      <c r="AB927" s="389"/>
      <c r="AC927" s="389"/>
      <c r="AD927" s="389"/>
      <c r="AE927" s="389"/>
    </row>
    <row r="928" spans="1:31" ht="15.5" x14ac:dyDescent="0.35">
      <c r="A928" s="390"/>
      <c r="B928" s="389"/>
      <c r="C928" s="389"/>
      <c r="D928" s="389"/>
      <c r="E928" s="389"/>
      <c r="F928" s="389"/>
      <c r="G928" s="389"/>
      <c r="H928" s="389"/>
      <c r="I928" s="389"/>
      <c r="J928" s="389"/>
      <c r="K928" s="389"/>
      <c r="L928" s="389"/>
      <c r="M928" s="389"/>
      <c r="N928" s="389"/>
      <c r="O928" s="389"/>
      <c r="P928" s="389"/>
      <c r="Q928" s="389"/>
      <c r="R928" s="389"/>
      <c r="S928" s="389"/>
      <c r="T928" s="389"/>
      <c r="U928" s="389"/>
      <c r="V928" s="389"/>
      <c r="W928" s="389"/>
      <c r="X928" s="389"/>
      <c r="Y928" s="389"/>
      <c r="Z928" s="389"/>
      <c r="AA928" s="389"/>
      <c r="AB928" s="389"/>
      <c r="AC928" s="389"/>
      <c r="AD928" s="389"/>
      <c r="AE928" s="389"/>
    </row>
    <row r="929" spans="1:31" ht="15.5" x14ac:dyDescent="0.35">
      <c r="A929" s="390"/>
      <c r="B929" s="389"/>
      <c r="C929" s="389"/>
      <c r="D929" s="389"/>
      <c r="E929" s="389"/>
      <c r="F929" s="389"/>
      <c r="G929" s="389"/>
      <c r="H929" s="389"/>
      <c r="I929" s="389"/>
      <c r="J929" s="389"/>
      <c r="K929" s="389"/>
      <c r="L929" s="389"/>
      <c r="M929" s="389"/>
      <c r="N929" s="389"/>
      <c r="O929" s="389"/>
      <c r="P929" s="389"/>
      <c r="Q929" s="389"/>
      <c r="R929" s="389"/>
      <c r="S929" s="389"/>
      <c r="T929" s="389"/>
      <c r="U929" s="389"/>
      <c r="V929" s="389"/>
      <c r="W929" s="389"/>
      <c r="X929" s="389"/>
      <c r="Y929" s="389"/>
      <c r="Z929" s="389"/>
      <c r="AA929" s="389"/>
      <c r="AB929" s="389"/>
      <c r="AC929" s="389"/>
      <c r="AD929" s="389"/>
      <c r="AE929" s="389"/>
    </row>
    <row r="930" spans="1:31" ht="15.5" x14ac:dyDescent="0.35">
      <c r="A930" s="390"/>
      <c r="B930" s="389"/>
      <c r="C930" s="389"/>
      <c r="D930" s="389"/>
      <c r="E930" s="389"/>
      <c r="F930" s="389"/>
      <c r="G930" s="389"/>
      <c r="H930" s="389"/>
      <c r="I930" s="389"/>
      <c r="J930" s="389"/>
      <c r="K930" s="389"/>
      <c r="L930" s="389"/>
      <c r="M930" s="389"/>
      <c r="N930" s="389"/>
      <c r="O930" s="389"/>
      <c r="P930" s="389"/>
      <c r="Q930" s="389"/>
      <c r="R930" s="389"/>
      <c r="S930" s="389"/>
      <c r="T930" s="389"/>
      <c r="U930" s="389"/>
      <c r="V930" s="389"/>
      <c r="W930" s="389"/>
      <c r="X930" s="389"/>
      <c r="Y930" s="389"/>
      <c r="Z930" s="389"/>
      <c r="AA930" s="389"/>
      <c r="AB930" s="389"/>
      <c r="AC930" s="389"/>
      <c r="AD930" s="389"/>
      <c r="AE930" s="389"/>
    </row>
    <row r="931" spans="1:31" ht="15.5" x14ac:dyDescent="0.35">
      <c r="A931" s="390"/>
      <c r="B931" s="389"/>
      <c r="C931" s="389"/>
      <c r="D931" s="389"/>
      <c r="E931" s="389"/>
      <c r="F931" s="389"/>
      <c r="G931" s="389"/>
      <c r="H931" s="389"/>
      <c r="I931" s="389"/>
      <c r="J931" s="389"/>
      <c r="K931" s="389"/>
      <c r="L931" s="389"/>
      <c r="M931" s="389"/>
      <c r="N931" s="389"/>
      <c r="O931" s="389"/>
      <c r="P931" s="389"/>
      <c r="Q931" s="389"/>
      <c r="R931" s="389"/>
      <c r="S931" s="389"/>
      <c r="T931" s="389"/>
      <c r="U931" s="389"/>
      <c r="V931" s="389"/>
      <c r="W931" s="389"/>
      <c r="X931" s="389"/>
      <c r="Y931" s="389"/>
      <c r="Z931" s="389"/>
      <c r="AA931" s="389"/>
      <c r="AB931" s="389"/>
      <c r="AC931" s="389"/>
      <c r="AD931" s="389"/>
      <c r="AE931" s="389"/>
    </row>
    <row r="932" spans="1:31" ht="15.5" x14ac:dyDescent="0.35">
      <c r="A932" s="390"/>
      <c r="B932" s="389"/>
      <c r="C932" s="389"/>
      <c r="D932" s="389"/>
      <c r="E932" s="389"/>
      <c r="F932" s="389"/>
      <c r="G932" s="389"/>
      <c r="H932" s="389"/>
      <c r="I932" s="389"/>
      <c r="J932" s="389"/>
      <c r="K932" s="389"/>
      <c r="L932" s="389"/>
      <c r="M932" s="389"/>
      <c r="N932" s="389"/>
      <c r="O932" s="389"/>
      <c r="P932" s="389"/>
      <c r="Q932" s="389"/>
      <c r="R932" s="389"/>
      <c r="S932" s="389"/>
      <c r="T932" s="389"/>
      <c r="U932" s="389"/>
      <c r="V932" s="389"/>
      <c r="W932" s="389"/>
      <c r="X932" s="389"/>
      <c r="Y932" s="389"/>
      <c r="Z932" s="389"/>
      <c r="AA932" s="389"/>
      <c r="AB932" s="389"/>
      <c r="AC932" s="389"/>
      <c r="AD932" s="389"/>
      <c r="AE932" s="389"/>
    </row>
    <row r="933" spans="1:31" ht="15.5" x14ac:dyDescent="0.35">
      <c r="A933" s="390"/>
      <c r="B933" s="389"/>
      <c r="C933" s="389"/>
      <c r="D933" s="389"/>
      <c r="E933" s="389"/>
      <c r="F933" s="389"/>
      <c r="G933" s="389"/>
      <c r="H933" s="389"/>
      <c r="I933" s="389"/>
      <c r="J933" s="389"/>
      <c r="K933" s="389"/>
      <c r="L933" s="389"/>
      <c r="M933" s="389"/>
      <c r="N933" s="389"/>
      <c r="O933" s="389"/>
      <c r="P933" s="389"/>
      <c r="Q933" s="389"/>
      <c r="R933" s="389"/>
      <c r="S933" s="389"/>
      <c r="T933" s="389"/>
      <c r="U933" s="389"/>
      <c r="V933" s="389"/>
      <c r="W933" s="389"/>
      <c r="X933" s="389"/>
      <c r="Y933" s="389"/>
      <c r="Z933" s="389"/>
      <c r="AA933" s="389"/>
      <c r="AB933" s="389"/>
      <c r="AC933" s="389"/>
      <c r="AD933" s="389"/>
      <c r="AE933" s="389"/>
    </row>
    <row r="934" spans="1:31" ht="15.5" x14ac:dyDescent="0.35">
      <c r="A934" s="390"/>
      <c r="B934" s="389"/>
      <c r="C934" s="389"/>
      <c r="D934" s="389"/>
      <c r="E934" s="389"/>
      <c r="F934" s="389"/>
      <c r="G934" s="389"/>
      <c r="H934" s="389"/>
      <c r="I934" s="389"/>
      <c r="J934" s="389"/>
      <c r="K934" s="389"/>
      <c r="L934" s="389"/>
      <c r="M934" s="389"/>
      <c r="N934" s="389"/>
      <c r="O934" s="389"/>
      <c r="P934" s="389"/>
      <c r="Q934" s="389"/>
      <c r="R934" s="389"/>
      <c r="S934" s="389"/>
      <c r="T934" s="389"/>
      <c r="U934" s="389"/>
      <c r="V934" s="389"/>
      <c r="W934" s="389"/>
      <c r="X934" s="389"/>
      <c r="Y934" s="389"/>
      <c r="Z934" s="389"/>
      <c r="AA934" s="389"/>
      <c r="AB934" s="389"/>
      <c r="AC934" s="389"/>
      <c r="AD934" s="389"/>
      <c r="AE934" s="389"/>
    </row>
    <row r="935" spans="1:31" ht="15.5" x14ac:dyDescent="0.35">
      <c r="A935" s="390"/>
      <c r="B935" s="389"/>
      <c r="C935" s="389"/>
      <c r="D935" s="389"/>
      <c r="E935" s="389"/>
      <c r="F935" s="389"/>
      <c r="G935" s="389"/>
      <c r="H935" s="389"/>
      <c r="I935" s="389"/>
      <c r="J935" s="389"/>
      <c r="K935" s="389"/>
      <c r="L935" s="389"/>
      <c r="M935" s="389"/>
      <c r="N935" s="389"/>
      <c r="O935" s="389"/>
      <c r="P935" s="389"/>
      <c r="Q935" s="389"/>
      <c r="R935" s="389"/>
      <c r="S935" s="389"/>
      <c r="T935" s="389"/>
      <c r="U935" s="389"/>
      <c r="V935" s="389"/>
      <c r="W935" s="389"/>
      <c r="X935" s="389"/>
      <c r="Y935" s="389"/>
      <c r="Z935" s="389"/>
      <c r="AA935" s="389"/>
      <c r="AB935" s="389"/>
      <c r="AC935" s="389"/>
      <c r="AD935" s="389"/>
      <c r="AE935" s="389"/>
    </row>
    <row r="936" spans="1:31" ht="15.5" x14ac:dyDescent="0.35">
      <c r="A936" s="390"/>
      <c r="B936" s="389"/>
      <c r="C936" s="389"/>
      <c r="D936" s="389"/>
      <c r="E936" s="389"/>
      <c r="F936" s="389"/>
      <c r="G936" s="389"/>
      <c r="H936" s="389"/>
      <c r="I936" s="389"/>
      <c r="J936" s="389"/>
      <c r="K936" s="389"/>
      <c r="L936" s="389"/>
      <c r="M936" s="389"/>
      <c r="N936" s="389"/>
      <c r="O936" s="389"/>
      <c r="P936" s="389"/>
      <c r="Q936" s="389"/>
      <c r="R936" s="389"/>
      <c r="S936" s="389"/>
      <c r="T936" s="389"/>
      <c r="U936" s="389"/>
      <c r="V936" s="389"/>
      <c r="W936" s="389"/>
      <c r="X936" s="389"/>
      <c r="Y936" s="389"/>
      <c r="Z936" s="389"/>
      <c r="AA936" s="389"/>
      <c r="AB936" s="389"/>
      <c r="AC936" s="389"/>
      <c r="AD936" s="389"/>
      <c r="AE936" s="389"/>
    </row>
    <row r="937" spans="1:31" ht="15.5" x14ac:dyDescent="0.35">
      <c r="A937" s="390"/>
      <c r="B937" s="389"/>
      <c r="C937" s="389"/>
      <c r="D937" s="389"/>
      <c r="E937" s="389"/>
      <c r="F937" s="389"/>
      <c r="G937" s="389"/>
      <c r="H937" s="389"/>
      <c r="I937" s="389"/>
      <c r="J937" s="389"/>
      <c r="K937" s="389"/>
      <c r="L937" s="389"/>
      <c r="M937" s="389"/>
      <c r="N937" s="389"/>
      <c r="O937" s="389"/>
      <c r="P937" s="389"/>
      <c r="Q937" s="389"/>
      <c r="R937" s="389"/>
      <c r="S937" s="389"/>
      <c r="T937" s="389"/>
      <c r="U937" s="389"/>
      <c r="V937" s="389"/>
      <c r="W937" s="389"/>
      <c r="X937" s="389"/>
      <c r="Y937" s="389"/>
      <c r="Z937" s="389"/>
      <c r="AA937" s="389"/>
      <c r="AB937" s="389"/>
      <c r="AC937" s="389"/>
      <c r="AD937" s="389"/>
      <c r="AE937" s="389"/>
    </row>
    <row r="938" spans="1:31" ht="15.5" x14ac:dyDescent="0.35">
      <c r="A938" s="390"/>
      <c r="B938" s="389"/>
      <c r="C938" s="389"/>
      <c r="D938" s="389"/>
      <c r="E938" s="389"/>
      <c r="F938" s="389"/>
      <c r="G938" s="389"/>
      <c r="H938" s="389"/>
      <c r="I938" s="389"/>
      <c r="J938" s="389"/>
      <c r="K938" s="389"/>
      <c r="L938" s="389"/>
      <c r="M938" s="389"/>
      <c r="N938" s="389"/>
      <c r="O938" s="389"/>
      <c r="P938" s="389"/>
      <c r="Q938" s="389"/>
      <c r="R938" s="389"/>
      <c r="S938" s="389"/>
      <c r="T938" s="389"/>
      <c r="U938" s="389"/>
      <c r="V938" s="389"/>
      <c r="W938" s="389"/>
      <c r="X938" s="389"/>
      <c r="Y938" s="389"/>
      <c r="Z938" s="389"/>
      <c r="AA938" s="389"/>
      <c r="AB938" s="389"/>
      <c r="AC938" s="389"/>
      <c r="AD938" s="389"/>
      <c r="AE938" s="389"/>
    </row>
    <row r="939" spans="1:31" ht="15.5" x14ac:dyDescent="0.35">
      <c r="A939" s="390"/>
      <c r="B939" s="389"/>
      <c r="C939" s="389"/>
      <c r="D939" s="389"/>
      <c r="E939" s="389"/>
      <c r="F939" s="389"/>
      <c r="G939" s="389"/>
      <c r="H939" s="389"/>
      <c r="I939" s="389"/>
      <c r="J939" s="389"/>
      <c r="K939" s="389"/>
      <c r="L939" s="389"/>
      <c r="M939" s="389"/>
      <c r="N939" s="389"/>
      <c r="O939" s="389"/>
      <c r="P939" s="389"/>
      <c r="Q939" s="389"/>
      <c r="R939" s="389"/>
      <c r="S939" s="389"/>
      <c r="T939" s="389"/>
      <c r="U939" s="389"/>
      <c r="V939" s="389"/>
      <c r="W939" s="389"/>
      <c r="X939" s="389"/>
      <c r="Y939" s="389"/>
      <c r="Z939" s="389"/>
      <c r="AA939" s="389"/>
      <c r="AB939" s="389"/>
      <c r="AC939" s="389"/>
      <c r="AD939" s="389"/>
      <c r="AE939" s="389"/>
    </row>
    <row r="940" spans="1:31" ht="15.5" x14ac:dyDescent="0.35">
      <c r="A940" s="390"/>
      <c r="B940" s="389"/>
      <c r="C940" s="389"/>
      <c r="D940" s="389"/>
      <c r="E940" s="389"/>
      <c r="F940" s="389"/>
      <c r="G940" s="389"/>
      <c r="H940" s="389"/>
      <c r="I940" s="389"/>
      <c r="J940" s="389"/>
      <c r="K940" s="389"/>
      <c r="L940" s="389"/>
      <c r="M940" s="389"/>
      <c r="N940" s="389"/>
      <c r="O940" s="389"/>
      <c r="P940" s="389"/>
      <c r="Q940" s="389"/>
      <c r="R940" s="389"/>
      <c r="S940" s="389"/>
      <c r="T940" s="389"/>
      <c r="U940" s="389"/>
      <c r="V940" s="389"/>
      <c r="W940" s="389"/>
      <c r="X940" s="389"/>
      <c r="Y940" s="389"/>
      <c r="Z940" s="389"/>
      <c r="AA940" s="389"/>
      <c r="AB940" s="389"/>
      <c r="AC940" s="389"/>
      <c r="AD940" s="389"/>
      <c r="AE940" s="389"/>
    </row>
    <row r="941" spans="1:31" ht="15.5" x14ac:dyDescent="0.35">
      <c r="A941" s="390"/>
      <c r="B941" s="389"/>
      <c r="C941" s="389"/>
      <c r="D941" s="389"/>
      <c r="E941" s="389"/>
      <c r="F941" s="389"/>
      <c r="G941" s="389"/>
      <c r="H941" s="389"/>
      <c r="I941" s="389"/>
      <c r="J941" s="389"/>
      <c r="K941" s="389"/>
      <c r="L941" s="389"/>
      <c r="M941" s="389"/>
      <c r="N941" s="389"/>
      <c r="O941" s="389"/>
      <c r="P941" s="389"/>
      <c r="Q941" s="389"/>
      <c r="R941" s="389"/>
      <c r="S941" s="389"/>
      <c r="T941" s="389"/>
      <c r="U941" s="389"/>
      <c r="V941" s="389"/>
      <c r="W941" s="389"/>
      <c r="X941" s="389"/>
      <c r="Y941" s="389"/>
      <c r="Z941" s="389"/>
      <c r="AA941" s="389"/>
      <c r="AB941" s="389"/>
      <c r="AC941" s="389"/>
      <c r="AD941" s="389"/>
      <c r="AE941" s="389"/>
    </row>
    <row r="942" spans="1:31" ht="15.5" x14ac:dyDescent="0.35">
      <c r="A942" s="390"/>
      <c r="B942" s="389"/>
      <c r="C942" s="389"/>
      <c r="D942" s="389"/>
      <c r="E942" s="389"/>
      <c r="F942" s="389"/>
      <c r="G942" s="389"/>
      <c r="H942" s="389"/>
      <c r="I942" s="389"/>
      <c r="J942" s="389"/>
      <c r="K942" s="389"/>
      <c r="L942" s="389"/>
      <c r="M942" s="389"/>
      <c r="N942" s="389"/>
      <c r="O942" s="389"/>
      <c r="P942" s="389"/>
      <c r="Q942" s="389"/>
      <c r="R942" s="389"/>
      <c r="S942" s="389"/>
      <c r="T942" s="389"/>
      <c r="U942" s="389"/>
      <c r="V942" s="389"/>
      <c r="W942" s="389"/>
      <c r="X942" s="389"/>
      <c r="Y942" s="389"/>
      <c r="Z942" s="389"/>
      <c r="AA942" s="389"/>
      <c r="AB942" s="389"/>
      <c r="AC942" s="389"/>
      <c r="AD942" s="389"/>
      <c r="AE942" s="389"/>
    </row>
    <row r="943" spans="1:31" ht="15.5" x14ac:dyDescent="0.35">
      <c r="A943" s="390"/>
      <c r="B943" s="389"/>
      <c r="C943" s="389"/>
      <c r="D943" s="389"/>
      <c r="E943" s="389"/>
      <c r="F943" s="389"/>
      <c r="G943" s="389"/>
      <c r="H943" s="389"/>
      <c r="I943" s="389"/>
      <c r="J943" s="389"/>
      <c r="K943" s="389"/>
      <c r="L943" s="389"/>
      <c r="M943" s="389"/>
      <c r="N943" s="389"/>
      <c r="O943" s="389"/>
      <c r="P943" s="389"/>
      <c r="Q943" s="389"/>
      <c r="R943" s="389"/>
      <c r="S943" s="389"/>
      <c r="T943" s="389"/>
      <c r="U943" s="389"/>
      <c r="V943" s="389"/>
      <c r="W943" s="389"/>
      <c r="X943" s="389"/>
      <c r="Y943" s="389"/>
      <c r="Z943" s="389"/>
      <c r="AA943" s="389"/>
      <c r="AB943" s="389"/>
      <c r="AC943" s="389"/>
      <c r="AD943" s="389"/>
      <c r="AE943" s="389"/>
    </row>
    <row r="944" spans="1:31" ht="15.5" x14ac:dyDescent="0.35">
      <c r="A944" s="390"/>
      <c r="B944" s="389"/>
      <c r="C944" s="389"/>
      <c r="D944" s="389"/>
      <c r="E944" s="389"/>
      <c r="F944" s="389"/>
      <c r="G944" s="389"/>
      <c r="H944" s="389"/>
      <c r="I944" s="389"/>
      <c r="J944" s="389"/>
      <c r="K944" s="389"/>
      <c r="L944" s="389"/>
      <c r="M944" s="389"/>
      <c r="N944" s="389"/>
      <c r="O944" s="389"/>
      <c r="P944" s="389"/>
      <c r="Q944" s="389"/>
      <c r="R944" s="389"/>
      <c r="S944" s="389"/>
      <c r="T944" s="389"/>
      <c r="U944" s="389"/>
      <c r="V944" s="389"/>
      <c r="W944" s="389"/>
      <c r="X944" s="389"/>
      <c r="Y944" s="389"/>
      <c r="Z944" s="389"/>
      <c r="AA944" s="389"/>
      <c r="AB944" s="389"/>
      <c r="AC944" s="389"/>
      <c r="AD944" s="389"/>
      <c r="AE944" s="389"/>
    </row>
    <row r="945" spans="1:31" ht="15.5" x14ac:dyDescent="0.35">
      <c r="A945" s="390"/>
      <c r="B945" s="389"/>
      <c r="C945" s="389"/>
      <c r="D945" s="389"/>
      <c r="E945" s="389"/>
      <c r="F945" s="389"/>
      <c r="G945" s="389"/>
      <c r="H945" s="389"/>
      <c r="I945" s="389"/>
      <c r="J945" s="389"/>
      <c r="K945" s="389"/>
      <c r="L945" s="389"/>
      <c r="M945" s="389"/>
      <c r="N945" s="389"/>
      <c r="O945" s="389"/>
      <c r="P945" s="389"/>
      <c r="Q945" s="389"/>
      <c r="R945" s="389"/>
      <c r="S945" s="389"/>
      <c r="T945" s="389"/>
      <c r="U945" s="389"/>
      <c r="V945" s="389"/>
      <c r="W945" s="389"/>
      <c r="X945" s="389"/>
      <c r="Y945" s="389"/>
      <c r="Z945" s="389"/>
      <c r="AA945" s="389"/>
      <c r="AB945" s="389"/>
      <c r="AC945" s="389"/>
      <c r="AD945" s="389"/>
      <c r="AE945" s="389"/>
    </row>
    <row r="946" spans="1:31" ht="15.5" x14ac:dyDescent="0.35">
      <c r="A946" s="390"/>
      <c r="B946" s="389"/>
      <c r="C946" s="389"/>
      <c r="D946" s="389"/>
      <c r="E946" s="389"/>
      <c r="F946" s="389"/>
      <c r="G946" s="389"/>
      <c r="H946" s="389"/>
      <c r="I946" s="389"/>
      <c r="J946" s="389"/>
      <c r="K946" s="389"/>
      <c r="L946" s="389"/>
      <c r="M946" s="389"/>
      <c r="N946" s="389"/>
      <c r="O946" s="389"/>
      <c r="P946" s="389"/>
      <c r="Q946" s="389"/>
      <c r="R946" s="389"/>
      <c r="S946" s="389"/>
      <c r="T946" s="389"/>
      <c r="U946" s="389"/>
      <c r="V946" s="389"/>
      <c r="W946" s="389"/>
      <c r="X946" s="389"/>
      <c r="Y946" s="389"/>
      <c r="Z946" s="389"/>
      <c r="AA946" s="389"/>
      <c r="AB946" s="389"/>
      <c r="AC946" s="389"/>
      <c r="AD946" s="389"/>
      <c r="AE946" s="389"/>
    </row>
    <row r="947" spans="1:31" ht="15.5" x14ac:dyDescent="0.35">
      <c r="A947" s="390"/>
      <c r="B947" s="389"/>
      <c r="C947" s="389"/>
      <c r="D947" s="389"/>
      <c r="E947" s="389"/>
      <c r="F947" s="389"/>
      <c r="G947" s="389"/>
      <c r="H947" s="389"/>
      <c r="I947" s="389"/>
      <c r="J947" s="389"/>
      <c r="K947" s="389"/>
      <c r="L947" s="389"/>
      <c r="M947" s="389"/>
      <c r="N947" s="389"/>
      <c r="O947" s="389"/>
      <c r="P947" s="389"/>
      <c r="Q947" s="389"/>
      <c r="R947" s="389"/>
      <c r="S947" s="389"/>
      <c r="T947" s="389"/>
      <c r="U947" s="389"/>
      <c r="V947" s="389"/>
      <c r="W947" s="389"/>
      <c r="X947" s="389"/>
      <c r="Y947" s="389"/>
      <c r="Z947" s="389"/>
      <c r="AA947" s="389"/>
      <c r="AB947" s="389"/>
      <c r="AC947" s="389"/>
      <c r="AD947" s="389"/>
      <c r="AE947" s="389"/>
    </row>
    <row r="948" spans="1:31" ht="15.5" x14ac:dyDescent="0.35">
      <c r="A948" s="390"/>
      <c r="B948" s="389"/>
      <c r="C948" s="389"/>
      <c r="D948" s="389"/>
      <c r="E948" s="389"/>
      <c r="F948" s="389"/>
      <c r="G948" s="389"/>
      <c r="H948" s="389"/>
      <c r="I948" s="389"/>
      <c r="J948" s="389"/>
      <c r="K948" s="389"/>
      <c r="L948" s="389"/>
      <c r="M948" s="389"/>
      <c r="N948" s="389"/>
      <c r="O948" s="389"/>
      <c r="P948" s="389"/>
      <c r="Q948" s="389"/>
      <c r="R948" s="389"/>
      <c r="S948" s="389"/>
      <c r="T948" s="389"/>
      <c r="U948" s="389"/>
      <c r="V948" s="389"/>
      <c r="W948" s="389"/>
      <c r="X948" s="389"/>
      <c r="Y948" s="389"/>
      <c r="Z948" s="389"/>
      <c r="AA948" s="389"/>
      <c r="AB948" s="389"/>
      <c r="AC948" s="389"/>
      <c r="AD948" s="389"/>
      <c r="AE948" s="389"/>
    </row>
    <row r="949" spans="1:31" ht="15.5" x14ac:dyDescent="0.35">
      <c r="A949" s="390"/>
      <c r="B949" s="389"/>
      <c r="C949" s="389"/>
      <c r="D949" s="389"/>
      <c r="E949" s="389"/>
      <c r="F949" s="389"/>
      <c r="G949" s="389"/>
      <c r="H949" s="389"/>
      <c r="I949" s="389"/>
      <c r="J949" s="389"/>
      <c r="K949" s="389"/>
      <c r="L949" s="389"/>
      <c r="M949" s="389"/>
      <c r="N949" s="389"/>
      <c r="O949" s="389"/>
      <c r="P949" s="389"/>
      <c r="Q949" s="389"/>
      <c r="R949" s="389"/>
      <c r="S949" s="389"/>
      <c r="T949" s="389"/>
      <c r="U949" s="389"/>
      <c r="V949" s="389"/>
      <c r="W949" s="389"/>
      <c r="X949" s="389"/>
      <c r="Y949" s="389"/>
      <c r="Z949" s="389"/>
      <c r="AA949" s="389"/>
      <c r="AB949" s="389"/>
      <c r="AC949" s="389"/>
      <c r="AD949" s="389"/>
      <c r="AE949" s="389"/>
    </row>
    <row r="950" spans="1:31" ht="15.5" x14ac:dyDescent="0.35">
      <c r="A950" s="390"/>
      <c r="B950" s="389"/>
      <c r="C950" s="389"/>
      <c r="D950" s="389"/>
      <c r="E950" s="389"/>
      <c r="F950" s="389"/>
      <c r="G950" s="389"/>
      <c r="H950" s="389"/>
      <c r="I950" s="389"/>
      <c r="J950" s="389"/>
      <c r="K950" s="389"/>
      <c r="L950" s="389"/>
      <c r="M950" s="389"/>
      <c r="N950" s="389"/>
      <c r="O950" s="389"/>
      <c r="P950" s="389"/>
      <c r="Q950" s="389"/>
      <c r="R950" s="389"/>
      <c r="S950" s="389"/>
      <c r="T950" s="389"/>
      <c r="U950" s="389"/>
      <c r="V950" s="389"/>
      <c r="W950" s="389"/>
      <c r="X950" s="389"/>
      <c r="Y950" s="389"/>
      <c r="Z950" s="389"/>
      <c r="AA950" s="389"/>
      <c r="AB950" s="389"/>
      <c r="AC950" s="389"/>
      <c r="AD950" s="389"/>
      <c r="AE950" s="389"/>
    </row>
    <row r="951" spans="1:31" ht="15.5" x14ac:dyDescent="0.35">
      <c r="A951" s="390"/>
      <c r="B951" s="389"/>
      <c r="C951" s="389"/>
      <c r="D951" s="389"/>
      <c r="E951" s="389"/>
      <c r="F951" s="389"/>
      <c r="G951" s="389"/>
      <c r="H951" s="389"/>
      <c r="I951" s="389"/>
      <c r="J951" s="389"/>
      <c r="K951" s="389"/>
      <c r="L951" s="389"/>
      <c r="M951" s="389"/>
      <c r="N951" s="389"/>
      <c r="O951" s="389"/>
      <c r="P951" s="389"/>
      <c r="Q951" s="389"/>
      <c r="R951" s="389"/>
      <c r="S951" s="389"/>
      <c r="T951" s="389"/>
      <c r="U951" s="389"/>
      <c r="V951" s="389"/>
      <c r="W951" s="389"/>
      <c r="X951" s="389"/>
      <c r="Y951" s="389"/>
      <c r="Z951" s="389"/>
      <c r="AA951" s="389"/>
      <c r="AB951" s="389"/>
      <c r="AC951" s="389"/>
      <c r="AD951" s="389"/>
      <c r="AE951" s="389"/>
    </row>
    <row r="952" spans="1:31" ht="15.5" x14ac:dyDescent="0.35">
      <c r="A952" s="390"/>
      <c r="B952" s="389"/>
      <c r="C952" s="389"/>
      <c r="D952" s="389"/>
      <c r="E952" s="389"/>
      <c r="F952" s="389"/>
      <c r="G952" s="389"/>
      <c r="H952" s="389"/>
      <c r="I952" s="389"/>
      <c r="J952" s="389"/>
      <c r="K952" s="389"/>
      <c r="L952" s="389"/>
      <c r="M952" s="389"/>
      <c r="N952" s="389"/>
      <c r="O952" s="389"/>
      <c r="P952" s="389"/>
      <c r="Q952" s="389"/>
      <c r="R952" s="389"/>
      <c r="S952" s="389"/>
      <c r="T952" s="389"/>
      <c r="U952" s="389"/>
      <c r="V952" s="389"/>
      <c r="W952" s="389"/>
      <c r="X952" s="389"/>
      <c r="Y952" s="389"/>
      <c r="Z952" s="389"/>
      <c r="AA952" s="389"/>
      <c r="AB952" s="389"/>
      <c r="AC952" s="389"/>
      <c r="AD952" s="389"/>
      <c r="AE952" s="389"/>
    </row>
    <row r="953" spans="1:31" ht="15.5" x14ac:dyDescent="0.35">
      <c r="A953" s="390"/>
      <c r="B953" s="389"/>
      <c r="C953" s="389"/>
      <c r="D953" s="389"/>
      <c r="E953" s="389"/>
      <c r="F953" s="389"/>
      <c r="G953" s="389"/>
      <c r="H953" s="389"/>
      <c r="I953" s="389"/>
      <c r="J953" s="389"/>
      <c r="K953" s="389"/>
      <c r="L953" s="389"/>
      <c r="M953" s="389"/>
      <c r="N953" s="389"/>
      <c r="O953" s="389"/>
      <c r="P953" s="389"/>
      <c r="Q953" s="389"/>
      <c r="R953" s="389"/>
      <c r="S953" s="389"/>
      <c r="T953" s="389"/>
      <c r="U953" s="389"/>
      <c r="V953" s="389"/>
      <c r="W953" s="389"/>
      <c r="X953" s="389"/>
      <c r="Y953" s="389"/>
      <c r="Z953" s="389"/>
      <c r="AA953" s="389"/>
      <c r="AB953" s="389"/>
      <c r="AC953" s="389"/>
      <c r="AD953" s="389"/>
      <c r="AE953" s="389"/>
    </row>
    <row r="954" spans="1:31" ht="15.5" x14ac:dyDescent="0.35">
      <c r="A954" s="390"/>
      <c r="B954" s="389"/>
      <c r="C954" s="389"/>
      <c r="D954" s="389"/>
      <c r="E954" s="389"/>
      <c r="F954" s="389"/>
      <c r="G954" s="389"/>
      <c r="H954" s="389"/>
      <c r="I954" s="389"/>
      <c r="J954" s="389"/>
      <c r="K954" s="389"/>
      <c r="L954" s="389"/>
      <c r="M954" s="389"/>
      <c r="N954" s="389"/>
      <c r="O954" s="389"/>
      <c r="P954" s="389"/>
      <c r="Q954" s="389"/>
      <c r="R954" s="389"/>
      <c r="S954" s="389"/>
      <c r="T954" s="389"/>
      <c r="U954" s="389"/>
      <c r="V954" s="389"/>
      <c r="W954" s="389"/>
      <c r="X954" s="389"/>
      <c r="Y954" s="389"/>
      <c r="Z954" s="389"/>
      <c r="AA954" s="389"/>
      <c r="AB954" s="389"/>
      <c r="AC954" s="389"/>
      <c r="AD954" s="389"/>
      <c r="AE954" s="389"/>
    </row>
    <row r="955" spans="1:31" ht="15.5" x14ac:dyDescent="0.35">
      <c r="A955" s="390"/>
      <c r="B955" s="389"/>
      <c r="C955" s="389"/>
      <c r="D955" s="389"/>
      <c r="E955" s="389"/>
      <c r="F955" s="389"/>
      <c r="G955" s="389"/>
      <c r="H955" s="389"/>
      <c r="I955" s="389"/>
      <c r="J955" s="389"/>
      <c r="K955" s="389"/>
      <c r="L955" s="389"/>
      <c r="M955" s="389"/>
      <c r="N955" s="389"/>
      <c r="O955" s="389"/>
      <c r="P955" s="389"/>
      <c r="Q955" s="389"/>
      <c r="R955" s="389"/>
      <c r="S955" s="389"/>
      <c r="T955" s="389"/>
      <c r="U955" s="389"/>
      <c r="V955" s="389"/>
      <c r="W955" s="389"/>
      <c r="X955" s="389"/>
      <c r="Y955" s="389"/>
      <c r="Z955" s="389"/>
      <c r="AA955" s="389"/>
      <c r="AB955" s="389"/>
      <c r="AC955" s="389"/>
      <c r="AD955" s="389"/>
      <c r="AE955" s="389"/>
    </row>
    <row r="956" spans="1:31" ht="15.5" x14ac:dyDescent="0.35">
      <c r="A956" s="390"/>
      <c r="B956" s="389"/>
      <c r="C956" s="389"/>
      <c r="D956" s="389"/>
      <c r="E956" s="389"/>
      <c r="F956" s="389"/>
      <c r="G956" s="389"/>
      <c r="H956" s="389"/>
      <c r="I956" s="389"/>
      <c r="J956" s="389"/>
      <c r="K956" s="389"/>
      <c r="L956" s="389"/>
      <c r="M956" s="389"/>
      <c r="N956" s="389"/>
      <c r="O956" s="389"/>
      <c r="P956" s="389"/>
      <c r="Q956" s="389"/>
      <c r="R956" s="389"/>
      <c r="S956" s="389"/>
      <c r="T956" s="389"/>
      <c r="U956" s="389"/>
      <c r="V956" s="389"/>
      <c r="W956" s="389"/>
      <c r="X956" s="389"/>
      <c r="Y956" s="389"/>
      <c r="Z956" s="389"/>
      <c r="AA956" s="389"/>
      <c r="AB956" s="389"/>
      <c r="AC956" s="389"/>
      <c r="AD956" s="389"/>
      <c r="AE956" s="389"/>
    </row>
    <row r="957" spans="1:31" ht="15.5" x14ac:dyDescent="0.35">
      <c r="A957" s="390"/>
      <c r="B957" s="389"/>
      <c r="C957" s="389"/>
      <c r="D957" s="389"/>
      <c r="E957" s="389"/>
      <c r="F957" s="389"/>
      <c r="G957" s="389"/>
      <c r="H957" s="389"/>
      <c r="I957" s="389"/>
      <c r="J957" s="389"/>
      <c r="K957" s="389"/>
      <c r="L957" s="389"/>
      <c r="M957" s="389"/>
      <c r="N957" s="389"/>
      <c r="O957" s="389"/>
      <c r="P957" s="389"/>
      <c r="Q957" s="389"/>
      <c r="R957" s="389"/>
      <c r="S957" s="389"/>
      <c r="T957" s="389"/>
      <c r="U957" s="389"/>
      <c r="V957" s="389"/>
      <c r="W957" s="389"/>
      <c r="X957" s="389"/>
      <c r="Y957" s="389"/>
      <c r="Z957" s="389"/>
      <c r="AA957" s="389"/>
      <c r="AB957" s="389"/>
      <c r="AC957" s="389"/>
      <c r="AD957" s="389"/>
      <c r="AE957" s="389"/>
    </row>
    <row r="958" spans="1:31" ht="15.5" x14ac:dyDescent="0.35">
      <c r="A958" s="390"/>
      <c r="B958" s="389"/>
      <c r="C958" s="389"/>
      <c r="D958" s="389"/>
      <c r="E958" s="389"/>
      <c r="F958" s="389"/>
      <c r="G958" s="389"/>
      <c r="H958" s="389"/>
      <c r="I958" s="389"/>
      <c r="J958" s="389"/>
      <c r="K958" s="389"/>
      <c r="L958" s="389"/>
      <c r="M958" s="389"/>
      <c r="N958" s="389"/>
      <c r="O958" s="389"/>
      <c r="P958" s="389"/>
      <c r="Q958" s="389"/>
      <c r="R958" s="389"/>
      <c r="S958" s="389"/>
      <c r="T958" s="389"/>
      <c r="U958" s="389"/>
      <c r="V958" s="389"/>
      <c r="W958" s="389"/>
      <c r="X958" s="389"/>
      <c r="Y958" s="389"/>
      <c r="Z958" s="389"/>
      <c r="AA958" s="389"/>
      <c r="AB958" s="389"/>
      <c r="AC958" s="389"/>
      <c r="AD958" s="389"/>
      <c r="AE958" s="389"/>
    </row>
    <row r="959" spans="1:31" ht="15.5" x14ac:dyDescent="0.35">
      <c r="A959" s="390"/>
      <c r="B959" s="389"/>
      <c r="C959" s="389"/>
      <c r="D959" s="389"/>
      <c r="E959" s="389"/>
      <c r="F959" s="389"/>
      <c r="G959" s="389"/>
      <c r="H959" s="389"/>
      <c r="I959" s="389"/>
      <c r="J959" s="389"/>
      <c r="K959" s="389"/>
      <c r="L959" s="389"/>
      <c r="M959" s="389"/>
      <c r="N959" s="389"/>
      <c r="O959" s="389"/>
      <c r="P959" s="389"/>
      <c r="Q959" s="389"/>
      <c r="R959" s="389"/>
      <c r="S959" s="389"/>
      <c r="T959" s="389"/>
      <c r="U959" s="389"/>
      <c r="V959" s="389"/>
      <c r="W959" s="389"/>
      <c r="X959" s="389"/>
      <c r="Y959" s="389"/>
      <c r="Z959" s="389"/>
      <c r="AA959" s="389"/>
      <c r="AB959" s="389"/>
      <c r="AC959" s="389"/>
      <c r="AD959" s="389"/>
      <c r="AE959" s="389"/>
    </row>
    <row r="960" spans="1:31" ht="15.5" x14ac:dyDescent="0.35">
      <c r="A960" s="390"/>
      <c r="B960" s="389"/>
      <c r="C960" s="389"/>
      <c r="D960" s="389"/>
      <c r="E960" s="389"/>
      <c r="F960" s="389"/>
      <c r="G960" s="389"/>
      <c r="H960" s="389"/>
      <c r="I960" s="389"/>
      <c r="J960" s="389"/>
      <c r="K960" s="389"/>
      <c r="L960" s="389"/>
      <c r="M960" s="389"/>
      <c r="N960" s="389"/>
      <c r="O960" s="389"/>
      <c r="P960" s="389"/>
      <c r="Q960" s="389"/>
      <c r="R960" s="389"/>
      <c r="S960" s="389"/>
      <c r="T960" s="389"/>
      <c r="U960" s="389"/>
      <c r="V960" s="389"/>
      <c r="W960" s="389"/>
      <c r="X960" s="389"/>
      <c r="Y960" s="389"/>
      <c r="Z960" s="389"/>
      <c r="AA960" s="389"/>
      <c r="AB960" s="389"/>
      <c r="AC960" s="389"/>
      <c r="AD960" s="389"/>
      <c r="AE960" s="389"/>
    </row>
    <row r="961" spans="1:31" ht="15.5" x14ac:dyDescent="0.35">
      <c r="A961" s="390"/>
      <c r="B961" s="389"/>
      <c r="C961" s="389"/>
      <c r="D961" s="389"/>
      <c r="E961" s="389"/>
      <c r="F961" s="389"/>
      <c r="G961" s="389"/>
      <c r="H961" s="389"/>
      <c r="I961" s="389"/>
      <c r="J961" s="389"/>
      <c r="K961" s="389"/>
      <c r="L961" s="389"/>
      <c r="M961" s="389"/>
      <c r="N961" s="389"/>
      <c r="O961" s="389"/>
      <c r="P961" s="389"/>
      <c r="Q961" s="389"/>
      <c r="R961" s="389"/>
      <c r="S961" s="389"/>
      <c r="T961" s="389"/>
      <c r="U961" s="389"/>
      <c r="V961" s="389"/>
      <c r="W961" s="389"/>
      <c r="X961" s="389"/>
      <c r="Y961" s="389"/>
      <c r="Z961" s="389"/>
      <c r="AA961" s="389"/>
      <c r="AB961" s="389"/>
      <c r="AC961" s="389"/>
      <c r="AD961" s="389"/>
      <c r="AE961" s="389"/>
    </row>
    <row r="962" spans="1:31" ht="15.5" x14ac:dyDescent="0.35">
      <c r="A962" s="390"/>
      <c r="B962" s="389"/>
      <c r="C962" s="389"/>
      <c r="D962" s="389"/>
      <c r="E962" s="389"/>
      <c r="F962" s="389"/>
      <c r="G962" s="389"/>
      <c r="H962" s="389"/>
      <c r="I962" s="389"/>
      <c r="J962" s="389"/>
      <c r="K962" s="389"/>
      <c r="L962" s="389"/>
      <c r="M962" s="389"/>
      <c r="N962" s="389"/>
      <c r="O962" s="389"/>
      <c r="P962" s="389"/>
      <c r="Q962" s="389"/>
      <c r="R962" s="389"/>
      <c r="S962" s="389"/>
      <c r="T962" s="389"/>
      <c r="U962" s="389"/>
      <c r="V962" s="389"/>
      <c r="W962" s="389"/>
      <c r="X962" s="389"/>
      <c r="Y962" s="389"/>
      <c r="Z962" s="389"/>
      <c r="AA962" s="389"/>
      <c r="AB962" s="389"/>
      <c r="AC962" s="389"/>
      <c r="AD962" s="389"/>
      <c r="AE962" s="389"/>
    </row>
    <row r="963" spans="1:31" ht="15.5" x14ac:dyDescent="0.35">
      <c r="A963" s="390"/>
      <c r="B963" s="389"/>
      <c r="C963" s="389"/>
      <c r="D963" s="389"/>
      <c r="E963" s="389"/>
      <c r="F963" s="389"/>
      <c r="G963" s="389"/>
      <c r="H963" s="389"/>
      <c r="I963" s="389"/>
      <c r="J963" s="389"/>
      <c r="K963" s="389"/>
      <c r="L963" s="389"/>
      <c r="M963" s="389"/>
      <c r="N963" s="389"/>
      <c r="O963" s="389"/>
      <c r="P963" s="389"/>
      <c r="Q963" s="389"/>
      <c r="R963" s="389"/>
      <c r="S963" s="389"/>
      <c r="T963" s="389"/>
      <c r="U963" s="389"/>
      <c r="V963" s="389"/>
      <c r="W963" s="389"/>
      <c r="X963" s="389"/>
      <c r="Y963" s="389"/>
      <c r="Z963" s="389"/>
      <c r="AA963" s="389"/>
      <c r="AB963" s="389"/>
      <c r="AC963" s="389"/>
      <c r="AD963" s="389"/>
      <c r="AE963" s="389"/>
    </row>
    <row r="964" spans="1:31" ht="15.5" x14ac:dyDescent="0.35">
      <c r="A964" s="390"/>
      <c r="B964" s="389"/>
      <c r="C964" s="389"/>
      <c r="D964" s="389"/>
      <c r="E964" s="389"/>
      <c r="F964" s="389"/>
      <c r="G964" s="389"/>
      <c r="H964" s="389"/>
      <c r="I964" s="389"/>
      <c r="J964" s="389"/>
      <c r="K964" s="389"/>
      <c r="L964" s="389"/>
      <c r="M964" s="389"/>
      <c r="N964" s="389"/>
      <c r="O964" s="389"/>
      <c r="P964" s="389"/>
      <c r="Q964" s="389"/>
      <c r="R964" s="389"/>
      <c r="S964" s="389"/>
      <c r="T964" s="389"/>
      <c r="U964" s="389"/>
      <c r="V964" s="389"/>
      <c r="W964" s="389"/>
      <c r="X964" s="389"/>
      <c r="Y964" s="389"/>
      <c r="Z964" s="389"/>
      <c r="AA964" s="389"/>
      <c r="AB964" s="389"/>
      <c r="AC964" s="389"/>
      <c r="AD964" s="389"/>
      <c r="AE964" s="389"/>
    </row>
    <row r="965" spans="1:31" ht="15.5" x14ac:dyDescent="0.35">
      <c r="A965" s="390"/>
      <c r="B965" s="389"/>
      <c r="C965" s="389"/>
      <c r="D965" s="389"/>
      <c r="E965" s="389"/>
      <c r="F965" s="389"/>
      <c r="G965" s="389"/>
      <c r="H965" s="389"/>
      <c r="I965" s="389"/>
      <c r="J965" s="389"/>
      <c r="K965" s="389"/>
      <c r="L965" s="389"/>
      <c r="M965" s="389"/>
      <c r="N965" s="389"/>
      <c r="O965" s="389"/>
      <c r="P965" s="389"/>
      <c r="Q965" s="389"/>
      <c r="R965" s="389"/>
      <c r="S965" s="389"/>
      <c r="T965" s="389"/>
      <c r="U965" s="389"/>
      <c r="V965" s="389"/>
      <c r="W965" s="389"/>
      <c r="X965" s="389"/>
      <c r="Y965" s="389"/>
      <c r="Z965" s="389"/>
      <c r="AA965" s="389"/>
      <c r="AB965" s="389"/>
      <c r="AC965" s="389"/>
      <c r="AD965" s="389"/>
      <c r="AE965" s="389"/>
    </row>
    <row r="966" spans="1:31" ht="15.5" x14ac:dyDescent="0.35">
      <c r="A966" s="390"/>
      <c r="B966" s="389"/>
      <c r="C966" s="389"/>
      <c r="D966" s="389"/>
      <c r="E966" s="389"/>
      <c r="F966" s="389"/>
      <c r="G966" s="389"/>
      <c r="H966" s="389"/>
      <c r="I966" s="389"/>
      <c r="J966" s="389"/>
      <c r="K966" s="389"/>
      <c r="L966" s="389"/>
      <c r="M966" s="389"/>
      <c r="N966" s="389"/>
      <c r="O966" s="389"/>
      <c r="P966" s="389"/>
      <c r="Q966" s="389"/>
      <c r="R966" s="389"/>
      <c r="S966" s="389"/>
      <c r="T966" s="389"/>
      <c r="U966" s="389"/>
      <c r="V966" s="389"/>
      <c r="W966" s="389"/>
      <c r="X966" s="389"/>
      <c r="Y966" s="389"/>
      <c r="Z966" s="389"/>
      <c r="AA966" s="389"/>
      <c r="AB966" s="389"/>
      <c r="AC966" s="389"/>
      <c r="AD966" s="389"/>
      <c r="AE966" s="389"/>
    </row>
    <row r="967" spans="1:31" ht="15.5" x14ac:dyDescent="0.35">
      <c r="A967" s="390"/>
      <c r="B967" s="389"/>
      <c r="C967" s="389"/>
      <c r="D967" s="389"/>
      <c r="E967" s="389"/>
      <c r="F967" s="389"/>
      <c r="G967" s="389"/>
      <c r="H967" s="389"/>
      <c r="I967" s="389"/>
      <c r="J967" s="389"/>
      <c r="K967" s="389"/>
      <c r="L967" s="389"/>
      <c r="M967" s="389"/>
      <c r="N967" s="389"/>
      <c r="O967" s="389"/>
      <c r="P967" s="389"/>
      <c r="Q967" s="389"/>
      <c r="R967" s="389"/>
      <c r="S967" s="389"/>
      <c r="T967" s="389"/>
      <c r="U967" s="389"/>
      <c r="V967" s="389"/>
      <c r="W967" s="389"/>
      <c r="X967" s="389"/>
      <c r="Y967" s="389"/>
      <c r="Z967" s="389"/>
      <c r="AA967" s="389"/>
      <c r="AB967" s="389"/>
      <c r="AC967" s="389"/>
      <c r="AD967" s="389"/>
      <c r="AE967" s="389"/>
    </row>
    <row r="968" spans="1:31" ht="15.5" x14ac:dyDescent="0.35">
      <c r="A968" s="390"/>
      <c r="B968" s="389"/>
      <c r="C968" s="389"/>
      <c r="D968" s="389"/>
      <c r="E968" s="389"/>
      <c r="F968" s="389"/>
      <c r="G968" s="389"/>
      <c r="H968" s="389"/>
      <c r="I968" s="389"/>
      <c r="J968" s="389"/>
      <c r="K968" s="389"/>
      <c r="L968" s="389"/>
      <c r="M968" s="389"/>
      <c r="N968" s="389"/>
      <c r="O968" s="389"/>
      <c r="P968" s="389"/>
      <c r="Q968" s="389"/>
      <c r="R968" s="389"/>
      <c r="S968" s="389"/>
      <c r="T968" s="389"/>
      <c r="U968" s="389"/>
      <c r="V968" s="389"/>
      <c r="W968" s="389"/>
      <c r="X968" s="389"/>
      <c r="Y968" s="389"/>
      <c r="Z968" s="389"/>
      <c r="AA968" s="389"/>
      <c r="AB968" s="389"/>
      <c r="AC968" s="389"/>
      <c r="AD968" s="389"/>
      <c r="AE968" s="389"/>
    </row>
    <row r="969" spans="1:31" ht="15.5" x14ac:dyDescent="0.35">
      <c r="A969" s="390"/>
      <c r="B969" s="389"/>
      <c r="C969" s="389"/>
      <c r="D969" s="389"/>
      <c r="E969" s="389"/>
      <c r="F969" s="389"/>
      <c r="G969" s="389"/>
      <c r="H969" s="389"/>
      <c r="I969" s="389"/>
      <c r="J969" s="389"/>
      <c r="K969" s="389"/>
      <c r="L969" s="389"/>
      <c r="M969" s="389"/>
      <c r="N969" s="389"/>
      <c r="O969" s="389"/>
      <c r="P969" s="389"/>
      <c r="Q969" s="389"/>
      <c r="R969" s="389"/>
      <c r="S969" s="389"/>
      <c r="T969" s="389"/>
      <c r="U969" s="389"/>
      <c r="V969" s="389"/>
      <c r="W969" s="389"/>
      <c r="X969" s="389"/>
      <c r="Y969" s="389"/>
      <c r="Z969" s="389"/>
      <c r="AA969" s="389"/>
      <c r="AB969" s="389"/>
      <c r="AC969" s="389"/>
      <c r="AD969" s="389"/>
      <c r="AE969" s="389"/>
    </row>
    <row r="970" spans="1:31" ht="15.5" x14ac:dyDescent="0.35">
      <c r="A970" s="390"/>
      <c r="B970" s="389"/>
      <c r="C970" s="389"/>
      <c r="D970" s="389"/>
      <c r="E970" s="389"/>
      <c r="F970" s="389"/>
      <c r="G970" s="389"/>
      <c r="H970" s="389"/>
      <c r="I970" s="389"/>
      <c r="J970" s="389"/>
      <c r="K970" s="389"/>
      <c r="L970" s="389"/>
      <c r="M970" s="389"/>
      <c r="N970" s="389"/>
      <c r="O970" s="389"/>
      <c r="P970" s="389"/>
      <c r="Q970" s="389"/>
      <c r="R970" s="389"/>
      <c r="S970" s="389"/>
      <c r="T970" s="389"/>
      <c r="U970" s="389"/>
      <c r="V970" s="389"/>
      <c r="W970" s="389"/>
      <c r="X970" s="389"/>
      <c r="Y970" s="389"/>
      <c r="Z970" s="389"/>
      <c r="AA970" s="389"/>
      <c r="AB970" s="389"/>
      <c r="AC970" s="389"/>
      <c r="AD970" s="389"/>
      <c r="AE970" s="389"/>
    </row>
    <row r="971" spans="1:31" ht="15.5" x14ac:dyDescent="0.35">
      <c r="A971" s="390"/>
      <c r="B971" s="389"/>
      <c r="C971" s="389"/>
      <c r="D971" s="389"/>
      <c r="E971" s="389"/>
      <c r="F971" s="389"/>
      <c r="G971" s="389"/>
      <c r="H971" s="389"/>
      <c r="I971" s="389"/>
      <c r="J971" s="389"/>
      <c r="K971" s="389"/>
      <c r="L971" s="389"/>
      <c r="M971" s="389"/>
      <c r="N971" s="389"/>
      <c r="O971" s="389"/>
      <c r="P971" s="389"/>
      <c r="Q971" s="389"/>
      <c r="R971" s="389"/>
      <c r="S971" s="389"/>
      <c r="T971" s="389"/>
      <c r="U971" s="389"/>
      <c r="V971" s="389"/>
      <c r="W971" s="389"/>
      <c r="X971" s="389"/>
      <c r="Y971" s="389"/>
      <c r="Z971" s="389"/>
      <c r="AA971" s="389"/>
      <c r="AB971" s="389"/>
      <c r="AC971" s="389"/>
      <c r="AD971" s="389"/>
      <c r="AE971" s="389"/>
    </row>
    <row r="972" spans="1:31" ht="15.5" x14ac:dyDescent="0.35">
      <c r="A972" s="390"/>
      <c r="B972" s="389"/>
      <c r="C972" s="389"/>
      <c r="D972" s="389"/>
      <c r="E972" s="389"/>
      <c r="F972" s="389"/>
      <c r="G972" s="389"/>
      <c r="H972" s="389"/>
      <c r="I972" s="389"/>
      <c r="J972" s="389"/>
      <c r="K972" s="389"/>
      <c r="L972" s="389"/>
      <c r="M972" s="389"/>
      <c r="N972" s="389"/>
      <c r="O972" s="389"/>
      <c r="P972" s="389"/>
      <c r="Q972" s="389"/>
      <c r="R972" s="389"/>
      <c r="S972" s="389"/>
      <c r="T972" s="389"/>
      <c r="U972" s="389"/>
      <c r="V972" s="389"/>
      <c r="W972" s="389"/>
      <c r="X972" s="389"/>
      <c r="Y972" s="389"/>
      <c r="Z972" s="389"/>
      <c r="AA972" s="389"/>
      <c r="AB972" s="389"/>
      <c r="AC972" s="389"/>
      <c r="AD972" s="389"/>
      <c r="AE972" s="389"/>
    </row>
    <row r="973" spans="1:31" ht="15.5" x14ac:dyDescent="0.35">
      <c r="A973" s="390"/>
      <c r="B973" s="389"/>
      <c r="C973" s="389"/>
      <c r="D973" s="389"/>
      <c r="E973" s="389"/>
      <c r="F973" s="389"/>
      <c r="G973" s="389"/>
      <c r="H973" s="389"/>
      <c r="I973" s="389"/>
      <c r="J973" s="389"/>
      <c r="K973" s="389"/>
      <c r="L973" s="389"/>
      <c r="M973" s="389"/>
      <c r="N973" s="389"/>
      <c r="O973" s="389"/>
      <c r="P973" s="389"/>
      <c r="Q973" s="389"/>
      <c r="R973" s="389"/>
      <c r="S973" s="389"/>
      <c r="T973" s="389"/>
      <c r="U973" s="389"/>
      <c r="V973" s="389"/>
      <c r="W973" s="389"/>
      <c r="X973" s="389"/>
      <c r="Y973" s="389"/>
      <c r="Z973" s="389"/>
      <c r="AA973" s="389"/>
      <c r="AB973" s="389"/>
      <c r="AC973" s="389"/>
      <c r="AD973" s="389"/>
      <c r="AE973" s="389"/>
    </row>
    <row r="974" spans="1:31" ht="15.5" x14ac:dyDescent="0.35">
      <c r="A974" s="390"/>
      <c r="B974" s="389"/>
      <c r="C974" s="389"/>
      <c r="D974" s="389"/>
      <c r="E974" s="389"/>
      <c r="F974" s="389"/>
      <c r="G974" s="389"/>
      <c r="H974" s="389"/>
      <c r="I974" s="389"/>
      <c r="J974" s="389"/>
      <c r="K974" s="389"/>
      <c r="L974" s="389"/>
      <c r="M974" s="389"/>
      <c r="N974" s="389"/>
      <c r="O974" s="389"/>
      <c r="P974" s="389"/>
      <c r="Q974" s="389"/>
      <c r="R974" s="389"/>
      <c r="S974" s="389"/>
      <c r="T974" s="389"/>
      <c r="U974" s="389"/>
      <c r="V974" s="389"/>
      <c r="W974" s="389"/>
      <c r="X974" s="389"/>
      <c r="Y974" s="389"/>
      <c r="Z974" s="389"/>
      <c r="AA974" s="389"/>
      <c r="AB974" s="389"/>
      <c r="AC974" s="389"/>
      <c r="AD974" s="389"/>
      <c r="AE974" s="389"/>
    </row>
    <row r="975" spans="1:31" ht="15.5" x14ac:dyDescent="0.35">
      <c r="A975" s="390"/>
      <c r="B975" s="389"/>
      <c r="C975" s="389"/>
      <c r="D975" s="389"/>
      <c r="E975" s="389"/>
      <c r="F975" s="389"/>
      <c r="G975" s="389"/>
      <c r="H975" s="389"/>
      <c r="I975" s="389"/>
      <c r="J975" s="389"/>
      <c r="K975" s="389"/>
      <c r="L975" s="389"/>
      <c r="M975" s="389"/>
      <c r="N975" s="389"/>
      <c r="O975" s="389"/>
      <c r="P975" s="389"/>
      <c r="Q975" s="389"/>
      <c r="R975" s="389"/>
      <c r="S975" s="389"/>
      <c r="T975" s="389"/>
      <c r="U975" s="389"/>
      <c r="V975" s="389"/>
      <c r="W975" s="389"/>
      <c r="X975" s="389"/>
      <c r="Y975" s="389"/>
      <c r="Z975" s="389"/>
      <c r="AA975" s="389"/>
      <c r="AB975" s="389"/>
      <c r="AC975" s="389"/>
      <c r="AD975" s="389"/>
      <c r="AE975" s="389"/>
    </row>
    <row r="976" spans="1:31" ht="15.5" x14ac:dyDescent="0.35">
      <c r="A976" s="390"/>
      <c r="B976" s="389"/>
      <c r="C976" s="389"/>
      <c r="D976" s="389"/>
      <c r="E976" s="389"/>
      <c r="F976" s="389"/>
      <c r="G976" s="389"/>
      <c r="H976" s="389"/>
      <c r="I976" s="389"/>
      <c r="J976" s="389"/>
      <c r="K976" s="389"/>
      <c r="L976" s="389"/>
      <c r="M976" s="389"/>
      <c r="N976" s="389"/>
      <c r="O976" s="389"/>
      <c r="P976" s="389"/>
      <c r="Q976" s="389"/>
      <c r="R976" s="389"/>
      <c r="S976" s="389"/>
      <c r="T976" s="389"/>
      <c r="U976" s="389"/>
      <c r="V976" s="389"/>
      <c r="W976" s="389"/>
      <c r="X976" s="389"/>
      <c r="Y976" s="389"/>
      <c r="Z976" s="389"/>
      <c r="AA976" s="389"/>
      <c r="AB976" s="389"/>
      <c r="AC976" s="389"/>
      <c r="AD976" s="389"/>
      <c r="AE976" s="389"/>
    </row>
    <row r="977" spans="1:31" ht="15.5" x14ac:dyDescent="0.35">
      <c r="A977" s="390"/>
      <c r="B977" s="389"/>
      <c r="C977" s="389"/>
      <c r="D977" s="389"/>
      <c r="E977" s="389"/>
      <c r="F977" s="389"/>
      <c r="G977" s="389"/>
      <c r="H977" s="389"/>
      <c r="I977" s="389"/>
      <c r="J977" s="389"/>
      <c r="K977" s="389"/>
      <c r="L977" s="389"/>
      <c r="M977" s="389"/>
      <c r="N977" s="389"/>
      <c r="O977" s="389"/>
      <c r="P977" s="389"/>
      <c r="Q977" s="389"/>
      <c r="R977" s="389"/>
      <c r="S977" s="389"/>
      <c r="T977" s="389"/>
      <c r="U977" s="389"/>
      <c r="V977" s="389"/>
      <c r="W977" s="389"/>
      <c r="X977" s="389"/>
      <c r="Y977" s="389"/>
      <c r="Z977" s="389"/>
      <c r="AA977" s="389"/>
      <c r="AB977" s="389"/>
      <c r="AC977" s="389"/>
      <c r="AD977" s="389"/>
      <c r="AE977" s="389"/>
    </row>
    <row r="978" spans="1:31" ht="15.5" x14ac:dyDescent="0.35">
      <c r="A978" s="390"/>
      <c r="B978" s="389"/>
      <c r="C978" s="389"/>
      <c r="D978" s="389"/>
      <c r="E978" s="389"/>
      <c r="F978" s="389"/>
      <c r="G978" s="389"/>
      <c r="H978" s="389"/>
      <c r="I978" s="389"/>
      <c r="J978" s="389"/>
      <c r="K978" s="389"/>
      <c r="L978" s="389"/>
      <c r="M978" s="389"/>
      <c r="N978" s="389"/>
      <c r="O978" s="389"/>
      <c r="P978" s="389"/>
      <c r="Q978" s="389"/>
      <c r="R978" s="389"/>
      <c r="S978" s="389"/>
      <c r="T978" s="389"/>
      <c r="U978" s="389"/>
      <c r="V978" s="389"/>
      <c r="W978" s="389"/>
      <c r="X978" s="389"/>
      <c r="Y978" s="389"/>
      <c r="Z978" s="389"/>
      <c r="AA978" s="389"/>
      <c r="AB978" s="389"/>
      <c r="AC978" s="389"/>
      <c r="AD978" s="389"/>
      <c r="AE978" s="389"/>
    </row>
    <row r="979" spans="1:31" ht="15.5" x14ac:dyDescent="0.35">
      <c r="A979" s="390"/>
      <c r="B979" s="389"/>
      <c r="C979" s="389"/>
      <c r="D979" s="389"/>
      <c r="E979" s="389"/>
      <c r="F979" s="389"/>
      <c r="G979" s="389"/>
      <c r="H979" s="389"/>
      <c r="I979" s="389"/>
      <c r="J979" s="389"/>
      <c r="K979" s="389"/>
      <c r="L979" s="389"/>
      <c r="M979" s="389"/>
      <c r="N979" s="389"/>
      <c r="O979" s="389"/>
      <c r="P979" s="389"/>
      <c r="Q979" s="389"/>
      <c r="R979" s="389"/>
      <c r="S979" s="389"/>
      <c r="T979" s="389"/>
      <c r="U979" s="389"/>
      <c r="V979" s="389"/>
      <c r="W979" s="389"/>
      <c r="X979" s="389"/>
      <c r="Y979" s="389"/>
      <c r="Z979" s="389"/>
      <c r="AA979" s="389"/>
      <c r="AB979" s="389"/>
      <c r="AC979" s="389"/>
      <c r="AD979" s="389"/>
      <c r="AE979" s="389"/>
    </row>
    <row r="980" spans="1:31" ht="15.5" x14ac:dyDescent="0.35">
      <c r="A980" s="390"/>
      <c r="B980" s="389"/>
      <c r="C980" s="389"/>
      <c r="D980" s="389"/>
      <c r="E980" s="389"/>
      <c r="F980" s="389"/>
      <c r="G980" s="389"/>
      <c r="H980" s="389"/>
      <c r="I980" s="389"/>
      <c r="J980" s="389"/>
      <c r="K980" s="389"/>
      <c r="L980" s="389"/>
      <c r="M980" s="389"/>
      <c r="N980" s="389"/>
      <c r="O980" s="389"/>
      <c r="P980" s="389"/>
      <c r="Q980" s="389"/>
      <c r="R980" s="389"/>
      <c r="S980" s="389"/>
      <c r="T980" s="389"/>
      <c r="U980" s="389"/>
      <c r="V980" s="389"/>
      <c r="W980" s="389"/>
      <c r="X980" s="389"/>
      <c r="Y980" s="389"/>
      <c r="Z980" s="389"/>
      <c r="AA980" s="389"/>
      <c r="AB980" s="389"/>
      <c r="AC980" s="389"/>
      <c r="AD980" s="389"/>
      <c r="AE980" s="389"/>
    </row>
    <row r="981" spans="1:31" ht="15.5" x14ac:dyDescent="0.35">
      <c r="A981" s="390"/>
      <c r="B981" s="389"/>
      <c r="C981" s="389"/>
      <c r="D981" s="389"/>
      <c r="E981" s="389"/>
      <c r="F981" s="389"/>
      <c r="G981" s="389"/>
      <c r="H981" s="389"/>
      <c r="I981" s="389"/>
      <c r="J981" s="389"/>
      <c r="K981" s="389"/>
      <c r="L981" s="389"/>
      <c r="M981" s="389"/>
      <c r="N981" s="389"/>
      <c r="O981" s="389"/>
      <c r="P981" s="389"/>
      <c r="Q981" s="389"/>
      <c r="R981" s="389"/>
      <c r="S981" s="389"/>
      <c r="T981" s="389"/>
      <c r="U981" s="389"/>
      <c r="V981" s="389"/>
      <c r="W981" s="389"/>
      <c r="X981" s="389"/>
      <c r="Y981" s="389"/>
      <c r="Z981" s="389"/>
      <c r="AA981" s="389"/>
      <c r="AB981" s="389"/>
      <c r="AC981" s="389"/>
      <c r="AD981" s="389"/>
      <c r="AE981" s="389"/>
    </row>
    <row r="982" spans="1:31" ht="15.5" x14ac:dyDescent="0.35">
      <c r="A982" s="390"/>
      <c r="B982" s="389"/>
      <c r="C982" s="389"/>
      <c r="D982" s="389"/>
      <c r="E982" s="389"/>
      <c r="F982" s="389"/>
      <c r="G982" s="389"/>
      <c r="H982" s="389"/>
      <c r="I982" s="389"/>
      <c r="J982" s="389"/>
      <c r="K982" s="389"/>
      <c r="L982" s="389"/>
      <c r="M982" s="389"/>
      <c r="N982" s="389"/>
      <c r="O982" s="389"/>
      <c r="P982" s="389"/>
      <c r="Q982" s="389"/>
      <c r="R982" s="389"/>
      <c r="S982" s="389"/>
      <c r="T982" s="389"/>
      <c r="U982" s="389"/>
      <c r="V982" s="389"/>
      <c r="W982" s="389"/>
      <c r="X982" s="389"/>
      <c r="Y982" s="389"/>
      <c r="Z982" s="389"/>
      <c r="AA982" s="389"/>
      <c r="AB982" s="389"/>
      <c r="AC982" s="389"/>
      <c r="AD982" s="389"/>
      <c r="AE982" s="389"/>
    </row>
    <row r="983" spans="1:31" ht="15.5" x14ac:dyDescent="0.35">
      <c r="A983" s="390"/>
      <c r="B983" s="389"/>
      <c r="C983" s="389"/>
      <c r="D983" s="389"/>
      <c r="E983" s="389"/>
      <c r="F983" s="389"/>
      <c r="G983" s="389"/>
      <c r="H983" s="389"/>
      <c r="I983" s="389"/>
      <c r="J983" s="389"/>
      <c r="K983" s="389"/>
      <c r="L983" s="389"/>
      <c r="M983" s="389"/>
      <c r="N983" s="389"/>
      <c r="O983" s="389"/>
      <c r="P983" s="389"/>
      <c r="Q983" s="389"/>
      <c r="R983" s="389"/>
      <c r="S983" s="389"/>
      <c r="T983" s="389"/>
      <c r="U983" s="389"/>
      <c r="V983" s="389"/>
      <c r="W983" s="389"/>
      <c r="X983" s="389"/>
      <c r="Y983" s="389"/>
      <c r="Z983" s="389"/>
      <c r="AA983" s="389"/>
      <c r="AB983" s="389"/>
      <c r="AC983" s="389"/>
      <c r="AD983" s="389"/>
      <c r="AE983" s="389"/>
    </row>
    <row r="984" spans="1:31" ht="15.5" x14ac:dyDescent="0.35">
      <c r="A984" s="390"/>
      <c r="B984" s="389"/>
      <c r="C984" s="389"/>
      <c r="D984" s="389"/>
      <c r="E984" s="389"/>
      <c r="F984" s="389"/>
      <c r="G984" s="389"/>
      <c r="H984" s="389"/>
      <c r="I984" s="389"/>
      <c r="J984" s="389"/>
      <c r="K984" s="389"/>
      <c r="L984" s="389"/>
      <c r="M984" s="389"/>
      <c r="N984" s="389"/>
      <c r="O984" s="389"/>
      <c r="P984" s="389"/>
      <c r="Q984" s="389"/>
      <c r="R984" s="389"/>
      <c r="S984" s="389"/>
      <c r="T984" s="389"/>
      <c r="U984" s="389"/>
      <c r="V984" s="389"/>
      <c r="W984" s="389"/>
      <c r="X984" s="389"/>
      <c r="Y984" s="389"/>
      <c r="Z984" s="389"/>
      <c r="AA984" s="389"/>
      <c r="AB984" s="389"/>
      <c r="AC984" s="389"/>
      <c r="AD984" s="389"/>
      <c r="AE984" s="389"/>
    </row>
    <row r="985" spans="1:31" ht="15.5" x14ac:dyDescent="0.35">
      <c r="A985" s="390"/>
      <c r="B985" s="389"/>
      <c r="C985" s="389"/>
      <c r="D985" s="389"/>
      <c r="E985" s="389"/>
      <c r="F985" s="389"/>
      <c r="G985" s="389"/>
      <c r="H985" s="389"/>
      <c r="I985" s="389"/>
      <c r="J985" s="389"/>
      <c r="K985" s="389"/>
      <c r="L985" s="389"/>
      <c r="M985" s="389"/>
      <c r="N985" s="389"/>
      <c r="O985" s="389"/>
      <c r="P985" s="389"/>
      <c r="Q985" s="389"/>
      <c r="R985" s="389"/>
      <c r="S985" s="389"/>
      <c r="T985" s="389"/>
      <c r="U985" s="389"/>
      <c r="V985" s="389"/>
      <c r="W985" s="389"/>
      <c r="X985" s="389"/>
      <c r="Y985" s="389"/>
      <c r="Z985" s="389"/>
      <c r="AA985" s="389"/>
      <c r="AB985" s="389"/>
      <c r="AC985" s="389"/>
      <c r="AD985" s="389"/>
      <c r="AE985" s="389"/>
    </row>
    <row r="986" spans="1:31" ht="15.5" x14ac:dyDescent="0.35">
      <c r="A986" s="390"/>
      <c r="B986" s="389"/>
      <c r="C986" s="389"/>
      <c r="D986" s="389"/>
      <c r="E986" s="389"/>
      <c r="F986" s="389"/>
      <c r="G986" s="389"/>
      <c r="H986" s="389"/>
      <c r="I986" s="389"/>
      <c r="J986" s="389"/>
      <c r="K986" s="389"/>
      <c r="L986" s="389"/>
      <c r="M986" s="389"/>
      <c r="N986" s="389"/>
      <c r="O986" s="389"/>
      <c r="P986" s="389"/>
      <c r="Q986" s="389"/>
      <c r="R986" s="389"/>
      <c r="S986" s="389"/>
      <c r="T986" s="389"/>
      <c r="U986" s="389"/>
      <c r="V986" s="389"/>
      <c r="W986" s="389"/>
      <c r="X986" s="389"/>
      <c r="Y986" s="389"/>
      <c r="Z986" s="389"/>
      <c r="AA986" s="389"/>
      <c r="AB986" s="389"/>
      <c r="AC986" s="389"/>
      <c r="AD986" s="389"/>
      <c r="AE986" s="389"/>
    </row>
    <row r="987" spans="1:31" ht="15.5" x14ac:dyDescent="0.35">
      <c r="A987" s="390"/>
      <c r="B987" s="389"/>
      <c r="C987" s="389"/>
      <c r="D987" s="389"/>
      <c r="E987" s="389"/>
      <c r="F987" s="389"/>
      <c r="G987" s="389"/>
      <c r="H987" s="389"/>
      <c r="I987" s="389"/>
      <c r="J987" s="389"/>
      <c r="K987" s="389"/>
      <c r="L987" s="389"/>
      <c r="M987" s="389"/>
      <c r="N987" s="389"/>
      <c r="O987" s="389"/>
      <c r="P987" s="389"/>
      <c r="Q987" s="389"/>
      <c r="R987" s="389"/>
      <c r="S987" s="389"/>
      <c r="T987" s="389"/>
      <c r="U987" s="389"/>
      <c r="V987" s="389"/>
      <c r="W987" s="389"/>
      <c r="X987" s="389"/>
      <c r="Y987" s="389"/>
      <c r="Z987" s="389"/>
      <c r="AA987" s="389"/>
      <c r="AB987" s="389"/>
      <c r="AC987" s="389"/>
      <c r="AD987" s="389"/>
      <c r="AE987" s="389"/>
    </row>
    <row r="988" spans="1:31" ht="15.5" x14ac:dyDescent="0.35">
      <c r="A988" s="390"/>
      <c r="B988" s="389"/>
      <c r="C988" s="389"/>
      <c r="D988" s="389"/>
      <c r="E988" s="389"/>
      <c r="F988" s="389"/>
      <c r="G988" s="389"/>
      <c r="H988" s="389"/>
      <c r="I988" s="389"/>
      <c r="J988" s="389"/>
      <c r="K988" s="389"/>
      <c r="L988" s="389"/>
      <c r="M988" s="389"/>
      <c r="N988" s="389"/>
      <c r="O988" s="389"/>
      <c r="P988" s="389"/>
      <c r="Q988" s="389"/>
      <c r="R988" s="389"/>
      <c r="S988" s="389"/>
      <c r="T988" s="389"/>
      <c r="U988" s="389"/>
      <c r="V988" s="389"/>
      <c r="W988" s="389"/>
      <c r="X988" s="389"/>
      <c r="Y988" s="389"/>
      <c r="Z988" s="389"/>
      <c r="AA988" s="389"/>
      <c r="AB988" s="389"/>
      <c r="AC988" s="389"/>
      <c r="AD988" s="389"/>
      <c r="AE988" s="389"/>
    </row>
    <row r="989" spans="1:31" ht="15.5" x14ac:dyDescent="0.35">
      <c r="A989" s="390"/>
      <c r="B989" s="389"/>
      <c r="C989" s="389"/>
      <c r="D989" s="389"/>
      <c r="E989" s="389"/>
      <c r="F989" s="389"/>
      <c r="G989" s="389"/>
      <c r="H989" s="389"/>
      <c r="I989" s="389"/>
      <c r="J989" s="389"/>
      <c r="K989" s="389"/>
      <c r="L989" s="389"/>
      <c r="M989" s="389"/>
      <c r="N989" s="389"/>
      <c r="O989" s="389"/>
      <c r="P989" s="389"/>
      <c r="Q989" s="389"/>
      <c r="R989" s="389"/>
      <c r="S989" s="389"/>
      <c r="T989" s="389"/>
      <c r="U989" s="389"/>
      <c r="V989" s="389"/>
      <c r="W989" s="389"/>
      <c r="X989" s="389"/>
      <c r="Y989" s="389"/>
      <c r="Z989" s="389"/>
      <c r="AA989" s="389"/>
      <c r="AB989" s="389"/>
      <c r="AC989" s="389"/>
      <c r="AD989" s="389"/>
      <c r="AE989" s="389"/>
    </row>
    <row r="990" spans="1:31" ht="15.5" x14ac:dyDescent="0.35">
      <c r="A990" s="390"/>
      <c r="B990" s="389"/>
      <c r="C990" s="389"/>
      <c r="D990" s="389"/>
      <c r="E990" s="389"/>
      <c r="F990" s="389"/>
      <c r="G990" s="389"/>
      <c r="H990" s="389"/>
      <c r="I990" s="389"/>
      <c r="J990" s="389"/>
      <c r="K990" s="389"/>
      <c r="L990" s="389"/>
      <c r="M990" s="389"/>
      <c r="N990" s="389"/>
      <c r="O990" s="389"/>
      <c r="P990" s="389"/>
      <c r="Q990" s="389"/>
      <c r="R990" s="389"/>
      <c r="S990" s="389"/>
      <c r="T990" s="389"/>
      <c r="U990" s="389"/>
      <c r="V990" s="389"/>
      <c r="W990" s="389"/>
      <c r="X990" s="389"/>
      <c r="Y990" s="389"/>
      <c r="Z990" s="389"/>
      <c r="AA990" s="389"/>
      <c r="AB990" s="389"/>
      <c r="AC990" s="389"/>
      <c r="AD990" s="389"/>
      <c r="AE990" s="389"/>
    </row>
    <row r="991" spans="1:31" ht="15.5" x14ac:dyDescent="0.35">
      <c r="A991" s="390"/>
      <c r="B991" s="389"/>
      <c r="C991" s="389"/>
      <c r="D991" s="389"/>
      <c r="E991" s="389"/>
      <c r="F991" s="389"/>
      <c r="G991" s="389"/>
      <c r="H991" s="389"/>
      <c r="I991" s="389"/>
      <c r="J991" s="389"/>
      <c r="K991" s="389"/>
      <c r="L991" s="389"/>
      <c r="M991" s="389"/>
      <c r="N991" s="389"/>
      <c r="O991" s="389"/>
      <c r="P991" s="389"/>
      <c r="Q991" s="389"/>
      <c r="R991" s="389"/>
      <c r="S991" s="389"/>
      <c r="T991" s="389"/>
      <c r="U991" s="389"/>
      <c r="V991" s="389"/>
      <c r="W991" s="389"/>
      <c r="X991" s="389"/>
      <c r="Y991" s="389"/>
      <c r="Z991" s="389"/>
      <c r="AA991" s="389"/>
      <c r="AB991" s="389"/>
      <c r="AC991" s="389"/>
      <c r="AD991" s="389"/>
      <c r="AE991" s="389"/>
    </row>
    <row r="992" spans="1:31" ht="15.5" x14ac:dyDescent="0.35">
      <c r="A992" s="390"/>
      <c r="B992" s="389"/>
      <c r="C992" s="389"/>
      <c r="D992" s="389"/>
      <c r="E992" s="389"/>
      <c r="F992" s="389"/>
      <c r="G992" s="389"/>
      <c r="H992" s="389"/>
      <c r="I992" s="389"/>
      <c r="J992" s="389"/>
      <c r="K992" s="389"/>
      <c r="L992" s="389"/>
      <c r="M992" s="389"/>
      <c r="N992" s="389"/>
      <c r="O992" s="389"/>
      <c r="P992" s="389"/>
      <c r="Q992" s="389"/>
      <c r="R992" s="389"/>
      <c r="S992" s="389"/>
      <c r="T992" s="389"/>
      <c r="U992" s="389"/>
      <c r="V992" s="389"/>
      <c r="W992" s="389"/>
      <c r="X992" s="389"/>
      <c r="Y992" s="389"/>
      <c r="Z992" s="389"/>
      <c r="AA992" s="389"/>
      <c r="AB992" s="389"/>
      <c r="AC992" s="389"/>
      <c r="AD992" s="389"/>
      <c r="AE992" s="389"/>
    </row>
    <row r="993" spans="1:31" ht="15.5" x14ac:dyDescent="0.35">
      <c r="A993" s="390"/>
      <c r="B993" s="389"/>
      <c r="C993" s="389"/>
      <c r="D993" s="389"/>
      <c r="E993" s="389"/>
      <c r="F993" s="389"/>
      <c r="G993" s="389"/>
      <c r="H993" s="389"/>
      <c r="I993" s="389"/>
      <c r="J993" s="389"/>
      <c r="K993" s="389"/>
      <c r="L993" s="389"/>
      <c r="M993" s="389"/>
      <c r="N993" s="389"/>
      <c r="O993" s="389"/>
      <c r="P993" s="389"/>
      <c r="Q993" s="389"/>
      <c r="R993" s="389"/>
      <c r="S993" s="389"/>
      <c r="T993" s="389"/>
      <c r="U993" s="389"/>
      <c r="V993" s="389"/>
      <c r="W993" s="389"/>
      <c r="X993" s="389"/>
      <c r="Y993" s="389"/>
      <c r="Z993" s="389"/>
      <c r="AA993" s="389"/>
      <c r="AB993" s="389"/>
      <c r="AC993" s="389"/>
      <c r="AD993" s="389"/>
      <c r="AE993" s="389"/>
    </row>
    <row r="994" spans="1:31" ht="15.5" x14ac:dyDescent="0.35">
      <c r="A994" s="390"/>
      <c r="B994" s="389"/>
      <c r="C994" s="389"/>
      <c r="D994" s="389"/>
      <c r="E994" s="389"/>
      <c r="F994" s="389"/>
      <c r="G994" s="389"/>
      <c r="H994" s="389"/>
      <c r="I994" s="389"/>
      <c r="J994" s="389"/>
      <c r="K994" s="389"/>
      <c r="L994" s="389"/>
      <c r="M994" s="389"/>
      <c r="N994" s="389"/>
      <c r="O994" s="389"/>
      <c r="P994" s="389"/>
      <c r="Q994" s="389"/>
      <c r="R994" s="389"/>
      <c r="S994" s="389"/>
      <c r="T994" s="389"/>
      <c r="U994" s="389"/>
      <c r="V994" s="389"/>
      <c r="W994" s="389"/>
      <c r="X994" s="389"/>
      <c r="Y994" s="389"/>
      <c r="Z994" s="389"/>
      <c r="AA994" s="389"/>
      <c r="AB994" s="389"/>
      <c r="AC994" s="389"/>
      <c r="AD994" s="389"/>
      <c r="AE994" s="389"/>
    </row>
    <row r="995" spans="1:31" ht="15.5" x14ac:dyDescent="0.35">
      <c r="A995" s="390"/>
      <c r="B995" s="389"/>
      <c r="C995" s="389"/>
      <c r="D995" s="389"/>
      <c r="E995" s="389"/>
      <c r="F995" s="389"/>
      <c r="G995" s="389"/>
      <c r="H995" s="389"/>
      <c r="I995" s="389"/>
      <c r="J995" s="389"/>
      <c r="K995" s="389"/>
      <c r="L995" s="389"/>
      <c r="M995" s="389"/>
      <c r="N995" s="389"/>
      <c r="O995" s="389"/>
      <c r="P995" s="389"/>
      <c r="Q995" s="389"/>
      <c r="R995" s="389"/>
      <c r="S995" s="389"/>
      <c r="T995" s="389"/>
      <c r="U995" s="389"/>
      <c r="V995" s="389"/>
      <c r="W995" s="389"/>
      <c r="X995" s="389"/>
      <c r="Y995" s="389"/>
      <c r="Z995" s="389"/>
      <c r="AA995" s="389"/>
      <c r="AB995" s="389"/>
      <c r="AC995" s="389"/>
      <c r="AD995" s="389"/>
      <c r="AE995" s="389"/>
    </row>
    <row r="996" spans="1:31" ht="15.5" x14ac:dyDescent="0.35">
      <c r="A996" s="390"/>
      <c r="B996" s="389"/>
      <c r="C996" s="389"/>
      <c r="D996" s="389"/>
      <c r="E996" s="389"/>
      <c r="F996" s="389"/>
      <c r="G996" s="389"/>
      <c r="H996" s="389"/>
      <c r="I996" s="389"/>
      <c r="J996" s="389"/>
      <c r="K996" s="389"/>
      <c r="L996" s="389"/>
      <c r="M996" s="389"/>
      <c r="N996" s="389"/>
      <c r="O996" s="389"/>
      <c r="P996" s="389"/>
      <c r="Q996" s="389"/>
      <c r="R996" s="389"/>
      <c r="S996" s="389"/>
      <c r="T996" s="389"/>
      <c r="U996" s="389"/>
      <c r="V996" s="389"/>
      <c r="W996" s="389"/>
      <c r="X996" s="389"/>
      <c r="Y996" s="389"/>
      <c r="Z996" s="389"/>
      <c r="AA996" s="389"/>
      <c r="AB996" s="389"/>
      <c r="AC996" s="389"/>
      <c r="AD996" s="389"/>
      <c r="AE996" s="389"/>
    </row>
    <row r="997" spans="1:31" ht="15.5" x14ac:dyDescent="0.35">
      <c r="A997" s="390"/>
      <c r="B997" s="389"/>
      <c r="C997" s="389"/>
      <c r="D997" s="389"/>
      <c r="E997" s="389"/>
      <c r="F997" s="389"/>
      <c r="G997" s="389"/>
      <c r="H997" s="389"/>
      <c r="I997" s="389"/>
      <c r="J997" s="389"/>
      <c r="K997" s="389"/>
      <c r="L997" s="389"/>
      <c r="M997" s="389"/>
      <c r="N997" s="389"/>
      <c r="O997" s="389"/>
      <c r="P997" s="389"/>
      <c r="Q997" s="389"/>
      <c r="R997" s="389"/>
      <c r="S997" s="389"/>
      <c r="T997" s="389"/>
      <c r="U997" s="389"/>
      <c r="V997" s="389"/>
      <c r="W997" s="389"/>
      <c r="X997" s="389"/>
      <c r="Y997" s="389"/>
      <c r="Z997" s="389"/>
      <c r="AA997" s="389"/>
      <c r="AB997" s="389"/>
      <c r="AC997" s="389"/>
      <c r="AD997" s="389"/>
      <c r="AE997" s="389"/>
    </row>
    <row r="998" spans="1:31" ht="15.5" x14ac:dyDescent="0.35">
      <c r="A998" s="390"/>
      <c r="B998" s="389"/>
      <c r="C998" s="389"/>
      <c r="D998" s="389"/>
      <c r="E998" s="389"/>
      <c r="F998" s="389"/>
      <c r="G998" s="389"/>
      <c r="H998" s="389"/>
      <c r="I998" s="389"/>
      <c r="J998" s="389"/>
      <c r="K998" s="389"/>
      <c r="L998" s="389"/>
      <c r="M998" s="389"/>
      <c r="N998" s="389"/>
      <c r="O998" s="389"/>
      <c r="P998" s="389"/>
      <c r="Q998" s="389"/>
      <c r="R998" s="389"/>
      <c r="S998" s="389"/>
      <c r="T998" s="389"/>
      <c r="U998" s="389"/>
      <c r="V998" s="389"/>
      <c r="W998" s="389"/>
      <c r="X998" s="389"/>
      <c r="Y998" s="389"/>
      <c r="Z998" s="389"/>
      <c r="AA998" s="389"/>
      <c r="AB998" s="389"/>
      <c r="AC998" s="389"/>
      <c r="AD998" s="389"/>
      <c r="AE998" s="389"/>
    </row>
    <row r="999" spans="1:31" ht="15.5" x14ac:dyDescent="0.35">
      <c r="A999" s="390"/>
      <c r="B999" s="389"/>
      <c r="C999" s="389"/>
      <c r="D999" s="389"/>
      <c r="E999" s="389"/>
      <c r="F999" s="389"/>
      <c r="G999" s="389"/>
      <c r="H999" s="389"/>
      <c r="I999" s="389"/>
      <c r="J999" s="389"/>
      <c r="K999" s="389"/>
      <c r="L999" s="389"/>
      <c r="M999" s="389"/>
      <c r="N999" s="389"/>
      <c r="O999" s="389"/>
      <c r="P999" s="389"/>
      <c r="Q999" s="389"/>
      <c r="R999" s="389"/>
      <c r="S999" s="389"/>
      <c r="T999" s="389"/>
      <c r="U999" s="389"/>
      <c r="V999" s="389"/>
      <c r="W999" s="389"/>
      <c r="X999" s="389"/>
      <c r="Y999" s="389"/>
      <c r="Z999" s="389"/>
      <c r="AA999" s="389"/>
      <c r="AB999" s="389"/>
      <c r="AC999" s="389"/>
      <c r="AD999" s="389"/>
      <c r="AE999" s="389"/>
    </row>
    <row r="1000" spans="1:31" ht="15.5" x14ac:dyDescent="0.35">
      <c r="A1000" s="390"/>
      <c r="B1000" s="389"/>
      <c r="C1000" s="389"/>
      <c r="D1000" s="389"/>
      <c r="E1000" s="389"/>
      <c r="F1000" s="389"/>
      <c r="G1000" s="389"/>
      <c r="H1000" s="389"/>
      <c r="I1000" s="389"/>
      <c r="J1000" s="389"/>
      <c r="K1000" s="389"/>
      <c r="L1000" s="389"/>
      <c r="M1000" s="389"/>
      <c r="N1000" s="389"/>
      <c r="O1000" s="389"/>
      <c r="P1000" s="389"/>
      <c r="Q1000" s="389"/>
      <c r="R1000" s="389"/>
      <c r="S1000" s="389"/>
      <c r="T1000" s="389"/>
      <c r="U1000" s="389"/>
      <c r="V1000" s="389"/>
      <c r="W1000" s="389"/>
      <c r="X1000" s="389"/>
      <c r="Y1000" s="389"/>
      <c r="Z1000" s="389"/>
      <c r="AA1000" s="389"/>
      <c r="AB1000" s="389"/>
      <c r="AC1000" s="389"/>
      <c r="AD1000" s="389"/>
      <c r="AE1000" s="389"/>
    </row>
    <row r="1001" spans="1:31" ht="15.5" x14ac:dyDescent="0.35">
      <c r="A1001" s="390"/>
      <c r="B1001" s="389"/>
      <c r="C1001" s="389"/>
      <c r="D1001" s="389"/>
      <c r="E1001" s="389"/>
      <c r="F1001" s="389"/>
      <c r="G1001" s="389"/>
      <c r="H1001" s="389"/>
      <c r="I1001" s="389"/>
      <c r="J1001" s="389"/>
      <c r="K1001" s="389"/>
      <c r="L1001" s="389"/>
      <c r="M1001" s="389"/>
      <c r="N1001" s="389"/>
      <c r="O1001" s="389"/>
      <c r="P1001" s="389"/>
      <c r="Q1001" s="389"/>
      <c r="R1001" s="389"/>
      <c r="S1001" s="389"/>
      <c r="T1001" s="389"/>
      <c r="U1001" s="389"/>
      <c r="V1001" s="389"/>
      <c r="W1001" s="389"/>
      <c r="X1001" s="389"/>
      <c r="Y1001" s="389"/>
      <c r="Z1001" s="389"/>
      <c r="AA1001" s="389"/>
      <c r="AB1001" s="389"/>
      <c r="AC1001" s="389"/>
      <c r="AD1001" s="389"/>
      <c r="AE1001" s="389"/>
    </row>
    <row r="1002" spans="1:31" ht="15.5" x14ac:dyDescent="0.35">
      <c r="A1002" s="390"/>
      <c r="B1002" s="389"/>
      <c r="C1002" s="389"/>
      <c r="D1002" s="389"/>
      <c r="E1002" s="389"/>
      <c r="F1002" s="389"/>
      <c r="G1002" s="389"/>
      <c r="H1002" s="389"/>
      <c r="I1002" s="389"/>
      <c r="J1002" s="389"/>
      <c r="K1002" s="389"/>
      <c r="L1002" s="389"/>
      <c r="M1002" s="389"/>
      <c r="N1002" s="389"/>
      <c r="O1002" s="389"/>
      <c r="P1002" s="389"/>
      <c r="Q1002" s="389"/>
      <c r="R1002" s="389"/>
      <c r="S1002" s="389"/>
      <c r="T1002" s="389"/>
      <c r="U1002" s="389"/>
      <c r="V1002" s="389"/>
      <c r="W1002" s="389"/>
      <c r="X1002" s="389"/>
      <c r="Y1002" s="389"/>
      <c r="Z1002" s="389"/>
      <c r="AA1002" s="389"/>
      <c r="AB1002" s="389"/>
      <c r="AC1002" s="389"/>
      <c r="AD1002" s="389"/>
      <c r="AE1002" s="389"/>
    </row>
    <row r="1003" spans="1:31" ht="15.5" x14ac:dyDescent="0.35">
      <c r="A1003" s="390"/>
      <c r="B1003" s="389"/>
      <c r="C1003" s="389"/>
      <c r="D1003" s="389"/>
      <c r="E1003" s="389"/>
      <c r="F1003" s="389"/>
      <c r="G1003" s="389"/>
      <c r="H1003" s="389"/>
      <c r="I1003" s="389"/>
      <c r="J1003" s="389"/>
      <c r="K1003" s="389"/>
      <c r="L1003" s="389"/>
      <c r="M1003" s="389"/>
      <c r="N1003" s="389"/>
      <c r="O1003" s="389"/>
      <c r="P1003" s="389"/>
      <c r="Q1003" s="389"/>
      <c r="R1003" s="389"/>
      <c r="S1003" s="389"/>
      <c r="T1003" s="389"/>
      <c r="U1003" s="389"/>
      <c r="V1003" s="389"/>
      <c r="W1003" s="389"/>
      <c r="X1003" s="389"/>
      <c r="Y1003" s="389"/>
      <c r="Z1003" s="389"/>
      <c r="AA1003" s="389"/>
      <c r="AB1003" s="389"/>
      <c r="AC1003" s="389"/>
      <c r="AD1003" s="389"/>
      <c r="AE1003" s="389"/>
    </row>
    <row r="1004" spans="1:31" ht="15.5" x14ac:dyDescent="0.35">
      <c r="A1004" s="390"/>
      <c r="B1004" s="389"/>
      <c r="C1004" s="389"/>
      <c r="D1004" s="389"/>
      <c r="E1004" s="389"/>
      <c r="F1004" s="389"/>
      <c r="G1004" s="389"/>
      <c r="H1004" s="389"/>
      <c r="I1004" s="389"/>
      <c r="J1004" s="389"/>
      <c r="K1004" s="389"/>
      <c r="L1004" s="389"/>
      <c r="M1004" s="389"/>
      <c r="N1004" s="389"/>
      <c r="O1004" s="389"/>
      <c r="P1004" s="389"/>
      <c r="Q1004" s="389"/>
      <c r="R1004" s="389"/>
      <c r="S1004" s="389"/>
      <c r="T1004" s="389"/>
      <c r="U1004" s="389"/>
      <c r="V1004" s="389"/>
      <c r="W1004" s="389"/>
      <c r="X1004" s="389"/>
      <c r="Y1004" s="389"/>
      <c r="Z1004" s="389"/>
      <c r="AA1004" s="389"/>
      <c r="AB1004" s="389"/>
      <c r="AC1004" s="389"/>
      <c r="AD1004" s="389"/>
      <c r="AE1004" s="389"/>
    </row>
    <row r="1005" spans="1:31" ht="15.5" x14ac:dyDescent="0.35">
      <c r="A1005" s="390"/>
      <c r="B1005" s="389"/>
      <c r="C1005" s="389"/>
      <c r="D1005" s="389"/>
      <c r="E1005" s="389"/>
      <c r="F1005" s="389"/>
      <c r="G1005" s="389"/>
      <c r="H1005" s="389"/>
      <c r="I1005" s="389"/>
      <c r="J1005" s="389"/>
      <c r="K1005" s="389"/>
      <c r="L1005" s="389"/>
      <c r="M1005" s="389"/>
      <c r="N1005" s="389"/>
      <c r="O1005" s="389"/>
      <c r="P1005" s="389"/>
      <c r="Q1005" s="389"/>
      <c r="R1005" s="389"/>
      <c r="S1005" s="389"/>
      <c r="T1005" s="389"/>
      <c r="U1005" s="389"/>
      <c r="V1005" s="389"/>
      <c r="W1005" s="389"/>
      <c r="X1005" s="389"/>
      <c r="Y1005" s="389"/>
      <c r="Z1005" s="389"/>
      <c r="AA1005" s="389"/>
      <c r="AB1005" s="389"/>
      <c r="AC1005" s="389"/>
      <c r="AD1005" s="389"/>
      <c r="AE1005" s="389"/>
    </row>
    <row r="1006" spans="1:31" ht="15.5" x14ac:dyDescent="0.35">
      <c r="A1006" s="390"/>
      <c r="B1006" s="389"/>
      <c r="C1006" s="389"/>
      <c r="D1006" s="389"/>
      <c r="E1006" s="389"/>
      <c r="F1006" s="389"/>
      <c r="G1006" s="389"/>
      <c r="H1006" s="389"/>
      <c r="I1006" s="389"/>
      <c r="J1006" s="389"/>
      <c r="K1006" s="389"/>
      <c r="L1006" s="389"/>
      <c r="M1006" s="389"/>
      <c r="N1006" s="389"/>
      <c r="O1006" s="389"/>
      <c r="P1006" s="389"/>
      <c r="Q1006" s="389"/>
      <c r="R1006" s="389"/>
      <c r="S1006" s="389"/>
      <c r="T1006" s="389"/>
      <c r="U1006" s="389"/>
      <c r="V1006" s="389"/>
      <c r="W1006" s="389"/>
      <c r="X1006" s="389"/>
      <c r="Y1006" s="389"/>
      <c r="Z1006" s="389"/>
      <c r="AA1006" s="389"/>
      <c r="AB1006" s="389"/>
      <c r="AC1006" s="389"/>
      <c r="AD1006" s="389"/>
      <c r="AE1006" s="389"/>
    </row>
    <row r="1007" spans="1:31" ht="15.5" x14ac:dyDescent="0.35">
      <c r="A1007" s="390"/>
      <c r="B1007" s="389"/>
      <c r="C1007" s="389"/>
      <c r="D1007" s="389"/>
      <c r="E1007" s="389"/>
      <c r="F1007" s="389"/>
      <c r="G1007" s="389"/>
      <c r="H1007" s="389"/>
      <c r="I1007" s="389"/>
      <c r="J1007" s="389"/>
      <c r="K1007" s="389"/>
      <c r="L1007" s="389"/>
      <c r="M1007" s="389"/>
      <c r="N1007" s="389"/>
      <c r="O1007" s="389"/>
      <c r="P1007" s="389"/>
      <c r="Q1007" s="389"/>
      <c r="R1007" s="389"/>
      <c r="S1007" s="389"/>
      <c r="T1007" s="389"/>
      <c r="U1007" s="389"/>
      <c r="V1007" s="389"/>
      <c r="W1007" s="389"/>
      <c r="X1007" s="389"/>
      <c r="Y1007" s="389"/>
      <c r="Z1007" s="389"/>
      <c r="AA1007" s="389"/>
      <c r="AB1007" s="389"/>
      <c r="AC1007" s="389"/>
      <c r="AD1007" s="389"/>
      <c r="AE1007" s="389"/>
    </row>
    <row r="1008" spans="1:31" ht="15.5" x14ac:dyDescent="0.35">
      <c r="A1008" s="390"/>
      <c r="B1008" s="389"/>
      <c r="C1008" s="389"/>
      <c r="D1008" s="389"/>
      <c r="E1008" s="389"/>
      <c r="F1008" s="389"/>
      <c r="G1008" s="389"/>
      <c r="H1008" s="389"/>
      <c r="I1008" s="389"/>
      <c r="J1008" s="389"/>
      <c r="K1008" s="389"/>
      <c r="L1008" s="389"/>
      <c r="M1008" s="389"/>
      <c r="N1008" s="389"/>
      <c r="O1008" s="389"/>
      <c r="P1008" s="389"/>
      <c r="Q1008" s="389"/>
      <c r="R1008" s="389"/>
      <c r="S1008" s="389"/>
      <c r="T1008" s="389"/>
      <c r="U1008" s="389"/>
      <c r="V1008" s="389"/>
      <c r="W1008" s="389"/>
      <c r="X1008" s="389"/>
      <c r="Y1008" s="389"/>
      <c r="Z1008" s="389"/>
      <c r="AA1008" s="389"/>
      <c r="AB1008" s="389"/>
      <c r="AC1008" s="389"/>
      <c r="AD1008" s="389"/>
      <c r="AE1008" s="389"/>
    </row>
    <row r="1009" spans="1:31" ht="15.5" x14ac:dyDescent="0.35">
      <c r="A1009" s="390"/>
      <c r="B1009" s="389"/>
      <c r="C1009" s="389"/>
      <c r="D1009" s="389"/>
      <c r="E1009" s="389"/>
      <c r="F1009" s="389"/>
      <c r="G1009" s="389"/>
      <c r="H1009" s="389"/>
      <c r="I1009" s="389"/>
      <c r="J1009" s="389"/>
      <c r="K1009" s="389"/>
      <c r="L1009" s="389"/>
      <c r="M1009" s="389"/>
      <c r="N1009" s="389"/>
      <c r="O1009" s="389"/>
      <c r="P1009" s="389"/>
      <c r="Q1009" s="389"/>
      <c r="R1009" s="389"/>
      <c r="S1009" s="389"/>
      <c r="T1009" s="389"/>
      <c r="U1009" s="389"/>
      <c r="V1009" s="389"/>
      <c r="W1009" s="389"/>
      <c r="X1009" s="389"/>
      <c r="Y1009" s="389"/>
      <c r="Z1009" s="389"/>
      <c r="AA1009" s="389"/>
      <c r="AB1009" s="389"/>
      <c r="AC1009" s="389"/>
      <c r="AD1009" s="389"/>
      <c r="AE1009" s="389"/>
    </row>
    <row r="1010" spans="1:31" ht="15.5" x14ac:dyDescent="0.35">
      <c r="A1010" s="390"/>
      <c r="B1010" s="389"/>
      <c r="C1010" s="389"/>
      <c r="D1010" s="389"/>
      <c r="E1010" s="389"/>
      <c r="F1010" s="389"/>
      <c r="G1010" s="389"/>
      <c r="H1010" s="389"/>
      <c r="I1010" s="389"/>
      <c r="J1010" s="389"/>
      <c r="K1010" s="389"/>
      <c r="L1010" s="389"/>
      <c r="M1010" s="389"/>
      <c r="N1010" s="389"/>
      <c r="O1010" s="389"/>
      <c r="P1010" s="389"/>
      <c r="Q1010" s="389"/>
      <c r="R1010" s="389"/>
      <c r="S1010" s="389"/>
      <c r="T1010" s="389"/>
      <c r="U1010" s="389"/>
      <c r="V1010" s="389"/>
      <c r="W1010" s="389"/>
      <c r="X1010" s="389"/>
      <c r="Y1010" s="389"/>
      <c r="Z1010" s="389"/>
      <c r="AA1010" s="389"/>
      <c r="AB1010" s="389"/>
      <c r="AC1010" s="389"/>
      <c r="AD1010" s="389"/>
      <c r="AE1010" s="389"/>
    </row>
    <row r="1011" spans="1:31" ht="15.5" x14ac:dyDescent="0.35">
      <c r="A1011" s="390"/>
      <c r="B1011" s="389"/>
      <c r="C1011" s="389"/>
      <c r="D1011" s="389"/>
      <c r="E1011" s="389"/>
      <c r="F1011" s="389"/>
      <c r="G1011" s="389"/>
      <c r="H1011" s="389"/>
      <c r="I1011" s="389"/>
      <c r="J1011" s="389"/>
      <c r="K1011" s="389"/>
      <c r="L1011" s="389"/>
      <c r="M1011" s="389"/>
      <c r="N1011" s="389"/>
      <c r="O1011" s="389"/>
      <c r="P1011" s="389"/>
      <c r="Q1011" s="389"/>
      <c r="R1011" s="389"/>
      <c r="S1011" s="389"/>
      <c r="T1011" s="389"/>
      <c r="U1011" s="389"/>
      <c r="V1011" s="389"/>
      <c r="W1011" s="389"/>
      <c r="X1011" s="389"/>
      <c r="Y1011" s="389"/>
      <c r="Z1011" s="389"/>
      <c r="AA1011" s="389"/>
      <c r="AB1011" s="389"/>
      <c r="AC1011" s="389"/>
      <c r="AD1011" s="389"/>
      <c r="AE1011" s="389"/>
    </row>
    <row r="1012" spans="1:31" ht="15.5" x14ac:dyDescent="0.35">
      <c r="A1012" s="390"/>
      <c r="B1012" s="389"/>
      <c r="C1012" s="389"/>
      <c r="D1012" s="389"/>
      <c r="E1012" s="389"/>
      <c r="F1012" s="389"/>
      <c r="G1012" s="389"/>
      <c r="H1012" s="389"/>
      <c r="I1012" s="389"/>
      <c r="J1012" s="389"/>
      <c r="K1012" s="389"/>
      <c r="L1012" s="389"/>
      <c r="M1012" s="389"/>
      <c r="N1012" s="389"/>
      <c r="O1012" s="389"/>
      <c r="P1012" s="389"/>
      <c r="Q1012" s="389"/>
      <c r="R1012" s="389"/>
      <c r="S1012" s="389"/>
      <c r="T1012" s="389"/>
      <c r="U1012" s="389"/>
      <c r="V1012" s="389"/>
      <c r="W1012" s="389"/>
      <c r="X1012" s="389"/>
      <c r="Y1012" s="389"/>
      <c r="Z1012" s="389"/>
      <c r="AA1012" s="389"/>
      <c r="AB1012" s="389"/>
      <c r="AC1012" s="389"/>
      <c r="AD1012" s="389"/>
      <c r="AE1012" s="389"/>
    </row>
    <row r="1013" spans="1:31" ht="15.5" x14ac:dyDescent="0.35">
      <c r="A1013" s="390"/>
      <c r="B1013" s="389"/>
      <c r="C1013" s="389"/>
      <c r="D1013" s="389"/>
      <c r="E1013" s="389"/>
      <c r="F1013" s="389"/>
      <c r="G1013" s="389"/>
      <c r="H1013" s="389"/>
      <c r="I1013" s="389"/>
      <c r="J1013" s="389"/>
      <c r="K1013" s="389"/>
      <c r="L1013" s="389"/>
      <c r="M1013" s="389"/>
      <c r="N1013" s="389"/>
      <c r="O1013" s="389"/>
      <c r="P1013" s="389"/>
      <c r="Q1013" s="389"/>
      <c r="R1013" s="389"/>
      <c r="S1013" s="389"/>
      <c r="T1013" s="389"/>
      <c r="U1013" s="389"/>
      <c r="V1013" s="389"/>
      <c r="W1013" s="389"/>
      <c r="X1013" s="389"/>
      <c r="Y1013" s="389"/>
      <c r="Z1013" s="389"/>
      <c r="AA1013" s="389"/>
      <c r="AB1013" s="389"/>
      <c r="AC1013" s="389"/>
      <c r="AD1013" s="389"/>
      <c r="AE1013" s="389"/>
    </row>
    <row r="1014" spans="1:31" ht="15.5" x14ac:dyDescent="0.35">
      <c r="A1014" s="390"/>
      <c r="B1014" s="389"/>
      <c r="C1014" s="389"/>
      <c r="D1014" s="389"/>
      <c r="E1014" s="389"/>
      <c r="F1014" s="389"/>
      <c r="G1014" s="389"/>
      <c r="H1014" s="389"/>
      <c r="I1014" s="389"/>
      <c r="J1014" s="389"/>
      <c r="K1014" s="389"/>
      <c r="L1014" s="389"/>
      <c r="M1014" s="389"/>
      <c r="N1014" s="389"/>
      <c r="O1014" s="389"/>
      <c r="P1014" s="389"/>
      <c r="Q1014" s="389"/>
      <c r="R1014" s="389"/>
      <c r="S1014" s="389"/>
      <c r="T1014" s="389"/>
      <c r="U1014" s="389"/>
      <c r="V1014" s="389"/>
      <c r="W1014" s="389"/>
      <c r="X1014" s="389"/>
      <c r="Y1014" s="389"/>
      <c r="Z1014" s="389"/>
      <c r="AA1014" s="389"/>
      <c r="AB1014" s="389"/>
      <c r="AC1014" s="389"/>
      <c r="AD1014" s="389"/>
      <c r="AE1014" s="389"/>
    </row>
    <row r="1015" spans="1:31" ht="15.5" x14ac:dyDescent="0.35">
      <c r="A1015" s="390"/>
      <c r="B1015" s="389"/>
      <c r="C1015" s="389"/>
      <c r="D1015" s="389"/>
      <c r="E1015" s="389"/>
      <c r="F1015" s="389"/>
      <c r="G1015" s="389"/>
      <c r="H1015" s="389"/>
      <c r="I1015" s="389"/>
      <c r="J1015" s="389"/>
      <c r="K1015" s="389"/>
      <c r="L1015" s="389"/>
      <c r="M1015" s="389"/>
      <c r="N1015" s="389"/>
      <c r="O1015" s="389"/>
      <c r="P1015" s="389"/>
      <c r="Q1015" s="389"/>
      <c r="R1015" s="389"/>
      <c r="S1015" s="389"/>
      <c r="T1015" s="389"/>
      <c r="U1015" s="389"/>
      <c r="V1015" s="389"/>
      <c r="W1015" s="389"/>
      <c r="X1015" s="389"/>
      <c r="Y1015" s="389"/>
      <c r="Z1015" s="389"/>
      <c r="AA1015" s="389"/>
      <c r="AB1015" s="389"/>
      <c r="AC1015" s="389"/>
      <c r="AD1015" s="389"/>
      <c r="AE1015" s="389"/>
    </row>
    <row r="1016" spans="1:31" ht="15.5" x14ac:dyDescent="0.35">
      <c r="A1016" s="390"/>
      <c r="B1016" s="389"/>
      <c r="C1016" s="389"/>
      <c r="D1016" s="389"/>
      <c r="E1016" s="389"/>
      <c r="F1016" s="389"/>
      <c r="G1016" s="389"/>
      <c r="H1016" s="389"/>
      <c r="I1016" s="389"/>
      <c r="J1016" s="389"/>
      <c r="K1016" s="389"/>
      <c r="L1016" s="389"/>
      <c r="M1016" s="389"/>
      <c r="N1016" s="389"/>
      <c r="O1016" s="389"/>
      <c r="P1016" s="389"/>
      <c r="Q1016" s="389"/>
      <c r="R1016" s="389"/>
      <c r="S1016" s="389"/>
      <c r="T1016" s="389"/>
      <c r="U1016" s="389"/>
      <c r="V1016" s="389"/>
      <c r="W1016" s="389"/>
      <c r="X1016" s="389"/>
      <c r="Y1016" s="389"/>
      <c r="Z1016" s="389"/>
      <c r="AA1016" s="389"/>
      <c r="AB1016" s="389"/>
      <c r="AC1016" s="389"/>
      <c r="AD1016" s="389"/>
      <c r="AE1016" s="389"/>
    </row>
    <row r="1017" spans="1:31" ht="15.5" x14ac:dyDescent="0.35">
      <c r="A1017" s="390"/>
      <c r="B1017" s="389"/>
      <c r="C1017" s="389"/>
      <c r="D1017" s="389"/>
      <c r="E1017" s="389"/>
      <c r="F1017" s="389"/>
      <c r="G1017" s="389"/>
      <c r="H1017" s="389"/>
      <c r="I1017" s="389"/>
      <c r="J1017" s="389"/>
      <c r="K1017" s="389"/>
      <c r="L1017" s="389"/>
      <c r="M1017" s="389"/>
      <c r="N1017" s="389"/>
      <c r="O1017" s="389"/>
      <c r="P1017" s="389"/>
      <c r="Q1017" s="389"/>
      <c r="R1017" s="389"/>
      <c r="S1017" s="389"/>
      <c r="T1017" s="389"/>
      <c r="U1017" s="389"/>
      <c r="V1017" s="389"/>
      <c r="W1017" s="389"/>
      <c r="X1017" s="389"/>
      <c r="Y1017" s="389"/>
      <c r="Z1017" s="389"/>
      <c r="AA1017" s="389"/>
      <c r="AB1017" s="389"/>
      <c r="AC1017" s="389"/>
      <c r="AD1017" s="389"/>
      <c r="AE1017" s="389"/>
    </row>
    <row r="1018" spans="1:31" ht="15.5" x14ac:dyDescent="0.35">
      <c r="A1018" s="390"/>
      <c r="B1018" s="389"/>
      <c r="C1018" s="389"/>
      <c r="D1018" s="389"/>
      <c r="E1018" s="389"/>
      <c r="F1018" s="389"/>
      <c r="G1018" s="389"/>
      <c r="H1018" s="389"/>
      <c r="I1018" s="389"/>
      <c r="J1018" s="389"/>
      <c r="K1018" s="389"/>
      <c r="L1018" s="389"/>
      <c r="M1018" s="389"/>
      <c r="N1018" s="389"/>
      <c r="O1018" s="389"/>
      <c r="P1018" s="389"/>
      <c r="Q1018" s="389"/>
      <c r="R1018" s="389"/>
      <c r="S1018" s="389"/>
      <c r="T1018" s="389"/>
      <c r="U1018" s="389"/>
      <c r="V1018" s="389"/>
      <c r="W1018" s="389"/>
      <c r="X1018" s="389"/>
      <c r="Y1018" s="389"/>
      <c r="Z1018" s="389"/>
      <c r="AA1018" s="389"/>
      <c r="AB1018" s="389"/>
      <c r="AC1018" s="389"/>
      <c r="AD1018" s="389"/>
      <c r="AE1018" s="389"/>
    </row>
    <row r="1019" spans="1:31" ht="15.5" x14ac:dyDescent="0.35">
      <c r="A1019" s="390"/>
      <c r="B1019" s="389"/>
      <c r="C1019" s="389"/>
      <c r="D1019" s="389"/>
      <c r="E1019" s="389"/>
      <c r="F1019" s="389"/>
      <c r="G1019" s="389"/>
      <c r="H1019" s="389"/>
      <c r="I1019" s="389"/>
      <c r="J1019" s="389"/>
      <c r="K1019" s="389"/>
      <c r="L1019" s="389"/>
      <c r="M1019" s="389"/>
      <c r="N1019" s="389"/>
      <c r="O1019" s="389"/>
      <c r="P1019" s="389"/>
      <c r="Q1019" s="389"/>
      <c r="R1019" s="389"/>
      <c r="S1019" s="389"/>
      <c r="T1019" s="389"/>
      <c r="U1019" s="389"/>
      <c r="V1019" s="389"/>
      <c r="W1019" s="389"/>
      <c r="X1019" s="389"/>
      <c r="Y1019" s="389"/>
      <c r="Z1019" s="389"/>
      <c r="AA1019" s="389"/>
      <c r="AB1019" s="389"/>
      <c r="AC1019" s="389"/>
      <c r="AD1019" s="389"/>
      <c r="AE1019" s="389"/>
    </row>
    <row r="1020" spans="1:31" ht="15.5" x14ac:dyDescent="0.35">
      <c r="A1020" s="390"/>
      <c r="B1020" s="389"/>
      <c r="C1020" s="389"/>
      <c r="D1020" s="389"/>
      <c r="E1020" s="389"/>
      <c r="F1020" s="389"/>
      <c r="G1020" s="389"/>
      <c r="H1020" s="389"/>
      <c r="I1020" s="389"/>
      <c r="J1020" s="389"/>
      <c r="K1020" s="389"/>
      <c r="L1020" s="389"/>
      <c r="M1020" s="389"/>
      <c r="N1020" s="389"/>
      <c r="O1020" s="389"/>
      <c r="P1020" s="389"/>
      <c r="Q1020" s="389"/>
      <c r="R1020" s="389"/>
      <c r="S1020" s="389"/>
      <c r="T1020" s="389"/>
      <c r="U1020" s="389"/>
      <c r="V1020" s="389"/>
      <c r="W1020" s="389"/>
      <c r="X1020" s="389"/>
      <c r="Y1020" s="389"/>
      <c r="Z1020" s="389"/>
      <c r="AA1020" s="389"/>
      <c r="AB1020" s="389"/>
      <c r="AC1020" s="389"/>
      <c r="AD1020" s="389"/>
      <c r="AE1020" s="389"/>
    </row>
    <row r="1021" spans="1:31" ht="15.5" x14ac:dyDescent="0.35">
      <c r="A1021" s="390"/>
      <c r="B1021" s="389"/>
      <c r="C1021" s="389"/>
      <c r="D1021" s="389"/>
      <c r="E1021" s="389"/>
      <c r="F1021" s="389"/>
      <c r="G1021" s="389"/>
      <c r="H1021" s="389"/>
      <c r="I1021" s="389"/>
      <c r="J1021" s="389"/>
      <c r="K1021" s="389"/>
      <c r="L1021" s="389"/>
      <c r="M1021" s="389"/>
      <c r="N1021" s="389"/>
      <c r="O1021" s="389"/>
      <c r="P1021" s="389"/>
      <c r="Q1021" s="389"/>
      <c r="R1021" s="389"/>
      <c r="S1021" s="389"/>
      <c r="T1021" s="389"/>
      <c r="U1021" s="389"/>
      <c r="V1021" s="389"/>
      <c r="W1021" s="389"/>
      <c r="X1021" s="389"/>
      <c r="Y1021" s="389"/>
      <c r="Z1021" s="389"/>
      <c r="AA1021" s="389"/>
      <c r="AB1021" s="389"/>
      <c r="AC1021" s="389"/>
      <c r="AD1021" s="389"/>
      <c r="AE1021" s="389"/>
    </row>
    <row r="1022" spans="1:31" ht="15.5" x14ac:dyDescent="0.35">
      <c r="A1022" s="390"/>
      <c r="B1022" s="389"/>
      <c r="C1022" s="389"/>
      <c r="D1022" s="389"/>
      <c r="E1022" s="389"/>
      <c r="F1022" s="389"/>
      <c r="G1022" s="389"/>
      <c r="H1022" s="389"/>
      <c r="I1022" s="389"/>
      <c r="J1022" s="389"/>
      <c r="K1022" s="389"/>
      <c r="L1022" s="389"/>
      <c r="M1022" s="389"/>
      <c r="N1022" s="389"/>
      <c r="O1022" s="389"/>
      <c r="P1022" s="389"/>
      <c r="Q1022" s="389"/>
      <c r="R1022" s="389"/>
      <c r="S1022" s="389"/>
      <c r="T1022" s="389"/>
      <c r="U1022" s="389"/>
      <c r="V1022" s="389"/>
      <c r="W1022" s="389"/>
      <c r="X1022" s="389"/>
      <c r="Y1022" s="389"/>
      <c r="Z1022" s="389"/>
      <c r="AA1022" s="389"/>
      <c r="AB1022" s="389"/>
      <c r="AC1022" s="389"/>
      <c r="AD1022" s="389"/>
      <c r="AE1022" s="389"/>
    </row>
    <row r="1023" spans="1:31" ht="15.5" x14ac:dyDescent="0.35">
      <c r="A1023" s="390"/>
      <c r="B1023" s="389"/>
      <c r="C1023" s="389"/>
      <c r="D1023" s="389"/>
      <c r="E1023" s="389"/>
      <c r="F1023" s="389"/>
      <c r="G1023" s="389"/>
      <c r="H1023" s="389"/>
      <c r="I1023" s="389"/>
      <c r="J1023" s="389"/>
      <c r="K1023" s="389"/>
      <c r="L1023" s="389"/>
      <c r="M1023" s="389"/>
      <c r="N1023" s="389"/>
      <c r="O1023" s="389"/>
      <c r="P1023" s="389"/>
      <c r="Q1023" s="389"/>
      <c r="R1023" s="389"/>
      <c r="S1023" s="389"/>
      <c r="T1023" s="389"/>
      <c r="U1023" s="389"/>
      <c r="V1023" s="389"/>
      <c r="W1023" s="389"/>
      <c r="X1023" s="389"/>
      <c r="Y1023" s="389"/>
      <c r="Z1023" s="389"/>
      <c r="AA1023" s="389"/>
      <c r="AB1023" s="389"/>
      <c r="AC1023" s="389"/>
      <c r="AD1023" s="389"/>
      <c r="AE1023" s="389"/>
    </row>
    <row r="1024" spans="1:31" ht="15.5" x14ac:dyDescent="0.35">
      <c r="A1024" s="390"/>
      <c r="B1024" s="389"/>
      <c r="C1024" s="389"/>
      <c r="D1024" s="389"/>
      <c r="E1024" s="389"/>
      <c r="F1024" s="389"/>
      <c r="G1024" s="389"/>
      <c r="H1024" s="389"/>
      <c r="I1024" s="389"/>
      <c r="J1024" s="389"/>
      <c r="K1024" s="389"/>
      <c r="L1024" s="389"/>
      <c r="M1024" s="389"/>
      <c r="N1024" s="389"/>
      <c r="O1024" s="389"/>
      <c r="P1024" s="389"/>
      <c r="Q1024" s="389"/>
      <c r="R1024" s="389"/>
      <c r="S1024" s="389"/>
      <c r="T1024" s="389"/>
      <c r="U1024" s="389"/>
      <c r="V1024" s="389"/>
      <c r="W1024" s="389"/>
      <c r="X1024" s="389"/>
      <c r="Y1024" s="389"/>
      <c r="Z1024" s="389"/>
      <c r="AA1024" s="389"/>
      <c r="AB1024" s="389"/>
      <c r="AC1024" s="389"/>
      <c r="AD1024" s="389"/>
      <c r="AE1024" s="389"/>
    </row>
    <row r="1025" spans="1:31" ht="15.5" x14ac:dyDescent="0.35">
      <c r="A1025" s="390"/>
      <c r="B1025" s="389"/>
      <c r="C1025" s="389"/>
      <c r="D1025" s="389"/>
      <c r="E1025" s="389"/>
      <c r="F1025" s="389"/>
      <c r="G1025" s="389"/>
      <c r="H1025" s="389"/>
      <c r="I1025" s="389"/>
      <c r="J1025" s="389"/>
      <c r="K1025" s="389"/>
      <c r="L1025" s="389"/>
      <c r="M1025" s="389"/>
      <c r="N1025" s="389"/>
      <c r="O1025" s="389"/>
      <c r="P1025" s="389"/>
      <c r="Q1025" s="389"/>
      <c r="R1025" s="389"/>
      <c r="S1025" s="389"/>
      <c r="T1025" s="389"/>
      <c r="U1025" s="389"/>
      <c r="V1025" s="389"/>
      <c r="W1025" s="389"/>
      <c r="X1025" s="389"/>
      <c r="Y1025" s="389"/>
      <c r="Z1025" s="389"/>
      <c r="AA1025" s="389"/>
      <c r="AB1025" s="389"/>
      <c r="AC1025" s="389"/>
      <c r="AD1025" s="389"/>
      <c r="AE1025" s="389"/>
    </row>
    <row r="1026" spans="1:31" ht="15.5" x14ac:dyDescent="0.35">
      <c r="A1026" s="390"/>
      <c r="B1026" s="389"/>
      <c r="C1026" s="389"/>
      <c r="D1026" s="389"/>
      <c r="E1026" s="389"/>
      <c r="F1026" s="389"/>
      <c r="G1026" s="389"/>
      <c r="H1026" s="389"/>
      <c r="I1026" s="389"/>
      <c r="J1026" s="389"/>
      <c r="K1026" s="389"/>
      <c r="L1026" s="389"/>
      <c r="M1026" s="389"/>
      <c r="N1026" s="389"/>
      <c r="O1026" s="389"/>
      <c r="P1026" s="389"/>
      <c r="Q1026" s="389"/>
      <c r="R1026" s="389"/>
      <c r="S1026" s="389"/>
      <c r="T1026" s="389"/>
      <c r="U1026" s="389"/>
      <c r="V1026" s="389"/>
      <c r="W1026" s="389"/>
      <c r="X1026" s="389"/>
      <c r="Y1026" s="389"/>
      <c r="Z1026" s="389"/>
      <c r="AA1026" s="389"/>
      <c r="AB1026" s="389"/>
      <c r="AC1026" s="389"/>
      <c r="AD1026" s="389"/>
      <c r="AE1026" s="389"/>
    </row>
    <row r="1027" spans="1:31" ht="15.5" x14ac:dyDescent="0.35">
      <c r="A1027" s="390"/>
      <c r="B1027" s="389"/>
      <c r="C1027" s="389"/>
      <c r="D1027" s="389"/>
      <c r="E1027" s="389"/>
      <c r="F1027" s="389"/>
      <c r="G1027" s="389"/>
      <c r="H1027" s="389"/>
      <c r="I1027" s="389"/>
      <c r="J1027" s="389"/>
      <c r="K1027" s="389"/>
      <c r="L1027" s="389"/>
      <c r="M1027" s="389"/>
      <c r="N1027" s="389"/>
      <c r="O1027" s="389"/>
      <c r="P1027" s="389"/>
      <c r="Q1027" s="389"/>
      <c r="R1027" s="389"/>
      <c r="S1027" s="389"/>
      <c r="T1027" s="389"/>
      <c r="U1027" s="389"/>
      <c r="V1027" s="389"/>
      <c r="W1027" s="389"/>
      <c r="X1027" s="389"/>
      <c r="Y1027" s="389"/>
      <c r="Z1027" s="389"/>
      <c r="AA1027" s="389"/>
      <c r="AB1027" s="389"/>
      <c r="AC1027" s="389"/>
      <c r="AD1027" s="389"/>
      <c r="AE1027" s="389"/>
    </row>
    <row r="1028" spans="1:31" ht="15.5" x14ac:dyDescent="0.35">
      <c r="A1028" s="390"/>
      <c r="B1028" s="389"/>
      <c r="C1028" s="389"/>
      <c r="D1028" s="389"/>
      <c r="E1028" s="389"/>
      <c r="F1028" s="389"/>
      <c r="G1028" s="389"/>
      <c r="H1028" s="389"/>
      <c r="I1028" s="389"/>
      <c r="J1028" s="389"/>
      <c r="K1028" s="389"/>
      <c r="L1028" s="389"/>
      <c r="M1028" s="389"/>
      <c r="N1028" s="389"/>
      <c r="O1028" s="389"/>
      <c r="P1028" s="389"/>
      <c r="Q1028" s="389"/>
      <c r="R1028" s="389"/>
      <c r="S1028" s="389"/>
      <c r="T1028" s="389"/>
      <c r="U1028" s="389"/>
      <c r="V1028" s="389"/>
      <c r="W1028" s="389"/>
      <c r="X1028" s="389"/>
      <c r="Y1028" s="389"/>
      <c r="Z1028" s="389"/>
      <c r="AA1028" s="389"/>
      <c r="AB1028" s="389"/>
      <c r="AC1028" s="389"/>
      <c r="AD1028" s="389"/>
      <c r="AE1028" s="389"/>
    </row>
    <row r="1029" spans="1:31" ht="15.5" x14ac:dyDescent="0.35">
      <c r="A1029" s="390"/>
      <c r="B1029" s="389"/>
      <c r="C1029" s="389"/>
      <c r="D1029" s="389"/>
      <c r="E1029" s="389"/>
      <c r="F1029" s="389"/>
      <c r="G1029" s="389"/>
      <c r="H1029" s="389"/>
      <c r="I1029" s="389"/>
      <c r="J1029" s="389"/>
      <c r="K1029" s="389"/>
      <c r="L1029" s="389"/>
      <c r="M1029" s="389"/>
      <c r="N1029" s="389"/>
      <c r="O1029" s="389"/>
      <c r="P1029" s="389"/>
      <c r="Q1029" s="389"/>
      <c r="R1029" s="389"/>
      <c r="S1029" s="389"/>
      <c r="T1029" s="389"/>
      <c r="U1029" s="389"/>
      <c r="V1029" s="389"/>
      <c r="W1029" s="389"/>
      <c r="X1029" s="389"/>
      <c r="Y1029" s="389"/>
      <c r="Z1029" s="389"/>
      <c r="AA1029" s="389"/>
      <c r="AB1029" s="389"/>
      <c r="AC1029" s="389"/>
      <c r="AD1029" s="389"/>
      <c r="AE1029" s="389"/>
    </row>
    <row r="1030" spans="1:31" ht="15.5" x14ac:dyDescent="0.35">
      <c r="A1030" s="390"/>
      <c r="B1030" s="389"/>
      <c r="C1030" s="389"/>
      <c r="D1030" s="389"/>
      <c r="E1030" s="389"/>
      <c r="F1030" s="389"/>
      <c r="G1030" s="389"/>
      <c r="H1030" s="389"/>
      <c r="I1030" s="389"/>
      <c r="J1030" s="389"/>
      <c r="K1030" s="389"/>
      <c r="L1030" s="389"/>
      <c r="M1030" s="389"/>
      <c r="N1030" s="389"/>
      <c r="O1030" s="389"/>
      <c r="P1030" s="389"/>
      <c r="Q1030" s="389"/>
      <c r="R1030" s="389"/>
      <c r="S1030" s="389"/>
      <c r="T1030" s="389"/>
      <c r="U1030" s="389"/>
      <c r="V1030" s="389"/>
      <c r="W1030" s="389"/>
      <c r="X1030" s="389"/>
      <c r="Y1030" s="389"/>
      <c r="Z1030" s="389"/>
      <c r="AA1030" s="389"/>
      <c r="AB1030" s="389"/>
      <c r="AC1030" s="389"/>
      <c r="AD1030" s="389"/>
      <c r="AE1030" s="389"/>
    </row>
    <row r="1031" spans="1:31" ht="15.5" x14ac:dyDescent="0.35">
      <c r="A1031" s="390"/>
      <c r="B1031" s="389"/>
      <c r="C1031" s="389"/>
      <c r="D1031" s="389"/>
      <c r="E1031" s="389"/>
      <c r="F1031" s="389"/>
      <c r="G1031" s="389"/>
      <c r="H1031" s="389"/>
      <c r="I1031" s="389"/>
      <c r="J1031" s="389"/>
      <c r="K1031" s="389"/>
      <c r="L1031" s="389"/>
      <c r="M1031" s="389"/>
      <c r="N1031" s="389"/>
      <c r="O1031" s="389"/>
      <c r="P1031" s="389"/>
      <c r="Q1031" s="389"/>
      <c r="R1031" s="389"/>
      <c r="S1031" s="389"/>
      <c r="T1031" s="389"/>
      <c r="U1031" s="389"/>
      <c r="V1031" s="389"/>
      <c r="W1031" s="389"/>
      <c r="X1031" s="389"/>
      <c r="Y1031" s="389"/>
      <c r="Z1031" s="389"/>
      <c r="AA1031" s="389"/>
      <c r="AB1031" s="389"/>
      <c r="AC1031" s="389"/>
      <c r="AD1031" s="389"/>
      <c r="AE1031" s="389"/>
    </row>
    <row r="1032" spans="1:31" ht="15.5" x14ac:dyDescent="0.35">
      <c r="A1032" s="390"/>
      <c r="B1032" s="389"/>
      <c r="C1032" s="389"/>
      <c r="D1032" s="389"/>
      <c r="E1032" s="389"/>
      <c r="F1032" s="389"/>
      <c r="G1032" s="389"/>
      <c r="H1032" s="389"/>
      <c r="I1032" s="389"/>
      <c r="J1032" s="389"/>
      <c r="K1032" s="389"/>
      <c r="L1032" s="389"/>
      <c r="M1032" s="389"/>
      <c r="N1032" s="389"/>
      <c r="O1032" s="389"/>
      <c r="P1032" s="389"/>
      <c r="Q1032" s="389"/>
      <c r="R1032" s="389"/>
      <c r="S1032" s="389"/>
      <c r="T1032" s="389"/>
      <c r="U1032" s="389"/>
      <c r="V1032" s="389"/>
      <c r="W1032" s="389"/>
      <c r="X1032" s="389"/>
      <c r="Y1032" s="389"/>
      <c r="Z1032" s="389"/>
      <c r="AA1032" s="389"/>
      <c r="AB1032" s="389"/>
      <c r="AC1032" s="389"/>
      <c r="AD1032" s="389"/>
      <c r="AE1032" s="389"/>
    </row>
    <row r="1033" spans="1:31" ht="15.5" x14ac:dyDescent="0.35">
      <c r="A1033" s="390"/>
      <c r="B1033" s="389"/>
      <c r="C1033" s="389"/>
      <c r="D1033" s="389"/>
      <c r="E1033" s="389"/>
      <c r="F1033" s="389"/>
      <c r="G1033" s="389"/>
      <c r="H1033" s="389"/>
      <c r="I1033" s="389"/>
      <c r="J1033" s="389"/>
      <c r="K1033" s="389"/>
      <c r="L1033" s="389"/>
      <c r="M1033" s="389"/>
      <c r="N1033" s="389"/>
      <c r="O1033" s="389"/>
      <c r="P1033" s="389"/>
      <c r="Q1033" s="389"/>
      <c r="R1033" s="389"/>
      <c r="S1033" s="389"/>
      <c r="T1033" s="389"/>
      <c r="U1033" s="389"/>
      <c r="V1033" s="389"/>
      <c r="W1033" s="389"/>
      <c r="X1033" s="389"/>
      <c r="Y1033" s="389"/>
      <c r="Z1033" s="389"/>
      <c r="AA1033" s="389"/>
      <c r="AB1033" s="389"/>
      <c r="AC1033" s="389"/>
      <c r="AD1033" s="389"/>
      <c r="AE1033" s="389"/>
    </row>
    <row r="1034" spans="1:31" ht="15.5" x14ac:dyDescent="0.35">
      <c r="A1034" s="390"/>
      <c r="B1034" s="389"/>
      <c r="C1034" s="389"/>
      <c r="D1034" s="389"/>
      <c r="E1034" s="389"/>
      <c r="F1034" s="389"/>
      <c r="G1034" s="389"/>
      <c r="H1034" s="389"/>
      <c r="I1034" s="389"/>
      <c r="J1034" s="389"/>
      <c r="K1034" s="389"/>
      <c r="L1034" s="389"/>
      <c r="M1034" s="389"/>
      <c r="N1034" s="389"/>
      <c r="O1034" s="389"/>
      <c r="P1034" s="389"/>
      <c r="Q1034" s="389"/>
      <c r="R1034" s="389"/>
      <c r="S1034" s="389"/>
      <c r="T1034" s="389"/>
      <c r="U1034" s="389"/>
      <c r="V1034" s="389"/>
      <c r="W1034" s="389"/>
      <c r="X1034" s="389"/>
      <c r="Y1034" s="389"/>
      <c r="Z1034" s="389"/>
      <c r="AA1034" s="389"/>
      <c r="AB1034" s="389"/>
      <c r="AC1034" s="389"/>
      <c r="AD1034" s="389"/>
      <c r="AE1034" s="389"/>
    </row>
    <row r="1035" spans="1:31" ht="15.5" x14ac:dyDescent="0.35">
      <c r="A1035" s="390"/>
      <c r="B1035" s="389"/>
      <c r="C1035" s="389"/>
      <c r="D1035" s="389"/>
      <c r="E1035" s="389"/>
      <c r="F1035" s="389"/>
      <c r="G1035" s="389"/>
      <c r="H1035" s="389"/>
      <c r="I1035" s="389"/>
      <c r="J1035" s="389"/>
      <c r="K1035" s="389"/>
      <c r="L1035" s="389"/>
      <c r="M1035" s="389"/>
      <c r="N1035" s="389"/>
      <c r="O1035" s="389"/>
      <c r="P1035" s="389"/>
      <c r="Q1035" s="389"/>
      <c r="R1035" s="389"/>
      <c r="S1035" s="389"/>
      <c r="T1035" s="389"/>
      <c r="U1035" s="389"/>
      <c r="V1035" s="389"/>
      <c r="W1035" s="389"/>
      <c r="X1035" s="389"/>
      <c r="Y1035" s="389"/>
      <c r="Z1035" s="389"/>
      <c r="AA1035" s="389"/>
      <c r="AB1035" s="389"/>
      <c r="AC1035" s="389"/>
      <c r="AD1035" s="389"/>
      <c r="AE1035" s="389"/>
    </row>
    <row r="1036" spans="1:31" ht="15.5" x14ac:dyDescent="0.35">
      <c r="A1036" s="390"/>
      <c r="B1036" s="389"/>
      <c r="C1036" s="389"/>
      <c r="D1036" s="389"/>
      <c r="E1036" s="389"/>
      <c r="F1036" s="389"/>
      <c r="G1036" s="389"/>
      <c r="H1036" s="389"/>
      <c r="I1036" s="389"/>
      <c r="J1036" s="389"/>
      <c r="K1036" s="389"/>
      <c r="L1036" s="389"/>
      <c r="M1036" s="389"/>
      <c r="N1036" s="389"/>
      <c r="O1036" s="389"/>
      <c r="P1036" s="389"/>
      <c r="Q1036" s="389"/>
      <c r="R1036" s="389"/>
      <c r="S1036" s="389"/>
      <c r="T1036" s="389"/>
      <c r="U1036" s="389"/>
      <c r="V1036" s="389"/>
      <c r="W1036" s="389"/>
      <c r="X1036" s="389"/>
      <c r="Y1036" s="389"/>
      <c r="Z1036" s="389"/>
      <c r="AA1036" s="389"/>
      <c r="AB1036" s="389"/>
      <c r="AC1036" s="389"/>
      <c r="AD1036" s="389"/>
      <c r="AE1036" s="389"/>
    </row>
    <row r="1037" spans="1:31" ht="15.5" x14ac:dyDescent="0.35">
      <c r="A1037" s="390"/>
      <c r="B1037" s="389"/>
      <c r="C1037" s="389"/>
      <c r="D1037" s="389"/>
      <c r="E1037" s="389"/>
      <c r="F1037" s="389"/>
      <c r="G1037" s="389"/>
      <c r="H1037" s="389"/>
      <c r="I1037" s="389"/>
      <c r="J1037" s="389"/>
      <c r="K1037" s="389"/>
      <c r="L1037" s="389"/>
      <c r="M1037" s="389"/>
      <c r="N1037" s="389"/>
      <c r="O1037" s="389"/>
      <c r="P1037" s="389"/>
      <c r="Q1037" s="389"/>
      <c r="R1037" s="389"/>
      <c r="S1037" s="389"/>
      <c r="T1037" s="389"/>
      <c r="U1037" s="389"/>
      <c r="V1037" s="389"/>
      <c r="W1037" s="389"/>
      <c r="X1037" s="389"/>
      <c r="Y1037" s="389"/>
      <c r="Z1037" s="389"/>
      <c r="AA1037" s="389"/>
      <c r="AB1037" s="389"/>
      <c r="AC1037" s="389"/>
      <c r="AD1037" s="389"/>
      <c r="AE1037" s="389"/>
    </row>
    <row r="1038" spans="1:31" ht="15.5" x14ac:dyDescent="0.35">
      <c r="A1038" s="390"/>
      <c r="B1038" s="389"/>
      <c r="C1038" s="389"/>
      <c r="D1038" s="389"/>
      <c r="E1038" s="389"/>
      <c r="F1038" s="389"/>
      <c r="G1038" s="389"/>
      <c r="H1038" s="389"/>
      <c r="I1038" s="389"/>
      <c r="J1038" s="389"/>
      <c r="K1038" s="389"/>
      <c r="L1038" s="389"/>
      <c r="M1038" s="389"/>
      <c r="N1038" s="389"/>
      <c r="O1038" s="389"/>
      <c r="P1038" s="389"/>
      <c r="Q1038" s="389"/>
      <c r="R1038" s="389"/>
      <c r="S1038" s="389"/>
      <c r="T1038" s="389"/>
      <c r="U1038" s="389"/>
      <c r="V1038" s="389"/>
      <c r="W1038" s="389"/>
      <c r="X1038" s="389"/>
      <c r="Y1038" s="389"/>
      <c r="Z1038" s="389"/>
      <c r="AA1038" s="389"/>
      <c r="AB1038" s="389"/>
      <c r="AC1038" s="389"/>
      <c r="AD1038" s="389"/>
      <c r="AE1038" s="389"/>
    </row>
    <row r="1039" spans="1:31" ht="15.5" x14ac:dyDescent="0.35">
      <c r="A1039" s="390"/>
      <c r="B1039" s="389"/>
      <c r="C1039" s="389"/>
      <c r="D1039" s="389"/>
      <c r="E1039" s="389"/>
      <c r="F1039" s="389"/>
      <c r="G1039" s="389"/>
      <c r="H1039" s="389"/>
      <c r="I1039" s="389"/>
      <c r="J1039" s="389"/>
      <c r="K1039" s="389"/>
      <c r="L1039" s="389"/>
      <c r="M1039" s="389"/>
      <c r="N1039" s="389"/>
      <c r="O1039" s="389"/>
      <c r="P1039" s="389"/>
      <c r="Q1039" s="389"/>
      <c r="R1039" s="389"/>
      <c r="S1039" s="389"/>
      <c r="T1039" s="389"/>
      <c r="U1039" s="389"/>
      <c r="V1039" s="389"/>
      <c r="W1039" s="389"/>
      <c r="X1039" s="389"/>
      <c r="Y1039" s="389"/>
      <c r="Z1039" s="389"/>
      <c r="AA1039" s="389"/>
      <c r="AB1039" s="389"/>
      <c r="AC1039" s="389"/>
      <c r="AD1039" s="389"/>
      <c r="AE1039" s="389"/>
    </row>
    <row r="1040" spans="1:31" ht="15.5" x14ac:dyDescent="0.35">
      <c r="A1040" s="390"/>
      <c r="B1040" s="389"/>
      <c r="C1040" s="389"/>
      <c r="D1040" s="389"/>
      <c r="E1040" s="389"/>
      <c r="F1040" s="389"/>
      <c r="G1040" s="389"/>
      <c r="H1040" s="389"/>
      <c r="I1040" s="389"/>
      <c r="J1040" s="389"/>
      <c r="K1040" s="389"/>
      <c r="L1040" s="389"/>
      <c r="M1040" s="389"/>
      <c r="N1040" s="389"/>
      <c r="O1040" s="389"/>
      <c r="P1040" s="389"/>
      <c r="Q1040" s="389"/>
      <c r="R1040" s="389"/>
      <c r="S1040" s="389"/>
      <c r="T1040" s="389"/>
      <c r="U1040" s="389"/>
      <c r="V1040" s="389"/>
      <c r="W1040" s="389"/>
      <c r="X1040" s="389"/>
      <c r="Y1040" s="389"/>
      <c r="Z1040" s="389"/>
      <c r="AA1040" s="389"/>
      <c r="AB1040" s="389"/>
      <c r="AC1040" s="389"/>
      <c r="AD1040" s="389"/>
      <c r="AE1040" s="389"/>
    </row>
    <row r="1041" spans="1:31" ht="15.5" x14ac:dyDescent="0.35">
      <c r="A1041" s="390"/>
      <c r="B1041" s="389"/>
      <c r="C1041" s="389"/>
      <c r="D1041" s="389"/>
      <c r="E1041" s="389"/>
      <c r="F1041" s="389"/>
      <c r="G1041" s="389"/>
      <c r="H1041" s="389"/>
      <c r="I1041" s="389"/>
      <c r="J1041" s="389"/>
      <c r="K1041" s="389"/>
      <c r="L1041" s="389"/>
      <c r="M1041" s="389"/>
      <c r="N1041" s="389"/>
      <c r="O1041" s="389"/>
      <c r="P1041" s="389"/>
      <c r="Q1041" s="389"/>
      <c r="R1041" s="389"/>
      <c r="S1041" s="389"/>
      <c r="T1041" s="389"/>
      <c r="U1041" s="389"/>
      <c r="V1041" s="389"/>
      <c r="W1041" s="389"/>
      <c r="X1041" s="389"/>
      <c r="Y1041" s="389"/>
      <c r="Z1041" s="389"/>
      <c r="AA1041" s="389"/>
      <c r="AB1041" s="389"/>
      <c r="AC1041" s="389"/>
      <c r="AD1041" s="389"/>
      <c r="AE1041" s="389"/>
    </row>
    <row r="1042" spans="1:31" ht="15.5" x14ac:dyDescent="0.35">
      <c r="A1042" s="390"/>
      <c r="B1042" s="389"/>
      <c r="C1042" s="389"/>
      <c r="D1042" s="389"/>
      <c r="E1042" s="389"/>
      <c r="F1042" s="389"/>
      <c r="G1042" s="389"/>
      <c r="H1042" s="389"/>
      <c r="I1042" s="389"/>
      <c r="J1042" s="389"/>
      <c r="K1042" s="389"/>
      <c r="L1042" s="389"/>
      <c r="M1042" s="389"/>
      <c r="N1042" s="389"/>
      <c r="O1042" s="389"/>
      <c r="P1042" s="389"/>
      <c r="Q1042" s="389"/>
      <c r="R1042" s="389"/>
      <c r="S1042" s="389"/>
      <c r="T1042" s="389"/>
      <c r="U1042" s="389"/>
      <c r="V1042" s="389"/>
      <c r="W1042" s="389"/>
      <c r="X1042" s="389"/>
      <c r="Y1042" s="389"/>
      <c r="Z1042" s="389"/>
      <c r="AA1042" s="389"/>
      <c r="AB1042" s="389"/>
      <c r="AC1042" s="389"/>
      <c r="AD1042" s="389"/>
      <c r="AE1042" s="389"/>
    </row>
    <row r="1043" spans="1:31" ht="15.5" x14ac:dyDescent="0.35">
      <c r="A1043" s="390"/>
      <c r="B1043" s="389"/>
      <c r="C1043" s="389"/>
      <c r="D1043" s="389"/>
      <c r="E1043" s="389"/>
      <c r="F1043" s="389"/>
      <c r="G1043" s="389"/>
      <c r="H1043" s="389"/>
      <c r="I1043" s="389"/>
      <c r="J1043" s="389"/>
      <c r="K1043" s="389"/>
      <c r="L1043" s="389"/>
      <c r="M1043" s="389"/>
      <c r="N1043" s="389"/>
      <c r="O1043" s="389"/>
      <c r="P1043" s="389"/>
      <c r="Q1043" s="389"/>
      <c r="R1043" s="389"/>
      <c r="S1043" s="389"/>
      <c r="T1043" s="389"/>
      <c r="U1043" s="389"/>
      <c r="V1043" s="389"/>
      <c r="W1043" s="389"/>
      <c r="X1043" s="389"/>
      <c r="Y1043" s="389"/>
      <c r="Z1043" s="389"/>
      <c r="AA1043" s="389"/>
      <c r="AB1043" s="389"/>
      <c r="AC1043" s="389"/>
      <c r="AD1043" s="389"/>
      <c r="AE1043" s="389"/>
    </row>
    <row r="1044" spans="1:31" ht="15.5" x14ac:dyDescent="0.35">
      <c r="A1044" s="390"/>
      <c r="B1044" s="389"/>
      <c r="C1044" s="389"/>
      <c r="D1044" s="389"/>
      <c r="E1044" s="389"/>
      <c r="F1044" s="389"/>
      <c r="G1044" s="389"/>
      <c r="H1044" s="389"/>
      <c r="I1044" s="389"/>
      <c r="J1044" s="389"/>
      <c r="K1044" s="389"/>
      <c r="L1044" s="389"/>
      <c r="M1044" s="389"/>
      <c r="N1044" s="389"/>
      <c r="O1044" s="389"/>
      <c r="P1044" s="389"/>
      <c r="Q1044" s="389"/>
      <c r="R1044" s="389"/>
      <c r="S1044" s="389"/>
      <c r="T1044" s="389"/>
      <c r="U1044" s="389"/>
      <c r="V1044" s="389"/>
      <c r="W1044" s="389"/>
      <c r="X1044" s="389"/>
      <c r="Y1044" s="389"/>
      <c r="Z1044" s="389"/>
      <c r="AA1044" s="389"/>
      <c r="AB1044" s="389"/>
      <c r="AC1044" s="389"/>
      <c r="AD1044" s="389"/>
      <c r="AE1044" s="389"/>
    </row>
    <row r="1045" spans="1:31" ht="15.5" x14ac:dyDescent="0.35">
      <c r="A1045" s="390"/>
      <c r="B1045" s="389"/>
      <c r="C1045" s="389"/>
      <c r="D1045" s="389"/>
      <c r="E1045" s="389"/>
      <c r="F1045" s="389"/>
      <c r="G1045" s="389"/>
      <c r="H1045" s="389"/>
      <c r="I1045" s="389"/>
      <c r="J1045" s="389"/>
      <c r="K1045" s="389"/>
      <c r="L1045" s="389"/>
      <c r="M1045" s="389"/>
      <c r="N1045" s="389"/>
      <c r="O1045" s="389"/>
      <c r="P1045" s="389"/>
      <c r="Q1045" s="389"/>
      <c r="R1045" s="389"/>
      <c r="S1045" s="389"/>
      <c r="T1045" s="389"/>
      <c r="U1045" s="389"/>
      <c r="V1045" s="389"/>
      <c r="W1045" s="389"/>
      <c r="X1045" s="389"/>
      <c r="Y1045" s="389"/>
      <c r="Z1045" s="389"/>
      <c r="AA1045" s="389"/>
      <c r="AB1045" s="389"/>
      <c r="AC1045" s="389"/>
      <c r="AD1045" s="389"/>
      <c r="AE1045" s="389"/>
    </row>
    <row r="1046" spans="1:31" ht="15.5" x14ac:dyDescent="0.35">
      <c r="A1046" s="390"/>
      <c r="B1046" s="389"/>
      <c r="C1046" s="389"/>
      <c r="D1046" s="389"/>
      <c r="E1046" s="389"/>
      <c r="F1046" s="389"/>
      <c r="G1046" s="389"/>
      <c r="H1046" s="389"/>
      <c r="I1046" s="389"/>
      <c r="J1046" s="389"/>
      <c r="K1046" s="389"/>
      <c r="L1046" s="389"/>
      <c r="M1046" s="389"/>
      <c r="N1046" s="389"/>
      <c r="O1046" s="389"/>
      <c r="P1046" s="389"/>
      <c r="Q1046" s="389"/>
      <c r="R1046" s="389"/>
      <c r="S1046" s="389"/>
      <c r="T1046" s="389"/>
      <c r="U1046" s="389"/>
      <c r="V1046" s="389"/>
      <c r="W1046" s="389"/>
      <c r="X1046" s="389"/>
      <c r="Y1046" s="389"/>
      <c r="Z1046" s="389"/>
      <c r="AA1046" s="389"/>
      <c r="AB1046" s="389"/>
      <c r="AC1046" s="389"/>
      <c r="AD1046" s="389"/>
      <c r="AE1046" s="389"/>
    </row>
    <row r="1047" spans="1:31" ht="15.5" x14ac:dyDescent="0.35">
      <c r="A1047" s="390"/>
      <c r="B1047" s="389"/>
      <c r="C1047" s="389"/>
      <c r="D1047" s="389"/>
      <c r="E1047" s="389"/>
      <c r="F1047" s="389"/>
      <c r="G1047" s="389"/>
      <c r="H1047" s="389"/>
      <c r="I1047" s="389"/>
      <c r="J1047" s="389"/>
      <c r="K1047" s="389"/>
      <c r="L1047" s="389"/>
      <c r="M1047" s="389"/>
      <c r="N1047" s="389"/>
      <c r="O1047" s="389"/>
      <c r="P1047" s="389"/>
      <c r="Q1047" s="389"/>
      <c r="R1047" s="389"/>
      <c r="S1047" s="389"/>
      <c r="T1047" s="389"/>
      <c r="U1047" s="389"/>
      <c r="V1047" s="389"/>
      <c r="W1047" s="389"/>
      <c r="X1047" s="389"/>
      <c r="Y1047" s="389"/>
      <c r="Z1047" s="389"/>
      <c r="AA1047" s="389"/>
      <c r="AB1047" s="389"/>
      <c r="AC1047" s="389"/>
      <c r="AD1047" s="389"/>
      <c r="AE1047" s="389"/>
    </row>
    <row r="1048" spans="1:31" ht="15.5" x14ac:dyDescent="0.35">
      <c r="A1048" s="390"/>
      <c r="B1048" s="389"/>
      <c r="C1048" s="389"/>
      <c r="D1048" s="389"/>
      <c r="E1048" s="389"/>
      <c r="F1048" s="389"/>
      <c r="G1048" s="389"/>
      <c r="H1048" s="389"/>
      <c r="I1048" s="389"/>
      <c r="J1048" s="389"/>
      <c r="K1048" s="389"/>
      <c r="L1048" s="389"/>
      <c r="M1048" s="389"/>
      <c r="N1048" s="389"/>
      <c r="O1048" s="389"/>
      <c r="P1048" s="389"/>
      <c r="Q1048" s="389"/>
      <c r="R1048" s="389"/>
      <c r="S1048" s="389"/>
      <c r="T1048" s="389"/>
      <c r="U1048" s="389"/>
      <c r="V1048" s="389"/>
      <c r="W1048" s="389"/>
      <c r="X1048" s="389"/>
      <c r="Y1048" s="389"/>
      <c r="Z1048" s="389"/>
      <c r="AA1048" s="389"/>
      <c r="AB1048" s="389"/>
      <c r="AC1048" s="389"/>
      <c r="AD1048" s="389"/>
      <c r="AE1048" s="389"/>
    </row>
    <row r="1049" spans="1:31" ht="15.5" x14ac:dyDescent="0.35">
      <c r="A1049" s="390"/>
      <c r="B1049" s="389"/>
      <c r="C1049" s="389"/>
      <c r="D1049" s="389"/>
      <c r="E1049" s="389"/>
      <c r="F1049" s="389"/>
      <c r="G1049" s="389"/>
      <c r="H1049" s="389"/>
      <c r="I1049" s="389"/>
      <c r="J1049" s="389"/>
      <c r="K1049" s="389"/>
      <c r="L1049" s="389"/>
      <c r="M1049" s="389"/>
      <c r="N1049" s="389"/>
      <c r="O1049" s="389"/>
      <c r="P1049" s="389"/>
      <c r="Q1049" s="389"/>
      <c r="R1049" s="389"/>
      <c r="S1049" s="389"/>
      <c r="T1049" s="389"/>
      <c r="U1049" s="389"/>
      <c r="V1049" s="389"/>
      <c r="W1049" s="389"/>
      <c r="X1049" s="389"/>
      <c r="Y1049" s="389"/>
      <c r="Z1049" s="389"/>
      <c r="AA1049" s="389"/>
      <c r="AB1049" s="389"/>
      <c r="AC1049" s="389"/>
      <c r="AD1049" s="389"/>
      <c r="AE1049" s="389"/>
    </row>
    <row r="1050" spans="1:31" ht="15.5" x14ac:dyDescent="0.35">
      <c r="A1050" s="390"/>
      <c r="B1050" s="389"/>
      <c r="C1050" s="389"/>
      <c r="D1050" s="389"/>
      <c r="E1050" s="389"/>
      <c r="F1050" s="389"/>
      <c r="G1050" s="389"/>
      <c r="H1050" s="389"/>
      <c r="I1050" s="389"/>
      <c r="J1050" s="389"/>
      <c r="K1050" s="389"/>
      <c r="L1050" s="389"/>
      <c r="M1050" s="389"/>
      <c r="N1050" s="389"/>
      <c r="O1050" s="389"/>
      <c r="P1050" s="389"/>
      <c r="Q1050" s="389"/>
      <c r="R1050" s="389"/>
      <c r="S1050" s="389"/>
      <c r="T1050" s="389"/>
      <c r="U1050" s="389"/>
      <c r="V1050" s="389"/>
      <c r="W1050" s="389"/>
      <c r="X1050" s="389"/>
      <c r="Y1050" s="389"/>
      <c r="Z1050" s="389"/>
      <c r="AA1050" s="389"/>
      <c r="AB1050" s="389"/>
      <c r="AC1050" s="389"/>
      <c r="AD1050" s="389"/>
      <c r="AE1050" s="389"/>
    </row>
    <row r="1051" spans="1:31" ht="15.5" x14ac:dyDescent="0.35">
      <c r="A1051" s="390"/>
      <c r="B1051" s="389"/>
      <c r="C1051" s="389"/>
      <c r="D1051" s="389"/>
      <c r="E1051" s="389"/>
      <c r="F1051" s="389"/>
      <c r="G1051" s="389"/>
      <c r="H1051" s="389"/>
      <c r="I1051" s="389"/>
      <c r="J1051" s="389"/>
      <c r="K1051" s="389"/>
      <c r="L1051" s="389"/>
      <c r="M1051" s="389"/>
      <c r="N1051" s="389"/>
      <c r="O1051" s="389"/>
      <c r="P1051" s="389"/>
      <c r="Q1051" s="389"/>
      <c r="R1051" s="389"/>
      <c r="S1051" s="389"/>
      <c r="T1051" s="389"/>
      <c r="U1051" s="389"/>
      <c r="V1051" s="389"/>
      <c r="W1051" s="389"/>
      <c r="X1051" s="389"/>
      <c r="Y1051" s="389"/>
      <c r="Z1051" s="389"/>
      <c r="AA1051" s="389"/>
      <c r="AB1051" s="389"/>
      <c r="AC1051" s="389"/>
      <c r="AD1051" s="389"/>
      <c r="AE1051" s="389"/>
    </row>
    <row r="1052" spans="1:31" ht="15.5" x14ac:dyDescent="0.35">
      <c r="A1052" s="390"/>
      <c r="B1052" s="389"/>
      <c r="C1052" s="389"/>
      <c r="D1052" s="389"/>
      <c r="E1052" s="389"/>
      <c r="F1052" s="389"/>
      <c r="G1052" s="389"/>
      <c r="H1052" s="389"/>
      <c r="I1052" s="389"/>
      <c r="J1052" s="389"/>
      <c r="K1052" s="389"/>
      <c r="L1052" s="389"/>
      <c r="M1052" s="389"/>
      <c r="N1052" s="389"/>
      <c r="O1052" s="389"/>
      <c r="P1052" s="389"/>
      <c r="Q1052" s="389"/>
      <c r="R1052" s="389"/>
      <c r="S1052" s="389"/>
      <c r="T1052" s="389"/>
      <c r="U1052" s="389"/>
      <c r="V1052" s="389"/>
      <c r="W1052" s="389"/>
      <c r="X1052" s="389"/>
      <c r="Y1052" s="389"/>
      <c r="Z1052" s="389"/>
      <c r="AA1052" s="389"/>
      <c r="AB1052" s="389"/>
      <c r="AC1052" s="389"/>
      <c r="AD1052" s="389"/>
      <c r="AE1052" s="389"/>
    </row>
    <row r="1053" spans="1:31" ht="15.5" x14ac:dyDescent="0.35">
      <c r="A1053" s="390"/>
      <c r="B1053" s="389"/>
      <c r="C1053" s="389"/>
      <c r="D1053" s="389"/>
      <c r="E1053" s="389"/>
      <c r="F1053" s="389"/>
      <c r="G1053" s="389"/>
      <c r="H1053" s="389"/>
      <c r="I1053" s="389"/>
      <c r="J1053" s="389"/>
      <c r="K1053" s="389"/>
      <c r="L1053" s="389"/>
      <c r="M1053" s="389"/>
      <c r="N1053" s="389"/>
      <c r="O1053" s="389"/>
      <c r="P1053" s="389"/>
      <c r="Q1053" s="389"/>
      <c r="R1053" s="389"/>
      <c r="S1053" s="389"/>
      <c r="T1053" s="389"/>
      <c r="U1053" s="389"/>
      <c r="V1053" s="389"/>
      <c r="W1053" s="389"/>
      <c r="X1053" s="389"/>
      <c r="Y1053" s="389"/>
      <c r="Z1053" s="389"/>
      <c r="AA1053" s="389"/>
      <c r="AB1053" s="389"/>
      <c r="AC1053" s="389"/>
      <c r="AD1053" s="389"/>
      <c r="AE1053" s="389"/>
    </row>
    <row r="1054" spans="1:31" ht="15.5" x14ac:dyDescent="0.35">
      <c r="A1054" s="390"/>
      <c r="B1054" s="389"/>
      <c r="C1054" s="389"/>
      <c r="D1054" s="389"/>
      <c r="E1054" s="389"/>
      <c r="F1054" s="389"/>
      <c r="G1054" s="389"/>
      <c r="H1054" s="389"/>
      <c r="I1054" s="389"/>
      <c r="J1054" s="389"/>
      <c r="K1054" s="389"/>
      <c r="L1054" s="389"/>
      <c r="M1054" s="389"/>
      <c r="N1054" s="389"/>
      <c r="O1054" s="389"/>
      <c r="P1054" s="389"/>
      <c r="Q1054" s="389"/>
      <c r="R1054" s="389"/>
      <c r="S1054" s="389"/>
      <c r="T1054" s="389"/>
      <c r="U1054" s="389"/>
      <c r="V1054" s="389"/>
      <c r="W1054" s="389"/>
      <c r="X1054" s="389"/>
      <c r="Y1054" s="389"/>
      <c r="Z1054" s="389"/>
      <c r="AA1054" s="389"/>
      <c r="AB1054" s="389"/>
      <c r="AC1054" s="389"/>
      <c r="AD1054" s="389"/>
      <c r="AE1054" s="389"/>
    </row>
    <row r="1055" spans="1:31" ht="15.5" x14ac:dyDescent="0.35">
      <c r="A1055" s="390"/>
      <c r="B1055" s="389"/>
      <c r="C1055" s="389"/>
      <c r="D1055" s="389"/>
      <c r="E1055" s="389"/>
      <c r="F1055" s="389"/>
      <c r="G1055" s="389"/>
      <c r="H1055" s="389"/>
      <c r="I1055" s="389"/>
      <c r="J1055" s="389"/>
      <c r="K1055" s="389"/>
      <c r="L1055" s="389"/>
      <c r="M1055" s="389"/>
      <c r="N1055" s="389"/>
      <c r="O1055" s="389"/>
      <c r="P1055" s="389"/>
      <c r="Q1055" s="389"/>
      <c r="R1055" s="389"/>
      <c r="S1055" s="389"/>
      <c r="T1055" s="389"/>
      <c r="U1055" s="389"/>
      <c r="V1055" s="389"/>
      <c r="W1055" s="389"/>
      <c r="X1055" s="389"/>
      <c r="Y1055" s="389"/>
      <c r="Z1055" s="389"/>
      <c r="AA1055" s="389"/>
      <c r="AB1055" s="389"/>
      <c r="AC1055" s="389"/>
      <c r="AD1055" s="389"/>
      <c r="AE1055" s="389"/>
    </row>
    <row r="1056" spans="1:31" ht="15.5" x14ac:dyDescent="0.35">
      <c r="A1056" s="390"/>
      <c r="B1056" s="389"/>
      <c r="C1056" s="389"/>
      <c r="D1056" s="389"/>
      <c r="E1056" s="389"/>
      <c r="F1056" s="389"/>
      <c r="G1056" s="389"/>
      <c r="H1056" s="389"/>
      <c r="I1056" s="389"/>
      <c r="J1056" s="389"/>
      <c r="K1056" s="389"/>
      <c r="L1056" s="389"/>
      <c r="M1056" s="389"/>
      <c r="N1056" s="389"/>
      <c r="O1056" s="389"/>
      <c r="P1056" s="389"/>
      <c r="Q1056" s="389"/>
      <c r="R1056" s="389"/>
      <c r="S1056" s="389"/>
      <c r="T1056" s="389"/>
      <c r="U1056" s="389"/>
      <c r="V1056" s="389"/>
      <c r="W1056" s="389"/>
      <c r="X1056" s="389"/>
      <c r="Y1056" s="389"/>
      <c r="Z1056" s="389"/>
      <c r="AA1056" s="389"/>
      <c r="AB1056" s="389"/>
      <c r="AC1056" s="389"/>
      <c r="AD1056" s="389"/>
      <c r="AE1056" s="389"/>
    </row>
    <row r="1057" spans="1:31" ht="15.5" x14ac:dyDescent="0.35">
      <c r="A1057" s="390"/>
      <c r="B1057" s="389"/>
      <c r="C1057" s="389"/>
      <c r="D1057" s="389"/>
      <c r="E1057" s="389"/>
      <c r="F1057" s="389"/>
      <c r="G1057" s="389"/>
      <c r="H1057" s="389"/>
      <c r="I1057" s="389"/>
      <c r="J1057" s="389"/>
      <c r="K1057" s="389"/>
      <c r="L1057" s="389"/>
      <c r="M1057" s="389"/>
      <c r="N1057" s="389"/>
      <c r="O1057" s="389"/>
      <c r="P1057" s="389"/>
      <c r="Q1057" s="389"/>
      <c r="R1057" s="389"/>
      <c r="S1057" s="389"/>
      <c r="T1057" s="389"/>
      <c r="U1057" s="389"/>
      <c r="V1057" s="389"/>
      <c r="W1057" s="389"/>
      <c r="X1057" s="389"/>
      <c r="Y1057" s="389"/>
      <c r="Z1057" s="389"/>
      <c r="AA1057" s="389"/>
      <c r="AB1057" s="389"/>
      <c r="AC1057" s="389"/>
      <c r="AD1057" s="389"/>
      <c r="AE1057" s="389"/>
    </row>
    <row r="1058" spans="1:31" ht="15.5" x14ac:dyDescent="0.35">
      <c r="A1058" s="390"/>
      <c r="B1058" s="389"/>
      <c r="C1058" s="389"/>
      <c r="D1058" s="389"/>
      <c r="E1058" s="389"/>
      <c r="F1058" s="389"/>
      <c r="G1058" s="389"/>
      <c r="H1058" s="389"/>
      <c r="I1058" s="389"/>
      <c r="J1058" s="389"/>
      <c r="K1058" s="389"/>
      <c r="L1058" s="389"/>
      <c r="M1058" s="389"/>
      <c r="N1058" s="389"/>
      <c r="O1058" s="389"/>
      <c r="P1058" s="389"/>
      <c r="Q1058" s="389"/>
      <c r="R1058" s="389"/>
      <c r="S1058" s="389"/>
      <c r="T1058" s="389"/>
      <c r="U1058" s="389"/>
      <c r="V1058" s="389"/>
      <c r="W1058" s="389"/>
      <c r="X1058" s="389"/>
      <c r="Y1058" s="389"/>
      <c r="Z1058" s="389"/>
      <c r="AA1058" s="389"/>
      <c r="AB1058" s="389"/>
      <c r="AC1058" s="389"/>
      <c r="AD1058" s="389"/>
      <c r="AE1058" s="389"/>
    </row>
    <row r="1059" spans="1:31" ht="15.5" x14ac:dyDescent="0.35">
      <c r="A1059" s="390"/>
      <c r="B1059" s="389"/>
      <c r="C1059" s="389"/>
      <c r="D1059" s="389"/>
      <c r="E1059" s="389"/>
      <c r="F1059" s="389"/>
      <c r="G1059" s="389"/>
      <c r="H1059" s="389"/>
      <c r="I1059" s="389"/>
      <c r="J1059" s="389"/>
      <c r="K1059" s="389"/>
      <c r="L1059" s="389"/>
      <c r="M1059" s="389"/>
      <c r="N1059" s="389"/>
      <c r="O1059" s="389"/>
      <c r="P1059" s="389"/>
      <c r="Q1059" s="389"/>
      <c r="R1059" s="389"/>
      <c r="S1059" s="389"/>
      <c r="T1059" s="389"/>
      <c r="U1059" s="389"/>
      <c r="V1059" s="389"/>
      <c r="W1059" s="389"/>
      <c r="X1059" s="389"/>
      <c r="Y1059" s="389"/>
      <c r="Z1059" s="389"/>
      <c r="AA1059" s="389"/>
      <c r="AB1059" s="389"/>
      <c r="AC1059" s="389"/>
      <c r="AD1059" s="389"/>
      <c r="AE1059" s="389"/>
    </row>
    <row r="1060" spans="1:31" ht="15.5" x14ac:dyDescent="0.35">
      <c r="A1060" s="390"/>
      <c r="B1060" s="389"/>
      <c r="C1060" s="389"/>
      <c r="D1060" s="389"/>
      <c r="E1060" s="389"/>
      <c r="F1060" s="389"/>
      <c r="G1060" s="389"/>
      <c r="H1060" s="389"/>
      <c r="I1060" s="389"/>
      <c r="J1060" s="389"/>
      <c r="K1060" s="389"/>
      <c r="L1060" s="389"/>
      <c r="M1060" s="389"/>
      <c r="N1060" s="389"/>
      <c r="O1060" s="389"/>
      <c r="P1060" s="389"/>
      <c r="Q1060" s="389"/>
      <c r="R1060" s="389"/>
      <c r="S1060" s="389"/>
      <c r="T1060" s="389"/>
      <c r="U1060" s="389"/>
      <c r="V1060" s="389"/>
      <c r="W1060" s="389"/>
      <c r="X1060" s="389"/>
      <c r="Y1060" s="389"/>
      <c r="Z1060" s="389"/>
      <c r="AA1060" s="389"/>
      <c r="AB1060" s="389"/>
      <c r="AC1060" s="389"/>
      <c r="AD1060" s="389"/>
      <c r="AE1060" s="389"/>
    </row>
    <row r="1061" spans="1:31" ht="15.5" x14ac:dyDescent="0.35">
      <c r="A1061" s="390"/>
      <c r="B1061" s="389"/>
      <c r="C1061" s="389"/>
      <c r="D1061" s="389"/>
      <c r="E1061" s="389"/>
      <c r="F1061" s="389"/>
      <c r="G1061" s="389"/>
      <c r="H1061" s="389"/>
      <c r="I1061" s="389"/>
      <c r="J1061" s="389"/>
      <c r="K1061" s="389"/>
      <c r="L1061" s="389"/>
      <c r="M1061" s="389"/>
      <c r="N1061" s="389"/>
      <c r="O1061" s="389"/>
      <c r="P1061" s="389"/>
      <c r="Q1061" s="389"/>
      <c r="R1061" s="389"/>
      <c r="S1061" s="389"/>
      <c r="T1061" s="389"/>
      <c r="U1061" s="389"/>
      <c r="V1061" s="389"/>
      <c r="W1061" s="389"/>
      <c r="X1061" s="389"/>
      <c r="Y1061" s="389"/>
      <c r="Z1061" s="389"/>
      <c r="AA1061" s="389"/>
      <c r="AB1061" s="389"/>
      <c r="AC1061" s="389"/>
      <c r="AD1061" s="389"/>
      <c r="AE1061" s="389"/>
    </row>
    <row r="1062" spans="1:31" ht="15.5" x14ac:dyDescent="0.35">
      <c r="A1062" s="390"/>
      <c r="B1062" s="389"/>
      <c r="C1062" s="389"/>
      <c r="D1062" s="389"/>
      <c r="E1062" s="389"/>
      <c r="F1062" s="389"/>
      <c r="G1062" s="389"/>
      <c r="H1062" s="389"/>
      <c r="I1062" s="389"/>
      <c r="J1062" s="389"/>
      <c r="K1062" s="389"/>
      <c r="L1062" s="389"/>
      <c r="M1062" s="389"/>
      <c r="N1062" s="389"/>
      <c r="O1062" s="389"/>
      <c r="P1062" s="389"/>
      <c r="Q1062" s="389"/>
      <c r="R1062" s="389"/>
      <c r="S1062" s="389"/>
      <c r="T1062" s="389"/>
      <c r="U1062" s="389"/>
      <c r="V1062" s="389"/>
      <c r="W1062" s="389"/>
      <c r="X1062" s="389"/>
      <c r="Y1062" s="389"/>
      <c r="Z1062" s="389"/>
      <c r="AA1062" s="389"/>
      <c r="AB1062" s="389"/>
      <c r="AC1062" s="389"/>
      <c r="AD1062" s="389"/>
      <c r="AE1062" s="389"/>
    </row>
    <row r="1063" spans="1:31" ht="15.5" x14ac:dyDescent="0.35">
      <c r="A1063" s="390"/>
      <c r="B1063" s="389"/>
      <c r="C1063" s="389"/>
      <c r="D1063" s="389"/>
      <c r="E1063" s="389"/>
      <c r="F1063" s="389"/>
      <c r="G1063" s="389"/>
      <c r="H1063" s="389"/>
      <c r="I1063" s="389"/>
      <c r="J1063" s="389"/>
      <c r="K1063" s="389"/>
      <c r="L1063" s="389"/>
      <c r="M1063" s="389"/>
      <c r="N1063" s="389"/>
      <c r="O1063" s="389"/>
      <c r="P1063" s="389"/>
      <c r="Q1063" s="389"/>
      <c r="R1063" s="389"/>
      <c r="S1063" s="389"/>
      <c r="T1063" s="389"/>
      <c r="U1063" s="389"/>
      <c r="V1063" s="389"/>
      <c r="W1063" s="389"/>
      <c r="X1063" s="389"/>
      <c r="Y1063" s="389"/>
      <c r="Z1063" s="389"/>
      <c r="AA1063" s="389"/>
      <c r="AB1063" s="389"/>
      <c r="AC1063" s="389"/>
      <c r="AD1063" s="389"/>
      <c r="AE1063" s="389"/>
    </row>
    <row r="1064" spans="1:31" ht="15.5" x14ac:dyDescent="0.35">
      <c r="A1064" s="390"/>
      <c r="B1064" s="389"/>
      <c r="C1064" s="389"/>
      <c r="D1064" s="389"/>
      <c r="E1064" s="389"/>
      <c r="F1064" s="389"/>
      <c r="G1064" s="389"/>
      <c r="H1064" s="389"/>
      <c r="I1064" s="389"/>
      <c r="J1064" s="389"/>
      <c r="K1064" s="389"/>
      <c r="L1064" s="389"/>
      <c r="M1064" s="389"/>
      <c r="N1064" s="389"/>
      <c r="O1064" s="389"/>
      <c r="P1064" s="389"/>
      <c r="Q1064" s="389"/>
      <c r="R1064" s="389"/>
      <c r="S1064" s="389"/>
      <c r="T1064" s="389"/>
      <c r="U1064" s="389"/>
      <c r="V1064" s="389"/>
      <c r="W1064" s="389"/>
      <c r="X1064" s="389"/>
      <c r="Y1064" s="389"/>
      <c r="Z1064" s="389"/>
      <c r="AA1064" s="389"/>
      <c r="AB1064" s="389"/>
      <c r="AC1064" s="389"/>
      <c r="AD1064" s="389"/>
      <c r="AE1064" s="389"/>
    </row>
    <row r="1065" spans="1:31" ht="15.5" x14ac:dyDescent="0.35">
      <c r="A1065" s="390"/>
      <c r="B1065" s="389"/>
      <c r="C1065" s="389"/>
      <c r="D1065" s="389"/>
      <c r="E1065" s="389"/>
      <c r="F1065" s="389"/>
      <c r="G1065" s="389"/>
      <c r="H1065" s="389"/>
      <c r="I1065" s="389"/>
      <c r="J1065" s="389"/>
      <c r="K1065" s="389"/>
      <c r="L1065" s="389"/>
      <c r="M1065" s="389"/>
      <c r="N1065" s="389"/>
      <c r="O1065" s="389"/>
      <c r="P1065" s="389"/>
      <c r="Q1065" s="389"/>
      <c r="R1065" s="389"/>
      <c r="S1065" s="389"/>
      <c r="T1065" s="389"/>
      <c r="U1065" s="389"/>
      <c r="V1065" s="389"/>
      <c r="W1065" s="389"/>
      <c r="X1065" s="389"/>
      <c r="Y1065" s="389"/>
      <c r="Z1065" s="389"/>
      <c r="AA1065" s="389"/>
      <c r="AB1065" s="389"/>
      <c r="AC1065" s="389"/>
      <c r="AD1065" s="389"/>
      <c r="AE1065" s="389"/>
    </row>
    <row r="1066" spans="1:31" ht="15.5" x14ac:dyDescent="0.35">
      <c r="A1066" s="390"/>
      <c r="B1066" s="389"/>
      <c r="C1066" s="389"/>
      <c r="D1066" s="389"/>
      <c r="E1066" s="389"/>
      <c r="F1066" s="389"/>
      <c r="G1066" s="389"/>
      <c r="H1066" s="389"/>
      <c r="I1066" s="389"/>
      <c r="J1066" s="389"/>
      <c r="K1066" s="389"/>
      <c r="L1066" s="389"/>
      <c r="M1066" s="389"/>
      <c r="N1066" s="389"/>
      <c r="O1066" s="389"/>
      <c r="P1066" s="389"/>
      <c r="Q1066" s="389"/>
      <c r="R1066" s="389"/>
      <c r="S1066" s="389"/>
      <c r="T1066" s="389"/>
      <c r="U1066" s="389"/>
      <c r="V1066" s="389"/>
      <c r="W1066" s="389"/>
      <c r="X1066" s="389"/>
      <c r="Y1066" s="389"/>
      <c r="Z1066" s="389"/>
      <c r="AA1066" s="389"/>
      <c r="AB1066" s="389"/>
      <c r="AC1066" s="389"/>
      <c r="AD1066" s="389"/>
      <c r="AE1066" s="389"/>
    </row>
    <row r="1067" spans="1:31" ht="15.5" x14ac:dyDescent="0.35">
      <c r="A1067" s="390"/>
      <c r="B1067" s="389"/>
      <c r="C1067" s="389"/>
      <c r="D1067" s="389"/>
      <c r="E1067" s="389"/>
      <c r="F1067" s="389"/>
      <c r="G1067" s="389"/>
      <c r="H1067" s="389"/>
      <c r="I1067" s="389"/>
      <c r="J1067" s="389"/>
      <c r="K1067" s="389"/>
      <c r="L1067" s="389"/>
      <c r="M1067" s="389"/>
      <c r="N1067" s="389"/>
      <c r="O1067" s="389"/>
      <c r="P1067" s="389"/>
      <c r="Q1067" s="389"/>
      <c r="R1067" s="389"/>
      <c r="S1067" s="389"/>
      <c r="T1067" s="389"/>
      <c r="U1067" s="389"/>
      <c r="V1067" s="389"/>
      <c r="W1067" s="389"/>
      <c r="X1067" s="389"/>
      <c r="Y1067" s="389"/>
      <c r="Z1067" s="389"/>
      <c r="AA1067" s="389"/>
      <c r="AB1067" s="389"/>
      <c r="AC1067" s="389"/>
      <c r="AD1067" s="389"/>
      <c r="AE1067" s="389"/>
    </row>
    <row r="1068" spans="1:31" ht="15.5" x14ac:dyDescent="0.35">
      <c r="A1068" s="390"/>
      <c r="B1068" s="389"/>
      <c r="C1068" s="389"/>
      <c r="D1068" s="389"/>
      <c r="E1068" s="389"/>
      <c r="F1068" s="389"/>
      <c r="G1068" s="389"/>
      <c r="H1068" s="389"/>
      <c r="I1068" s="389"/>
      <c r="J1068" s="389"/>
      <c r="K1068" s="389"/>
      <c r="L1068" s="389"/>
      <c r="M1068" s="389"/>
      <c r="N1068" s="389"/>
      <c r="O1068" s="389"/>
      <c r="P1068" s="389"/>
      <c r="Q1068" s="389"/>
      <c r="R1068" s="389"/>
      <c r="S1068" s="389"/>
      <c r="T1068" s="389"/>
      <c r="U1068" s="389"/>
      <c r="V1068" s="389"/>
      <c r="W1068" s="389"/>
      <c r="X1068" s="389"/>
      <c r="Y1068" s="389"/>
      <c r="Z1068" s="389"/>
      <c r="AA1068" s="389"/>
      <c r="AB1068" s="389"/>
      <c r="AC1068" s="389"/>
      <c r="AD1068" s="389"/>
      <c r="AE1068" s="389"/>
    </row>
    <row r="1069" spans="1:31" ht="15.5" x14ac:dyDescent="0.35">
      <c r="A1069" s="390"/>
      <c r="B1069" s="389"/>
      <c r="C1069" s="389"/>
      <c r="D1069" s="389"/>
      <c r="E1069" s="389"/>
      <c r="F1069" s="389"/>
      <c r="G1069" s="389"/>
      <c r="H1069" s="389"/>
      <c r="I1069" s="389"/>
      <c r="J1069" s="389"/>
      <c r="K1069" s="389"/>
      <c r="L1069" s="389"/>
      <c r="M1069" s="389"/>
      <c r="N1069" s="389"/>
      <c r="O1069" s="389"/>
      <c r="P1069" s="389"/>
      <c r="Q1069" s="389"/>
      <c r="R1069" s="389"/>
      <c r="S1069" s="389"/>
      <c r="T1069" s="389"/>
      <c r="U1069" s="389"/>
      <c r="V1069" s="389"/>
      <c r="W1069" s="389"/>
      <c r="X1069" s="389"/>
      <c r="Y1069" s="389"/>
      <c r="Z1069" s="389"/>
      <c r="AA1069" s="389"/>
      <c r="AB1069" s="389"/>
      <c r="AC1069" s="389"/>
      <c r="AD1069" s="389"/>
      <c r="AE1069" s="389"/>
    </row>
    <row r="1070" spans="1:31" ht="15.5" x14ac:dyDescent="0.35">
      <c r="A1070" s="390"/>
      <c r="B1070" s="389"/>
      <c r="C1070" s="389"/>
      <c r="D1070" s="389"/>
      <c r="E1070" s="389"/>
      <c r="F1070" s="389"/>
      <c r="G1070" s="389"/>
      <c r="H1070" s="389"/>
      <c r="I1070" s="389"/>
      <c r="J1070" s="389"/>
      <c r="K1070" s="389"/>
      <c r="L1070" s="389"/>
      <c r="M1070" s="389"/>
      <c r="N1070" s="389"/>
      <c r="O1070" s="389"/>
      <c r="P1070" s="389"/>
      <c r="Q1070" s="389"/>
      <c r="R1070" s="389"/>
      <c r="S1070" s="389"/>
      <c r="T1070" s="389"/>
      <c r="U1070" s="389"/>
      <c r="V1070" s="389"/>
      <c r="W1070" s="389"/>
      <c r="X1070" s="389"/>
      <c r="Y1070" s="389"/>
      <c r="Z1070" s="389"/>
      <c r="AA1070" s="389"/>
      <c r="AB1070" s="389"/>
      <c r="AC1070" s="389"/>
      <c r="AD1070" s="389"/>
      <c r="AE1070" s="389"/>
    </row>
    <row r="1071" spans="1:31" ht="15.5" x14ac:dyDescent="0.35">
      <c r="A1071" s="390"/>
      <c r="B1071" s="389"/>
      <c r="C1071" s="389"/>
      <c r="D1071" s="389"/>
      <c r="E1071" s="389"/>
      <c r="F1071" s="389"/>
      <c r="G1071" s="389"/>
      <c r="H1071" s="389"/>
      <c r="I1071" s="389"/>
      <c r="J1071" s="389"/>
      <c r="K1071" s="389"/>
      <c r="L1071" s="389"/>
      <c r="M1071" s="389"/>
      <c r="N1071" s="389"/>
      <c r="O1071" s="389"/>
      <c r="P1071" s="389"/>
      <c r="Q1071" s="389"/>
      <c r="R1071" s="389"/>
      <c r="S1071" s="389"/>
      <c r="T1071" s="389"/>
      <c r="U1071" s="389"/>
      <c r="V1071" s="389"/>
      <c r="W1071" s="389"/>
      <c r="X1071" s="389"/>
      <c r="Y1071" s="389"/>
      <c r="Z1071" s="389"/>
      <c r="AA1071" s="389"/>
      <c r="AB1071" s="389"/>
      <c r="AC1071" s="389"/>
      <c r="AD1071" s="389"/>
      <c r="AE1071" s="389"/>
    </row>
    <row r="1072" spans="1:31" ht="15.5" x14ac:dyDescent="0.35">
      <c r="A1072" s="390"/>
      <c r="B1072" s="389"/>
      <c r="C1072" s="389"/>
      <c r="D1072" s="389"/>
      <c r="E1072" s="389"/>
      <c r="F1072" s="389"/>
      <c r="G1072" s="389"/>
      <c r="H1072" s="389"/>
      <c r="I1072" s="389"/>
      <c r="J1072" s="389"/>
      <c r="K1072" s="389"/>
      <c r="L1072" s="389"/>
      <c r="M1072" s="389"/>
      <c r="N1072" s="389"/>
      <c r="O1072" s="389"/>
      <c r="P1072" s="389"/>
      <c r="Q1072" s="389"/>
      <c r="R1072" s="389"/>
      <c r="S1072" s="389"/>
      <c r="T1072" s="389"/>
      <c r="U1072" s="389"/>
      <c r="V1072" s="389"/>
      <c r="W1072" s="389"/>
      <c r="X1072" s="389"/>
      <c r="Y1072" s="389"/>
      <c r="Z1072" s="389"/>
      <c r="AA1072" s="389"/>
      <c r="AB1072" s="389"/>
      <c r="AC1072" s="389"/>
      <c r="AD1072" s="389"/>
      <c r="AE1072" s="389"/>
    </row>
    <row r="1073" spans="1:31" ht="15.5" x14ac:dyDescent="0.35">
      <c r="A1073" s="390"/>
      <c r="B1073" s="389"/>
      <c r="C1073" s="389"/>
      <c r="D1073" s="389"/>
      <c r="E1073" s="389"/>
      <c r="F1073" s="389"/>
      <c r="G1073" s="389"/>
      <c r="H1073" s="389"/>
      <c r="I1073" s="389"/>
      <c r="J1073" s="389"/>
      <c r="K1073" s="389"/>
      <c r="L1073" s="389"/>
      <c r="M1073" s="389"/>
      <c r="N1073" s="389"/>
      <c r="O1073" s="389"/>
      <c r="P1073" s="389"/>
      <c r="Q1073" s="389"/>
      <c r="R1073" s="389"/>
      <c r="S1073" s="389"/>
      <c r="T1073" s="389"/>
      <c r="U1073" s="389"/>
      <c r="V1073" s="389"/>
      <c r="W1073" s="389"/>
      <c r="X1073" s="389"/>
      <c r="Y1073" s="389"/>
      <c r="Z1073" s="389"/>
      <c r="AA1073" s="389"/>
      <c r="AB1073" s="389"/>
      <c r="AC1073" s="389"/>
      <c r="AD1073" s="389"/>
      <c r="AE1073" s="389"/>
    </row>
    <row r="1074" spans="1:31" ht="15.5" x14ac:dyDescent="0.35">
      <c r="A1074" s="390"/>
      <c r="B1074" s="389"/>
      <c r="C1074" s="389"/>
      <c r="D1074" s="389"/>
      <c r="E1074" s="389"/>
      <c r="F1074" s="389"/>
      <c r="G1074" s="389"/>
      <c r="H1074" s="389"/>
      <c r="I1074" s="389"/>
      <c r="J1074" s="389"/>
      <c r="K1074" s="389"/>
      <c r="L1074" s="389"/>
      <c r="M1074" s="389"/>
      <c r="N1074" s="389"/>
      <c r="O1074" s="389"/>
      <c r="P1074" s="389"/>
      <c r="Q1074" s="389"/>
      <c r="R1074" s="389"/>
      <c r="S1074" s="389"/>
      <c r="T1074" s="389"/>
      <c r="U1074" s="389"/>
      <c r="V1074" s="389"/>
      <c r="W1074" s="389"/>
      <c r="X1074" s="389"/>
      <c r="Y1074" s="389"/>
      <c r="Z1074" s="389"/>
      <c r="AA1074" s="389"/>
      <c r="AB1074" s="389"/>
      <c r="AC1074" s="389"/>
      <c r="AD1074" s="389"/>
      <c r="AE1074" s="389"/>
    </row>
    <row r="1075" spans="1:31" ht="15.5" x14ac:dyDescent="0.35">
      <c r="A1075" s="390"/>
      <c r="B1075" s="389"/>
      <c r="C1075" s="389"/>
      <c r="D1075" s="389"/>
      <c r="E1075" s="389"/>
      <c r="F1075" s="389"/>
      <c r="G1075" s="389"/>
      <c r="H1075" s="389"/>
      <c r="I1075" s="389"/>
      <c r="J1075" s="389"/>
      <c r="K1075" s="389"/>
      <c r="L1075" s="389"/>
      <c r="M1075" s="389"/>
      <c r="N1075" s="389"/>
      <c r="O1075" s="389"/>
      <c r="P1075" s="389"/>
      <c r="Q1075" s="389"/>
      <c r="R1075" s="389"/>
      <c r="S1075" s="389"/>
      <c r="T1075" s="389"/>
      <c r="U1075" s="389"/>
      <c r="V1075" s="389"/>
      <c r="W1075" s="389"/>
      <c r="X1075" s="389"/>
      <c r="Y1075" s="389"/>
      <c r="Z1075" s="389"/>
      <c r="AA1075" s="389"/>
      <c r="AB1075" s="389"/>
      <c r="AC1075" s="389"/>
      <c r="AD1075" s="389"/>
      <c r="AE1075" s="389"/>
    </row>
    <row r="1076" spans="1:31" ht="15.5" x14ac:dyDescent="0.35">
      <c r="A1076" s="390"/>
      <c r="B1076" s="389"/>
      <c r="C1076" s="389"/>
      <c r="D1076" s="389"/>
      <c r="E1076" s="389"/>
      <c r="F1076" s="389"/>
      <c r="G1076" s="389"/>
      <c r="H1076" s="389"/>
      <c r="I1076" s="389"/>
      <c r="J1076" s="389"/>
      <c r="K1076" s="389"/>
      <c r="L1076" s="389"/>
      <c r="M1076" s="389"/>
      <c r="N1076" s="389"/>
      <c r="O1076" s="389"/>
      <c r="P1076" s="389"/>
      <c r="Q1076" s="389"/>
      <c r="R1076" s="389"/>
      <c r="S1076" s="389"/>
      <c r="T1076" s="389"/>
      <c r="U1076" s="389"/>
      <c r="V1076" s="389"/>
      <c r="W1076" s="389"/>
      <c r="X1076" s="389"/>
      <c r="Y1076" s="389"/>
      <c r="Z1076" s="389"/>
      <c r="AA1076" s="389"/>
      <c r="AB1076" s="389"/>
      <c r="AC1076" s="389"/>
      <c r="AD1076" s="389"/>
      <c r="AE1076" s="389"/>
    </row>
    <row r="1077" spans="1:31" ht="15.5" x14ac:dyDescent="0.35">
      <c r="A1077" s="390"/>
      <c r="B1077" s="389"/>
      <c r="C1077" s="389"/>
      <c r="D1077" s="389"/>
      <c r="E1077" s="389"/>
      <c r="F1077" s="389"/>
      <c r="G1077" s="389"/>
      <c r="H1077" s="389"/>
      <c r="I1077" s="389"/>
      <c r="J1077" s="389"/>
      <c r="K1077" s="389"/>
      <c r="L1077" s="389"/>
      <c r="M1077" s="389"/>
      <c r="N1077" s="389"/>
      <c r="O1077" s="389"/>
      <c r="P1077" s="389"/>
      <c r="Q1077" s="389"/>
      <c r="R1077" s="389"/>
      <c r="S1077" s="389"/>
      <c r="T1077" s="389"/>
      <c r="U1077" s="389"/>
      <c r="V1077" s="389"/>
      <c r="W1077" s="389"/>
      <c r="X1077" s="389"/>
      <c r="Y1077" s="389"/>
      <c r="Z1077" s="389"/>
      <c r="AA1077" s="389"/>
      <c r="AB1077" s="389"/>
      <c r="AC1077" s="389"/>
      <c r="AD1077" s="389"/>
      <c r="AE1077" s="389"/>
    </row>
    <row r="1078" spans="1:31" ht="15.5" x14ac:dyDescent="0.35">
      <c r="A1078" s="390"/>
      <c r="B1078" s="389"/>
      <c r="C1078" s="389"/>
      <c r="D1078" s="389"/>
      <c r="E1078" s="389"/>
      <c r="F1078" s="389"/>
      <c r="G1078" s="389"/>
      <c r="H1078" s="389"/>
      <c r="I1078" s="389"/>
      <c r="J1078" s="389"/>
      <c r="K1078" s="389"/>
      <c r="L1078" s="389"/>
      <c r="M1078" s="389"/>
      <c r="N1078" s="389"/>
      <c r="O1078" s="389"/>
      <c r="P1078" s="389"/>
      <c r="Q1078" s="389"/>
      <c r="R1078" s="389"/>
      <c r="S1078" s="389"/>
      <c r="T1078" s="389"/>
      <c r="U1078" s="389"/>
      <c r="V1078" s="389"/>
      <c r="W1078" s="389"/>
      <c r="X1078" s="389"/>
      <c r="Y1078" s="389"/>
      <c r="Z1078" s="389"/>
      <c r="AA1078" s="389"/>
      <c r="AB1078" s="389"/>
      <c r="AC1078" s="389"/>
      <c r="AD1078" s="389"/>
      <c r="AE1078" s="389"/>
    </row>
    <row r="1079" spans="1:31" ht="15.5" x14ac:dyDescent="0.35">
      <c r="A1079" s="390"/>
      <c r="B1079" s="389"/>
      <c r="C1079" s="389"/>
      <c r="D1079" s="389"/>
      <c r="E1079" s="389"/>
      <c r="F1079" s="389"/>
      <c r="G1079" s="389"/>
      <c r="H1079" s="389"/>
      <c r="I1079" s="389"/>
      <c r="J1079" s="389"/>
      <c r="K1079" s="389"/>
      <c r="L1079" s="389"/>
      <c r="M1079" s="389"/>
      <c r="N1079" s="389"/>
      <c r="O1079" s="389"/>
      <c r="P1079" s="389"/>
      <c r="Q1079" s="389"/>
      <c r="R1079" s="389"/>
      <c r="S1079" s="389"/>
      <c r="T1079" s="389"/>
      <c r="U1079" s="389"/>
      <c r="V1079" s="389"/>
      <c r="W1079" s="389"/>
      <c r="X1079" s="389"/>
      <c r="Y1079" s="389"/>
      <c r="Z1079" s="389"/>
      <c r="AA1079" s="389"/>
      <c r="AB1079" s="389"/>
      <c r="AC1079" s="389"/>
      <c r="AD1079" s="389"/>
      <c r="AE1079" s="389"/>
    </row>
    <row r="1080" spans="1:31" ht="15.5" x14ac:dyDescent="0.35">
      <c r="A1080" s="390"/>
      <c r="B1080" s="389"/>
      <c r="C1080" s="389"/>
      <c r="D1080" s="389"/>
      <c r="E1080" s="389"/>
      <c r="F1080" s="389"/>
      <c r="G1080" s="389"/>
      <c r="H1080" s="389"/>
      <c r="I1080" s="389"/>
      <c r="J1080" s="389"/>
      <c r="K1080" s="389"/>
      <c r="L1080" s="389"/>
      <c r="M1080" s="389"/>
      <c r="N1080" s="389"/>
      <c r="O1080" s="389"/>
      <c r="P1080" s="389"/>
      <c r="Q1080" s="389"/>
      <c r="R1080" s="389"/>
      <c r="S1080" s="389"/>
      <c r="T1080" s="389"/>
      <c r="U1080" s="389"/>
      <c r="V1080" s="389"/>
      <c r="W1080" s="389"/>
      <c r="X1080" s="389"/>
      <c r="Y1080" s="389"/>
      <c r="Z1080" s="389"/>
      <c r="AA1080" s="389"/>
      <c r="AB1080" s="389"/>
      <c r="AC1080" s="389"/>
      <c r="AD1080" s="389"/>
      <c r="AE1080" s="389"/>
    </row>
    <row r="1081" spans="1:31" ht="15.5" x14ac:dyDescent="0.35">
      <c r="A1081" s="390"/>
      <c r="B1081" s="389"/>
      <c r="C1081" s="389"/>
      <c r="D1081" s="389"/>
      <c r="E1081" s="389"/>
      <c r="F1081" s="389"/>
      <c r="G1081" s="389"/>
      <c r="H1081" s="389"/>
      <c r="I1081" s="389"/>
      <c r="J1081" s="389"/>
      <c r="K1081" s="389"/>
      <c r="L1081" s="389"/>
      <c r="M1081" s="389"/>
      <c r="N1081" s="389"/>
      <c r="O1081" s="389"/>
      <c r="P1081" s="389"/>
      <c r="Q1081" s="389"/>
      <c r="R1081" s="389"/>
      <c r="S1081" s="389"/>
      <c r="T1081" s="389"/>
      <c r="U1081" s="389"/>
      <c r="V1081" s="389"/>
      <c r="W1081" s="389"/>
      <c r="X1081" s="389"/>
      <c r="Y1081" s="389"/>
      <c r="Z1081" s="389"/>
      <c r="AA1081" s="389"/>
      <c r="AB1081" s="389"/>
      <c r="AC1081" s="389"/>
      <c r="AD1081" s="389"/>
      <c r="AE1081" s="389"/>
    </row>
    <row r="1082" spans="1:31" ht="15.5" x14ac:dyDescent="0.35">
      <c r="A1082" s="390"/>
      <c r="B1082" s="389"/>
      <c r="C1082" s="389"/>
      <c r="D1082" s="389"/>
      <c r="E1082" s="389"/>
      <c r="F1082" s="389"/>
      <c r="G1082" s="389"/>
      <c r="H1082" s="389"/>
      <c r="I1082" s="389"/>
      <c r="J1082" s="389"/>
      <c r="K1082" s="389"/>
      <c r="L1082" s="389"/>
      <c r="M1082" s="389"/>
      <c r="N1082" s="389"/>
      <c r="O1082" s="389"/>
      <c r="P1082" s="389"/>
      <c r="Q1082" s="389"/>
      <c r="R1082" s="389"/>
      <c r="S1082" s="389"/>
      <c r="T1082" s="389"/>
      <c r="U1082" s="389"/>
      <c r="V1082" s="389"/>
      <c r="W1082" s="389"/>
      <c r="X1082" s="389"/>
      <c r="Y1082" s="389"/>
      <c r="Z1082" s="389"/>
      <c r="AA1082" s="389"/>
      <c r="AB1082" s="389"/>
      <c r="AC1082" s="389"/>
      <c r="AD1082" s="389"/>
      <c r="AE1082" s="389"/>
    </row>
    <row r="1083" spans="1:31" ht="15.5" x14ac:dyDescent="0.35">
      <c r="A1083" s="390"/>
      <c r="B1083" s="389"/>
      <c r="C1083" s="389"/>
      <c r="D1083" s="389"/>
      <c r="E1083" s="389"/>
      <c r="F1083" s="389"/>
      <c r="G1083" s="389"/>
      <c r="H1083" s="389"/>
      <c r="I1083" s="389"/>
      <c r="J1083" s="389"/>
      <c r="K1083" s="389"/>
      <c r="L1083" s="389"/>
      <c r="M1083" s="389"/>
      <c r="N1083" s="389"/>
      <c r="O1083" s="389"/>
      <c r="P1083" s="389"/>
      <c r="Q1083" s="389"/>
      <c r="R1083" s="389"/>
      <c r="S1083" s="389"/>
      <c r="T1083" s="389"/>
      <c r="U1083" s="389"/>
      <c r="V1083" s="389"/>
      <c r="W1083" s="389"/>
      <c r="X1083" s="389"/>
      <c r="Y1083" s="389"/>
      <c r="Z1083" s="389"/>
      <c r="AA1083" s="389"/>
      <c r="AB1083" s="389"/>
      <c r="AC1083" s="389"/>
      <c r="AD1083" s="389"/>
      <c r="AE1083" s="389"/>
    </row>
    <row r="1084" spans="1:31" ht="15.5" x14ac:dyDescent="0.35">
      <c r="A1084" s="390"/>
      <c r="B1084" s="389"/>
      <c r="C1084" s="389"/>
      <c r="D1084" s="389"/>
      <c r="E1084" s="389"/>
      <c r="F1084" s="389"/>
      <c r="G1084" s="389"/>
      <c r="H1084" s="389"/>
      <c r="I1084" s="389"/>
      <c r="J1084" s="389"/>
      <c r="K1084" s="389"/>
      <c r="L1084" s="389"/>
      <c r="M1084" s="389"/>
      <c r="N1084" s="389"/>
      <c r="O1084" s="389"/>
      <c r="P1084" s="389"/>
      <c r="Q1084" s="389"/>
      <c r="R1084" s="389"/>
      <c r="S1084" s="389"/>
      <c r="T1084" s="389"/>
      <c r="U1084" s="389"/>
      <c r="V1084" s="389"/>
      <c r="W1084" s="389"/>
      <c r="X1084" s="389"/>
      <c r="Y1084" s="389"/>
      <c r="Z1084" s="389"/>
      <c r="AA1084" s="389"/>
      <c r="AB1084" s="389"/>
      <c r="AC1084" s="389"/>
      <c r="AD1084" s="389"/>
      <c r="AE1084" s="389"/>
    </row>
    <row r="1085" spans="1:31" ht="15.5" x14ac:dyDescent="0.35">
      <c r="A1085" s="390"/>
      <c r="B1085" s="389"/>
      <c r="C1085" s="389"/>
      <c r="D1085" s="389"/>
      <c r="E1085" s="389"/>
      <c r="F1085" s="389"/>
      <c r="G1085" s="389"/>
      <c r="H1085" s="389"/>
      <c r="I1085" s="389"/>
      <c r="J1085" s="389"/>
      <c r="K1085" s="389"/>
      <c r="L1085" s="389"/>
      <c r="M1085" s="389"/>
      <c r="N1085" s="389"/>
      <c r="O1085" s="389"/>
      <c r="P1085" s="389"/>
      <c r="Q1085" s="389"/>
      <c r="R1085" s="389"/>
      <c r="S1085" s="389"/>
      <c r="T1085" s="389"/>
      <c r="U1085" s="389"/>
      <c r="V1085" s="389"/>
      <c r="W1085" s="389"/>
      <c r="X1085" s="389"/>
      <c r="Y1085" s="389"/>
      <c r="Z1085" s="389"/>
      <c r="AA1085" s="389"/>
      <c r="AB1085" s="389"/>
      <c r="AC1085" s="389"/>
      <c r="AD1085" s="389"/>
      <c r="AE1085" s="389"/>
    </row>
    <row r="1086" spans="1:31" ht="15.5" x14ac:dyDescent="0.35">
      <c r="A1086" s="390"/>
      <c r="B1086" s="389"/>
      <c r="C1086" s="389"/>
      <c r="D1086" s="389"/>
      <c r="E1086" s="389"/>
      <c r="F1086" s="389"/>
      <c r="G1086" s="389"/>
      <c r="H1086" s="389"/>
      <c r="I1086" s="389"/>
      <c r="J1086" s="389"/>
      <c r="K1086" s="389"/>
      <c r="L1086" s="389"/>
      <c r="M1086" s="389"/>
      <c r="N1086" s="389"/>
      <c r="O1086" s="389"/>
      <c r="P1086" s="389"/>
      <c r="Q1086" s="389"/>
      <c r="R1086" s="389"/>
      <c r="S1086" s="389"/>
      <c r="T1086" s="389"/>
      <c r="U1086" s="389"/>
      <c r="V1086" s="389"/>
      <c r="W1086" s="389"/>
      <c r="X1086" s="389"/>
      <c r="Y1086" s="389"/>
      <c r="Z1086" s="389"/>
      <c r="AA1086" s="389"/>
      <c r="AB1086" s="389"/>
      <c r="AC1086" s="389"/>
      <c r="AD1086" s="389"/>
      <c r="AE1086" s="389"/>
    </row>
    <row r="1087" spans="1:31" ht="15.5" x14ac:dyDescent="0.35">
      <c r="A1087" s="390"/>
      <c r="B1087" s="389"/>
      <c r="C1087" s="389"/>
      <c r="D1087" s="389"/>
      <c r="E1087" s="389"/>
      <c r="F1087" s="389"/>
      <c r="G1087" s="389"/>
      <c r="H1087" s="389"/>
      <c r="I1087" s="389"/>
      <c r="J1087" s="389"/>
      <c r="K1087" s="389"/>
      <c r="L1087" s="389"/>
      <c r="M1087" s="389"/>
      <c r="N1087" s="389"/>
      <c r="O1087" s="389"/>
      <c r="P1087" s="389"/>
      <c r="Q1087" s="389"/>
      <c r="R1087" s="389"/>
      <c r="S1087" s="389"/>
      <c r="T1087" s="389"/>
      <c r="U1087" s="389"/>
      <c r="V1087" s="389"/>
      <c r="W1087" s="389"/>
      <c r="X1087" s="389"/>
      <c r="Y1087" s="389"/>
      <c r="Z1087" s="389"/>
      <c r="AA1087" s="389"/>
      <c r="AB1087" s="389"/>
      <c r="AC1087" s="389"/>
      <c r="AD1087" s="389"/>
      <c r="AE1087" s="389"/>
    </row>
    <row r="1088" spans="1:31" ht="15.5" x14ac:dyDescent="0.35">
      <c r="A1088" s="390"/>
      <c r="B1088" s="389"/>
      <c r="C1088" s="389"/>
      <c r="D1088" s="389"/>
      <c r="E1088" s="389"/>
      <c r="F1088" s="389"/>
      <c r="G1088" s="389"/>
      <c r="H1088" s="389"/>
      <c r="I1088" s="389"/>
      <c r="J1088" s="389"/>
      <c r="K1088" s="389"/>
      <c r="L1088" s="389"/>
      <c r="M1088" s="389"/>
      <c r="N1088" s="389"/>
      <c r="O1088" s="389"/>
      <c r="P1088" s="389"/>
      <c r="Q1088" s="389"/>
      <c r="R1088" s="389"/>
      <c r="S1088" s="389"/>
      <c r="T1088" s="389"/>
      <c r="U1088" s="389"/>
      <c r="V1088" s="389"/>
      <c r="W1088" s="389"/>
      <c r="X1088" s="389"/>
      <c r="Y1088" s="389"/>
      <c r="Z1088" s="389"/>
      <c r="AA1088" s="389"/>
      <c r="AB1088" s="389"/>
      <c r="AC1088" s="389"/>
      <c r="AD1088" s="389"/>
      <c r="AE1088" s="389"/>
    </row>
    <row r="1089" spans="1:31" ht="15.5" x14ac:dyDescent="0.35">
      <c r="A1089" s="390"/>
      <c r="B1089" s="389"/>
      <c r="C1089" s="389"/>
      <c r="D1089" s="389"/>
      <c r="E1089" s="389"/>
      <c r="F1089" s="389"/>
      <c r="G1089" s="389"/>
      <c r="H1089" s="389"/>
      <c r="I1089" s="389"/>
      <c r="J1089" s="389"/>
      <c r="K1089" s="389"/>
      <c r="L1089" s="389"/>
      <c r="M1089" s="389"/>
      <c r="N1089" s="389"/>
      <c r="O1089" s="389"/>
      <c r="P1089" s="389"/>
      <c r="Q1089" s="389"/>
      <c r="R1089" s="389"/>
      <c r="S1089" s="389"/>
      <c r="T1089" s="389"/>
      <c r="U1089" s="389"/>
      <c r="V1089" s="389"/>
      <c r="W1089" s="389"/>
      <c r="X1089" s="389"/>
      <c r="Y1089" s="389"/>
      <c r="Z1089" s="389"/>
      <c r="AA1089" s="389"/>
      <c r="AB1089" s="389"/>
      <c r="AC1089" s="389"/>
      <c r="AD1089" s="389"/>
      <c r="AE1089" s="389"/>
    </row>
    <row r="1090" spans="1:31" ht="15.5" x14ac:dyDescent="0.35">
      <c r="A1090" s="390"/>
      <c r="B1090" s="389"/>
      <c r="C1090" s="389"/>
      <c r="D1090" s="389"/>
      <c r="E1090" s="389"/>
      <c r="F1090" s="389"/>
      <c r="G1090" s="389"/>
      <c r="H1090" s="389"/>
      <c r="I1090" s="389"/>
      <c r="J1090" s="389"/>
      <c r="K1090" s="389"/>
      <c r="L1090" s="389"/>
      <c r="M1090" s="389"/>
      <c r="N1090" s="389"/>
      <c r="O1090" s="389"/>
      <c r="P1090" s="389"/>
      <c r="Q1090" s="389"/>
      <c r="R1090" s="389"/>
      <c r="S1090" s="389"/>
      <c r="T1090" s="389"/>
      <c r="U1090" s="389"/>
      <c r="V1090" s="389"/>
      <c r="W1090" s="389"/>
      <c r="X1090" s="389"/>
      <c r="Y1090" s="389"/>
      <c r="Z1090" s="389"/>
      <c r="AA1090" s="389"/>
      <c r="AB1090" s="389"/>
      <c r="AC1090" s="389"/>
      <c r="AD1090" s="389"/>
      <c r="AE1090" s="389"/>
    </row>
    <row r="1091" spans="1:31" ht="15.5" x14ac:dyDescent="0.35">
      <c r="A1091" s="390"/>
      <c r="B1091" s="389"/>
      <c r="C1091" s="389"/>
      <c r="D1091" s="389"/>
      <c r="E1091" s="389"/>
      <c r="F1091" s="389"/>
      <c r="G1091" s="389"/>
      <c r="H1091" s="389"/>
      <c r="I1091" s="389"/>
      <c r="J1091" s="389"/>
      <c r="K1091" s="389"/>
      <c r="L1091" s="389"/>
      <c r="M1091" s="389"/>
      <c r="N1091" s="389"/>
      <c r="O1091" s="389"/>
      <c r="P1091" s="389"/>
      <c r="Q1091" s="389"/>
      <c r="R1091" s="389"/>
      <c r="S1091" s="389"/>
      <c r="T1091" s="389"/>
      <c r="U1091" s="389"/>
      <c r="V1091" s="389"/>
      <c r="W1091" s="389"/>
      <c r="X1091" s="389"/>
      <c r="Y1091" s="389"/>
      <c r="Z1091" s="389"/>
      <c r="AA1091" s="389"/>
      <c r="AB1091" s="389"/>
      <c r="AC1091" s="389"/>
      <c r="AD1091" s="389"/>
      <c r="AE1091" s="389"/>
    </row>
    <row r="1092" spans="1:31" ht="15.5" x14ac:dyDescent="0.35">
      <c r="A1092" s="390"/>
      <c r="B1092" s="389"/>
      <c r="C1092" s="389"/>
      <c r="D1092" s="389"/>
      <c r="E1092" s="389"/>
      <c r="F1092" s="389"/>
      <c r="G1092" s="389"/>
      <c r="H1092" s="389"/>
      <c r="I1092" s="389"/>
      <c r="J1092" s="389"/>
      <c r="K1092" s="389"/>
      <c r="L1092" s="389"/>
      <c r="M1092" s="389"/>
      <c r="N1092" s="389"/>
      <c r="O1092" s="389"/>
      <c r="P1092" s="389"/>
      <c r="Q1092" s="389"/>
      <c r="R1092" s="389"/>
      <c r="S1092" s="389"/>
      <c r="T1092" s="389"/>
      <c r="U1092" s="389"/>
      <c r="V1092" s="389"/>
      <c r="W1092" s="389"/>
      <c r="X1092" s="389"/>
      <c r="Y1092" s="389"/>
      <c r="Z1092" s="389"/>
      <c r="AA1092" s="389"/>
      <c r="AB1092" s="389"/>
      <c r="AC1092" s="389"/>
      <c r="AD1092" s="389"/>
      <c r="AE1092" s="389"/>
    </row>
    <row r="1093" spans="1:31" ht="15.5" x14ac:dyDescent="0.35">
      <c r="A1093" s="390"/>
      <c r="B1093" s="389"/>
      <c r="C1093" s="389"/>
      <c r="D1093" s="389"/>
      <c r="E1093" s="389"/>
      <c r="F1093" s="389"/>
      <c r="G1093" s="389"/>
      <c r="H1093" s="389"/>
      <c r="I1093" s="389"/>
      <c r="J1093" s="389"/>
      <c r="K1093" s="389"/>
      <c r="L1093" s="389"/>
      <c r="M1093" s="389"/>
      <c r="N1093" s="389"/>
      <c r="O1093" s="389"/>
      <c r="P1093" s="389"/>
      <c r="Q1093" s="389"/>
      <c r="R1093" s="389"/>
      <c r="S1093" s="389"/>
      <c r="T1093" s="389"/>
      <c r="U1093" s="389"/>
      <c r="V1093" s="389"/>
      <c r="W1093" s="389"/>
      <c r="X1093" s="389"/>
      <c r="Y1093" s="389"/>
      <c r="Z1093" s="389"/>
      <c r="AA1093" s="389"/>
      <c r="AB1093" s="389"/>
      <c r="AC1093" s="389"/>
      <c r="AD1093" s="389"/>
      <c r="AE1093" s="389"/>
    </row>
    <row r="1094" spans="1:31" ht="15.5" x14ac:dyDescent="0.35">
      <c r="A1094" s="390"/>
      <c r="B1094" s="389"/>
      <c r="C1094" s="389"/>
      <c r="D1094" s="389"/>
      <c r="E1094" s="389"/>
      <c r="F1094" s="389"/>
      <c r="G1094" s="389"/>
      <c r="H1094" s="389"/>
      <c r="I1094" s="389"/>
      <c r="J1094" s="389"/>
      <c r="K1094" s="389"/>
      <c r="L1094" s="389"/>
      <c r="M1094" s="389"/>
      <c r="N1094" s="389"/>
      <c r="O1094" s="389"/>
      <c r="P1094" s="389"/>
      <c r="Q1094" s="389"/>
      <c r="R1094" s="389"/>
      <c r="S1094" s="389"/>
      <c r="T1094" s="389"/>
      <c r="U1094" s="389"/>
      <c r="V1094" s="389"/>
      <c r="W1094" s="389"/>
      <c r="X1094" s="389"/>
      <c r="Y1094" s="389"/>
      <c r="Z1094" s="389"/>
      <c r="AA1094" s="389"/>
      <c r="AB1094" s="389"/>
      <c r="AC1094" s="389"/>
      <c r="AD1094" s="389"/>
      <c r="AE1094" s="389"/>
    </row>
    <row r="1095" spans="1:31" ht="15.5" x14ac:dyDescent="0.35">
      <c r="A1095" s="390"/>
      <c r="B1095" s="389"/>
      <c r="C1095" s="389"/>
      <c r="D1095" s="389"/>
      <c r="E1095" s="389"/>
      <c r="F1095" s="389"/>
      <c r="G1095" s="389"/>
      <c r="H1095" s="389"/>
      <c r="I1095" s="389"/>
      <c r="J1095" s="389"/>
      <c r="K1095" s="389"/>
      <c r="L1095" s="389"/>
      <c r="M1095" s="389"/>
      <c r="N1095" s="389"/>
      <c r="O1095" s="389"/>
      <c r="P1095" s="389"/>
      <c r="Q1095" s="389"/>
      <c r="R1095" s="389"/>
      <c r="S1095" s="389"/>
      <c r="T1095" s="389"/>
      <c r="U1095" s="389"/>
      <c r="V1095" s="389"/>
      <c r="W1095" s="389"/>
      <c r="X1095" s="389"/>
      <c r="Y1095" s="389"/>
      <c r="Z1095" s="389"/>
      <c r="AA1095" s="389"/>
      <c r="AB1095" s="389"/>
      <c r="AC1095" s="389"/>
      <c r="AD1095" s="389"/>
      <c r="AE1095" s="389"/>
    </row>
    <row r="1096" spans="1:31" ht="15.5" x14ac:dyDescent="0.35">
      <c r="A1096" s="390"/>
      <c r="B1096" s="389"/>
      <c r="C1096" s="389"/>
      <c r="D1096" s="389"/>
      <c r="E1096" s="389"/>
      <c r="F1096" s="389"/>
      <c r="G1096" s="389"/>
      <c r="H1096" s="389"/>
      <c r="I1096" s="389"/>
      <c r="J1096" s="389"/>
      <c r="K1096" s="389"/>
      <c r="L1096" s="389"/>
      <c r="M1096" s="389"/>
      <c r="N1096" s="389"/>
      <c r="O1096" s="389"/>
      <c r="P1096" s="389"/>
      <c r="Q1096" s="389"/>
      <c r="R1096" s="389"/>
      <c r="S1096" s="389"/>
      <c r="T1096" s="389"/>
      <c r="U1096" s="389"/>
      <c r="V1096" s="389"/>
      <c r="W1096" s="389"/>
      <c r="X1096" s="389"/>
      <c r="Y1096" s="389"/>
      <c r="Z1096" s="389"/>
      <c r="AA1096" s="389"/>
      <c r="AB1096" s="389"/>
      <c r="AC1096" s="389"/>
      <c r="AD1096" s="389"/>
      <c r="AE1096" s="389"/>
    </row>
    <row r="1097" spans="1:31" ht="15.5" x14ac:dyDescent="0.35">
      <c r="A1097" s="390"/>
      <c r="B1097" s="389"/>
      <c r="C1097" s="389"/>
      <c r="D1097" s="389"/>
      <c r="E1097" s="389"/>
      <c r="F1097" s="389"/>
      <c r="G1097" s="389"/>
      <c r="H1097" s="389"/>
      <c r="I1097" s="389"/>
      <c r="J1097" s="389"/>
      <c r="K1097" s="389"/>
      <c r="L1097" s="389"/>
      <c r="M1097" s="389"/>
      <c r="N1097" s="389"/>
      <c r="O1097" s="389"/>
      <c r="P1097" s="389"/>
      <c r="Q1097" s="389"/>
      <c r="R1097" s="389"/>
      <c r="S1097" s="389"/>
      <c r="T1097" s="389"/>
      <c r="U1097" s="389"/>
      <c r="V1097" s="389"/>
      <c r="W1097" s="389"/>
      <c r="X1097" s="389"/>
      <c r="Y1097" s="389"/>
      <c r="Z1097" s="389"/>
      <c r="AA1097" s="389"/>
      <c r="AB1097" s="389"/>
      <c r="AC1097" s="389"/>
      <c r="AD1097" s="389"/>
      <c r="AE1097" s="389"/>
    </row>
    <row r="1098" spans="1:31" ht="15.5" x14ac:dyDescent="0.35">
      <c r="A1098" s="390"/>
      <c r="B1098" s="389"/>
      <c r="C1098" s="389"/>
      <c r="D1098" s="389"/>
      <c r="E1098" s="389"/>
      <c r="F1098" s="389"/>
      <c r="G1098" s="389"/>
      <c r="H1098" s="389"/>
      <c r="I1098" s="389"/>
      <c r="J1098" s="389"/>
      <c r="K1098" s="389"/>
      <c r="L1098" s="389"/>
      <c r="M1098" s="389"/>
      <c r="N1098" s="389"/>
      <c r="O1098" s="389"/>
      <c r="P1098" s="389"/>
      <c r="Q1098" s="389"/>
      <c r="R1098" s="389"/>
      <c r="S1098" s="389"/>
      <c r="T1098" s="389"/>
      <c r="U1098" s="389"/>
      <c r="V1098" s="389"/>
      <c r="W1098" s="389"/>
      <c r="X1098" s="389"/>
      <c r="Y1098" s="389"/>
      <c r="Z1098" s="389"/>
      <c r="AA1098" s="389"/>
      <c r="AB1098" s="389"/>
      <c r="AC1098" s="389"/>
      <c r="AD1098" s="389"/>
      <c r="AE1098" s="389"/>
    </row>
    <row r="1099" spans="1:31" ht="15.5" x14ac:dyDescent="0.35">
      <c r="A1099" s="390"/>
      <c r="B1099" s="389"/>
      <c r="C1099" s="389"/>
      <c r="D1099" s="389"/>
      <c r="E1099" s="389"/>
      <c r="F1099" s="389"/>
      <c r="G1099" s="389"/>
      <c r="H1099" s="389"/>
      <c r="I1099" s="389"/>
      <c r="J1099" s="389"/>
      <c r="K1099" s="389"/>
      <c r="L1099" s="389"/>
      <c r="M1099" s="389"/>
      <c r="N1099" s="389"/>
      <c r="O1099" s="389"/>
      <c r="P1099" s="389"/>
      <c r="Q1099" s="389"/>
      <c r="R1099" s="389"/>
      <c r="S1099" s="389"/>
      <c r="T1099" s="389"/>
      <c r="U1099" s="389"/>
      <c r="V1099" s="389"/>
      <c r="W1099" s="389"/>
      <c r="X1099" s="389"/>
      <c r="Y1099" s="389"/>
      <c r="Z1099" s="389"/>
      <c r="AA1099" s="389"/>
      <c r="AB1099" s="389"/>
      <c r="AC1099" s="389"/>
      <c r="AD1099" s="389"/>
      <c r="AE1099" s="389"/>
    </row>
    <row r="1100" spans="1:31" ht="15.5" x14ac:dyDescent="0.35">
      <c r="A1100" s="390"/>
      <c r="B1100" s="389"/>
      <c r="C1100" s="389"/>
      <c r="D1100" s="389"/>
      <c r="E1100" s="389"/>
      <c r="F1100" s="389"/>
      <c r="G1100" s="389"/>
      <c r="H1100" s="389"/>
      <c r="I1100" s="389"/>
      <c r="J1100" s="389"/>
      <c r="K1100" s="389"/>
      <c r="L1100" s="389"/>
      <c r="M1100" s="389"/>
      <c r="N1100" s="389"/>
      <c r="O1100" s="389"/>
      <c r="P1100" s="389"/>
      <c r="Q1100" s="389"/>
      <c r="R1100" s="389"/>
      <c r="S1100" s="389"/>
      <c r="T1100" s="389"/>
      <c r="U1100" s="389"/>
      <c r="V1100" s="389"/>
      <c r="W1100" s="389"/>
      <c r="X1100" s="389"/>
      <c r="Y1100" s="389"/>
      <c r="Z1100" s="389"/>
      <c r="AA1100" s="389"/>
      <c r="AB1100" s="389"/>
      <c r="AC1100" s="389"/>
      <c r="AD1100" s="389"/>
      <c r="AE1100" s="389"/>
    </row>
    <row r="1101" spans="1:31" ht="15.5" x14ac:dyDescent="0.35">
      <c r="A1101" s="390"/>
      <c r="B1101" s="389"/>
      <c r="C1101" s="389"/>
      <c r="D1101" s="389"/>
      <c r="E1101" s="389"/>
      <c r="F1101" s="389"/>
      <c r="G1101" s="389"/>
      <c r="H1101" s="389"/>
      <c r="I1101" s="389"/>
      <c r="J1101" s="389"/>
      <c r="K1101" s="389"/>
      <c r="L1101" s="389"/>
      <c r="M1101" s="389"/>
      <c r="N1101" s="389"/>
      <c r="O1101" s="389"/>
      <c r="P1101" s="389"/>
      <c r="Q1101" s="389"/>
      <c r="R1101" s="389"/>
      <c r="S1101" s="389"/>
      <c r="T1101" s="389"/>
      <c r="U1101" s="389"/>
      <c r="V1101" s="389"/>
      <c r="W1101" s="389"/>
      <c r="X1101" s="389"/>
      <c r="Y1101" s="389"/>
      <c r="Z1101" s="389"/>
      <c r="AA1101" s="389"/>
      <c r="AB1101" s="389"/>
      <c r="AC1101" s="389"/>
      <c r="AD1101" s="389"/>
      <c r="AE1101" s="389"/>
    </row>
    <row r="1102" spans="1:31" ht="15.5" x14ac:dyDescent="0.35">
      <c r="A1102" s="390"/>
      <c r="B1102" s="389"/>
      <c r="C1102" s="389"/>
      <c r="D1102" s="389"/>
      <c r="E1102" s="389"/>
      <c r="F1102" s="389"/>
      <c r="G1102" s="389"/>
      <c r="H1102" s="389"/>
      <c r="I1102" s="389"/>
      <c r="J1102" s="389"/>
      <c r="K1102" s="389"/>
      <c r="L1102" s="389"/>
      <c r="M1102" s="389"/>
      <c r="N1102" s="389"/>
      <c r="O1102" s="389"/>
      <c r="P1102" s="389"/>
      <c r="Q1102" s="389"/>
      <c r="R1102" s="389"/>
      <c r="S1102" s="389"/>
      <c r="T1102" s="389"/>
      <c r="U1102" s="389"/>
      <c r="V1102" s="389"/>
      <c r="W1102" s="389"/>
      <c r="X1102" s="389"/>
      <c r="Y1102" s="389"/>
      <c r="Z1102" s="389"/>
      <c r="AA1102" s="389"/>
      <c r="AB1102" s="389"/>
      <c r="AC1102" s="389"/>
      <c r="AD1102" s="389"/>
      <c r="AE1102" s="389"/>
    </row>
    <row r="1103" spans="1:31" ht="15.5" x14ac:dyDescent="0.35">
      <c r="A1103" s="390"/>
      <c r="B1103" s="389"/>
      <c r="C1103" s="389"/>
      <c r="D1103" s="389"/>
      <c r="E1103" s="389"/>
      <c r="F1103" s="389"/>
      <c r="G1103" s="389"/>
      <c r="H1103" s="389"/>
      <c r="I1103" s="389"/>
      <c r="J1103" s="389"/>
      <c r="K1103" s="389"/>
      <c r="L1103" s="389"/>
      <c r="M1103" s="389"/>
      <c r="N1103" s="389"/>
      <c r="O1103" s="389"/>
      <c r="P1103" s="389"/>
      <c r="Q1103" s="389"/>
      <c r="R1103" s="389"/>
      <c r="S1103" s="389"/>
      <c r="T1103" s="389"/>
      <c r="U1103" s="389"/>
      <c r="V1103" s="389"/>
      <c r="W1103" s="389"/>
      <c r="X1103" s="389"/>
      <c r="Y1103" s="389"/>
      <c r="Z1103" s="389"/>
      <c r="AA1103" s="389"/>
      <c r="AB1103" s="389"/>
      <c r="AC1103" s="389"/>
      <c r="AD1103" s="389"/>
      <c r="AE1103" s="389"/>
    </row>
    <row r="1104" spans="1:31" ht="15.5" x14ac:dyDescent="0.35">
      <c r="A1104" s="390"/>
      <c r="B1104" s="389"/>
      <c r="C1104" s="389"/>
      <c r="D1104" s="389"/>
      <c r="E1104" s="389"/>
      <c r="F1104" s="389"/>
      <c r="G1104" s="389"/>
      <c r="H1104" s="389"/>
      <c r="I1104" s="389"/>
      <c r="J1104" s="389"/>
      <c r="K1104" s="389"/>
      <c r="L1104" s="389"/>
      <c r="M1104" s="389"/>
      <c r="N1104" s="389"/>
      <c r="O1104" s="389"/>
      <c r="P1104" s="389"/>
      <c r="Q1104" s="389"/>
      <c r="R1104" s="389"/>
      <c r="S1104" s="389"/>
      <c r="T1104" s="389"/>
      <c r="U1104" s="389"/>
      <c r="V1104" s="389"/>
      <c r="W1104" s="389"/>
      <c r="X1104" s="389"/>
      <c r="Y1104" s="389"/>
      <c r="Z1104" s="389"/>
      <c r="AA1104" s="389"/>
      <c r="AB1104" s="389"/>
      <c r="AC1104" s="389"/>
      <c r="AD1104" s="389"/>
      <c r="AE1104" s="389"/>
    </row>
    <row r="1105" spans="1:31" ht="15.5" x14ac:dyDescent="0.35">
      <c r="A1105" s="390"/>
      <c r="B1105" s="389"/>
      <c r="C1105" s="389"/>
      <c r="D1105" s="389"/>
      <c r="E1105" s="389"/>
      <c r="F1105" s="389"/>
      <c r="G1105" s="389"/>
      <c r="H1105" s="389"/>
      <c r="I1105" s="389"/>
      <c r="J1105" s="389"/>
      <c r="K1105" s="389"/>
      <c r="L1105" s="389"/>
      <c r="M1105" s="389"/>
      <c r="N1105" s="389"/>
      <c r="O1105" s="389"/>
      <c r="P1105" s="389"/>
      <c r="Q1105" s="389"/>
      <c r="R1105" s="389"/>
      <c r="S1105" s="389"/>
      <c r="T1105" s="389"/>
      <c r="U1105" s="389"/>
      <c r="V1105" s="389"/>
      <c r="W1105" s="389"/>
      <c r="X1105" s="389"/>
      <c r="Y1105" s="389"/>
      <c r="Z1105" s="389"/>
      <c r="AA1105" s="389"/>
      <c r="AB1105" s="389"/>
      <c r="AC1105" s="389"/>
      <c r="AD1105" s="389"/>
      <c r="AE1105" s="389"/>
    </row>
    <row r="1106" spans="1:31" ht="15.5" x14ac:dyDescent="0.35">
      <c r="A1106" s="390"/>
      <c r="B1106" s="389"/>
      <c r="C1106" s="389"/>
      <c r="D1106" s="389"/>
      <c r="E1106" s="389"/>
      <c r="F1106" s="389"/>
      <c r="G1106" s="389"/>
      <c r="H1106" s="389"/>
      <c r="I1106" s="389"/>
      <c r="J1106" s="389"/>
      <c r="K1106" s="389"/>
      <c r="L1106" s="389"/>
      <c r="M1106" s="389"/>
      <c r="N1106" s="389"/>
      <c r="O1106" s="389"/>
      <c r="P1106" s="389"/>
      <c r="Q1106" s="389"/>
      <c r="R1106" s="389"/>
      <c r="S1106" s="389"/>
      <c r="T1106" s="389"/>
      <c r="U1106" s="389"/>
      <c r="V1106" s="389"/>
      <c r="W1106" s="389"/>
      <c r="X1106" s="389"/>
      <c r="Y1106" s="389"/>
      <c r="Z1106" s="389"/>
      <c r="AA1106" s="389"/>
      <c r="AB1106" s="389"/>
      <c r="AC1106" s="389"/>
      <c r="AD1106" s="389"/>
      <c r="AE1106" s="389"/>
    </row>
    <row r="1107" spans="1:31" ht="15.5" x14ac:dyDescent="0.35">
      <c r="A1107" s="390"/>
      <c r="B1107" s="389"/>
      <c r="C1107" s="389"/>
      <c r="D1107" s="389"/>
      <c r="E1107" s="389"/>
      <c r="F1107" s="389"/>
      <c r="G1107" s="389"/>
      <c r="H1107" s="389"/>
      <c r="I1107" s="389"/>
      <c r="J1107" s="389"/>
      <c r="K1107" s="389"/>
      <c r="L1107" s="389"/>
      <c r="M1107" s="389"/>
      <c r="N1107" s="389"/>
      <c r="O1107" s="389"/>
      <c r="P1107" s="389"/>
      <c r="Q1107" s="389"/>
      <c r="R1107" s="389"/>
      <c r="S1107" s="389"/>
      <c r="T1107" s="389"/>
      <c r="U1107" s="389"/>
      <c r="V1107" s="389"/>
      <c r="W1107" s="389"/>
      <c r="X1107" s="389"/>
      <c r="Y1107" s="389"/>
      <c r="Z1107" s="389"/>
      <c r="AA1107" s="389"/>
      <c r="AB1107" s="389"/>
      <c r="AC1107" s="389"/>
      <c r="AD1107" s="389"/>
      <c r="AE1107" s="389"/>
    </row>
    <row r="1108" spans="1:31" ht="15.5" x14ac:dyDescent="0.35">
      <c r="A1108" s="390"/>
      <c r="B1108" s="389"/>
      <c r="C1108" s="389"/>
      <c r="D1108" s="389"/>
      <c r="E1108" s="389"/>
      <c r="F1108" s="389"/>
      <c r="G1108" s="389"/>
      <c r="H1108" s="389"/>
      <c r="I1108" s="389"/>
      <c r="J1108" s="389"/>
      <c r="K1108" s="389"/>
      <c r="L1108" s="389"/>
      <c r="M1108" s="389"/>
      <c r="N1108" s="389"/>
      <c r="O1108" s="389"/>
      <c r="P1108" s="389"/>
      <c r="Q1108" s="389"/>
      <c r="R1108" s="389"/>
      <c r="S1108" s="389"/>
      <c r="T1108" s="389"/>
      <c r="U1108" s="389"/>
      <c r="V1108" s="389"/>
      <c r="W1108" s="389"/>
      <c r="X1108" s="389"/>
      <c r="Y1108" s="389"/>
      <c r="Z1108" s="389"/>
      <c r="AA1108" s="389"/>
      <c r="AB1108" s="389"/>
      <c r="AC1108" s="389"/>
      <c r="AD1108" s="389"/>
      <c r="AE1108" s="389"/>
    </row>
    <row r="1109" spans="1:31" ht="15.5" x14ac:dyDescent="0.35">
      <c r="A1109" s="390"/>
      <c r="B1109" s="389"/>
      <c r="C1109" s="389"/>
      <c r="D1109" s="389"/>
      <c r="E1109" s="389"/>
      <c r="F1109" s="389"/>
      <c r="G1109" s="389"/>
      <c r="H1109" s="389"/>
      <c r="I1109" s="389"/>
      <c r="J1109" s="389"/>
      <c r="K1109" s="389"/>
      <c r="L1109" s="389"/>
      <c r="M1109" s="389"/>
      <c r="N1109" s="389"/>
      <c r="O1109" s="389"/>
      <c r="P1109" s="389"/>
      <c r="Q1109" s="389"/>
      <c r="R1109" s="389"/>
      <c r="S1109" s="389"/>
      <c r="T1109" s="389"/>
      <c r="U1109" s="389"/>
      <c r="V1109" s="389"/>
      <c r="W1109" s="389"/>
      <c r="X1109" s="389"/>
      <c r="Y1109" s="389"/>
      <c r="Z1109" s="389"/>
      <c r="AA1109" s="389"/>
      <c r="AB1109" s="389"/>
      <c r="AC1109" s="389"/>
      <c r="AD1109" s="389"/>
      <c r="AE1109" s="389"/>
    </row>
    <row r="1110" spans="1:31" ht="15.5" x14ac:dyDescent="0.35">
      <c r="A1110" s="390"/>
      <c r="B1110" s="389"/>
      <c r="C1110" s="389"/>
      <c r="D1110" s="389"/>
      <c r="E1110" s="389"/>
      <c r="F1110" s="389"/>
      <c r="G1110" s="389"/>
      <c r="H1110" s="389"/>
      <c r="I1110" s="389"/>
      <c r="J1110" s="389"/>
      <c r="K1110" s="389"/>
      <c r="L1110" s="389"/>
      <c r="M1110" s="389"/>
      <c r="N1110" s="389"/>
      <c r="O1110" s="389"/>
      <c r="P1110" s="389"/>
      <c r="Q1110" s="389"/>
      <c r="R1110" s="389"/>
      <c r="S1110" s="389"/>
      <c r="T1110" s="389"/>
      <c r="U1110" s="389"/>
      <c r="V1110" s="389"/>
      <c r="W1110" s="389"/>
      <c r="X1110" s="389"/>
      <c r="Y1110" s="389"/>
      <c r="Z1110" s="389"/>
      <c r="AA1110" s="389"/>
      <c r="AB1110" s="389"/>
      <c r="AC1110" s="389"/>
      <c r="AD1110" s="389"/>
      <c r="AE1110" s="389"/>
    </row>
    <row r="1111" spans="1:31" ht="15.5" x14ac:dyDescent="0.35">
      <c r="A1111" s="390"/>
      <c r="B1111" s="389"/>
      <c r="C1111" s="389"/>
      <c r="D1111" s="389"/>
      <c r="E1111" s="389"/>
      <c r="F1111" s="389"/>
      <c r="G1111" s="389"/>
      <c r="H1111" s="389"/>
      <c r="I1111" s="389"/>
      <c r="J1111" s="389"/>
      <c r="K1111" s="389"/>
      <c r="L1111" s="389"/>
      <c r="M1111" s="389"/>
      <c r="N1111" s="389"/>
      <c r="O1111" s="389"/>
      <c r="P1111" s="389"/>
      <c r="Q1111" s="389"/>
      <c r="R1111" s="389"/>
      <c r="S1111" s="389"/>
      <c r="T1111" s="389"/>
      <c r="U1111" s="389"/>
      <c r="V1111" s="389"/>
      <c r="W1111" s="389"/>
      <c r="X1111" s="389"/>
      <c r="Y1111" s="389"/>
      <c r="Z1111" s="389"/>
      <c r="AA1111" s="389"/>
      <c r="AB1111" s="389"/>
      <c r="AC1111" s="389"/>
      <c r="AD1111" s="389"/>
      <c r="AE1111" s="389"/>
    </row>
    <row r="1112" spans="1:31" ht="15.5" x14ac:dyDescent="0.35">
      <c r="A1112" s="390"/>
      <c r="B1112" s="389"/>
      <c r="C1112" s="389"/>
      <c r="D1112" s="389"/>
      <c r="E1112" s="389"/>
      <c r="F1112" s="389"/>
      <c r="G1112" s="389"/>
      <c r="H1112" s="389"/>
      <c r="I1112" s="389"/>
      <c r="J1112" s="389"/>
      <c r="K1112" s="389"/>
      <c r="L1112" s="389"/>
      <c r="M1112" s="389"/>
      <c r="N1112" s="389"/>
      <c r="O1112" s="389"/>
      <c r="P1112" s="389"/>
      <c r="Q1112" s="389"/>
      <c r="R1112" s="389"/>
      <c r="S1112" s="389"/>
      <c r="T1112" s="389"/>
      <c r="U1112" s="389"/>
      <c r="V1112" s="389"/>
      <c r="W1112" s="389"/>
      <c r="X1112" s="389"/>
      <c r="Y1112" s="389"/>
      <c r="Z1112" s="389"/>
      <c r="AA1112" s="389"/>
      <c r="AB1112" s="389"/>
      <c r="AC1112" s="389"/>
      <c r="AD1112" s="389"/>
      <c r="AE1112" s="389"/>
    </row>
    <row r="1113" spans="1:31" ht="15.5" x14ac:dyDescent="0.35">
      <c r="A1113" s="390"/>
      <c r="B1113" s="389"/>
      <c r="C1113" s="389"/>
      <c r="D1113" s="389"/>
      <c r="E1113" s="389"/>
      <c r="F1113" s="389"/>
      <c r="G1113" s="389"/>
      <c r="H1113" s="389"/>
      <c r="I1113" s="389"/>
      <c r="J1113" s="389"/>
      <c r="K1113" s="389"/>
      <c r="L1113" s="389"/>
      <c r="M1113" s="389"/>
      <c r="N1113" s="389"/>
      <c r="O1113" s="389"/>
      <c r="P1113" s="389"/>
      <c r="Q1113" s="389"/>
      <c r="R1113" s="389"/>
      <c r="S1113" s="389"/>
      <c r="T1113" s="389"/>
      <c r="U1113" s="389"/>
      <c r="V1113" s="389"/>
      <c r="W1113" s="389"/>
      <c r="X1113" s="389"/>
      <c r="Y1113" s="389"/>
      <c r="Z1113" s="389"/>
      <c r="AA1113" s="389"/>
      <c r="AB1113" s="389"/>
      <c r="AC1113" s="389"/>
      <c r="AD1113" s="389"/>
      <c r="AE1113" s="389"/>
    </row>
    <row r="1114" spans="1:31" ht="15.5" x14ac:dyDescent="0.35">
      <c r="A1114" s="390"/>
      <c r="B1114" s="389"/>
      <c r="C1114" s="389"/>
      <c r="D1114" s="389"/>
      <c r="E1114" s="389"/>
      <c r="F1114" s="389"/>
      <c r="G1114" s="389"/>
      <c r="H1114" s="389"/>
      <c r="I1114" s="389"/>
      <c r="J1114" s="389"/>
      <c r="K1114" s="389"/>
      <c r="L1114" s="389"/>
      <c r="M1114" s="389"/>
      <c r="N1114" s="389"/>
      <c r="O1114" s="389"/>
      <c r="P1114" s="389"/>
      <c r="Q1114" s="389"/>
      <c r="R1114" s="389"/>
      <c r="S1114" s="389"/>
      <c r="T1114" s="389"/>
      <c r="U1114" s="389"/>
      <c r="V1114" s="389"/>
      <c r="W1114" s="389"/>
      <c r="X1114" s="389"/>
      <c r="Y1114" s="389"/>
      <c r="Z1114" s="389"/>
      <c r="AA1114" s="389"/>
      <c r="AB1114" s="389"/>
      <c r="AC1114" s="389"/>
      <c r="AD1114" s="389"/>
      <c r="AE1114" s="389"/>
    </row>
    <row r="1115" spans="1:31" ht="15.5" x14ac:dyDescent="0.35">
      <c r="A1115" s="390"/>
      <c r="B1115" s="389"/>
      <c r="C1115" s="389"/>
      <c r="D1115" s="389"/>
      <c r="E1115" s="389"/>
      <c r="F1115" s="389"/>
      <c r="G1115" s="389"/>
      <c r="H1115" s="389"/>
      <c r="I1115" s="389"/>
      <c r="J1115" s="389"/>
      <c r="K1115" s="389"/>
      <c r="L1115" s="389"/>
      <c r="M1115" s="389"/>
      <c r="N1115" s="389"/>
      <c r="O1115" s="389"/>
      <c r="P1115" s="389"/>
      <c r="Q1115" s="389"/>
      <c r="R1115" s="389"/>
      <c r="S1115" s="389"/>
      <c r="T1115" s="389"/>
      <c r="U1115" s="389"/>
      <c r="V1115" s="389"/>
      <c r="W1115" s="389"/>
      <c r="X1115" s="389"/>
      <c r="Y1115" s="389"/>
      <c r="Z1115" s="389"/>
      <c r="AA1115" s="389"/>
      <c r="AB1115" s="389"/>
      <c r="AC1115" s="389"/>
      <c r="AD1115" s="389"/>
      <c r="AE1115" s="389"/>
    </row>
    <row r="1116" spans="1:31" ht="15.5" x14ac:dyDescent="0.35">
      <c r="A1116" s="390"/>
      <c r="B1116" s="389"/>
      <c r="C1116" s="389"/>
      <c r="D1116" s="389"/>
      <c r="E1116" s="389"/>
      <c r="F1116" s="389"/>
      <c r="G1116" s="389"/>
      <c r="H1116" s="389"/>
      <c r="I1116" s="389"/>
      <c r="J1116" s="389"/>
      <c r="K1116" s="389"/>
      <c r="L1116" s="389"/>
      <c r="M1116" s="389"/>
      <c r="N1116" s="389"/>
      <c r="O1116" s="389"/>
      <c r="P1116" s="389"/>
      <c r="Q1116" s="389"/>
      <c r="R1116" s="389"/>
      <c r="S1116" s="389"/>
      <c r="T1116" s="389"/>
      <c r="U1116" s="389"/>
      <c r="V1116" s="389"/>
      <c r="W1116" s="389"/>
      <c r="X1116" s="389"/>
      <c r="Y1116" s="389"/>
      <c r="Z1116" s="389"/>
      <c r="AA1116" s="389"/>
      <c r="AB1116" s="389"/>
      <c r="AC1116" s="389"/>
      <c r="AD1116" s="389"/>
      <c r="AE1116" s="389"/>
    </row>
    <row r="1117" spans="1:31" ht="15.5" x14ac:dyDescent="0.35">
      <c r="A1117" s="390"/>
      <c r="B1117" s="389"/>
      <c r="C1117" s="389"/>
      <c r="D1117" s="389"/>
      <c r="E1117" s="389"/>
      <c r="F1117" s="389"/>
      <c r="G1117" s="389"/>
      <c r="H1117" s="389"/>
      <c r="I1117" s="389"/>
      <c r="J1117" s="389"/>
      <c r="K1117" s="389"/>
      <c r="L1117" s="389"/>
      <c r="M1117" s="389"/>
      <c r="N1117" s="389"/>
      <c r="O1117" s="389"/>
      <c r="P1117" s="389"/>
      <c r="Q1117" s="389"/>
      <c r="R1117" s="389"/>
      <c r="S1117" s="389"/>
      <c r="T1117" s="389"/>
      <c r="U1117" s="389"/>
      <c r="V1117" s="389"/>
      <c r="W1117" s="389"/>
      <c r="X1117" s="389"/>
      <c r="Y1117" s="389"/>
      <c r="Z1117" s="389"/>
      <c r="AA1117" s="389"/>
      <c r="AB1117" s="389"/>
      <c r="AC1117" s="389"/>
      <c r="AD1117" s="389"/>
      <c r="AE1117" s="389"/>
    </row>
    <row r="1118" spans="1:31" ht="15.5" x14ac:dyDescent="0.35">
      <c r="A1118" s="390"/>
      <c r="B1118" s="389"/>
      <c r="C1118" s="389"/>
      <c r="D1118" s="389"/>
      <c r="E1118" s="389"/>
      <c r="F1118" s="389"/>
      <c r="G1118" s="389"/>
      <c r="H1118" s="389"/>
      <c r="I1118" s="389"/>
      <c r="J1118" s="389"/>
      <c r="K1118" s="389"/>
      <c r="L1118" s="389"/>
      <c r="M1118" s="389"/>
      <c r="N1118" s="389"/>
      <c r="O1118" s="389"/>
      <c r="P1118" s="389"/>
      <c r="Q1118" s="389"/>
      <c r="R1118" s="389"/>
      <c r="S1118" s="389"/>
      <c r="T1118" s="389"/>
      <c r="U1118" s="389"/>
      <c r="V1118" s="389"/>
      <c r="W1118" s="389"/>
      <c r="X1118" s="389"/>
      <c r="Y1118" s="389"/>
      <c r="Z1118" s="389"/>
      <c r="AA1118" s="389"/>
      <c r="AB1118" s="389"/>
      <c r="AC1118" s="389"/>
      <c r="AD1118" s="389"/>
      <c r="AE1118" s="389"/>
    </row>
    <row r="1119" spans="1:31" ht="15.5" x14ac:dyDescent="0.35">
      <c r="A1119" s="390"/>
      <c r="B1119" s="389"/>
      <c r="C1119" s="389"/>
      <c r="D1119" s="389"/>
      <c r="E1119" s="389"/>
      <c r="F1119" s="389"/>
      <c r="G1119" s="389"/>
      <c r="H1119" s="389"/>
      <c r="I1119" s="389"/>
      <c r="J1119" s="389"/>
      <c r="K1119" s="389"/>
      <c r="L1119" s="389"/>
      <c r="M1119" s="389"/>
      <c r="N1119" s="389"/>
      <c r="O1119" s="389"/>
      <c r="P1119" s="389"/>
      <c r="Q1119" s="389"/>
      <c r="R1119" s="389"/>
      <c r="S1119" s="389"/>
      <c r="T1119" s="389"/>
      <c r="U1119" s="389"/>
      <c r="V1119" s="389"/>
      <c r="W1119" s="389"/>
      <c r="X1119" s="389"/>
      <c r="Y1119" s="389"/>
      <c r="Z1119" s="389"/>
      <c r="AA1119" s="389"/>
      <c r="AB1119" s="389"/>
      <c r="AC1119" s="389"/>
      <c r="AD1119" s="389"/>
      <c r="AE1119" s="389"/>
    </row>
    <row r="1120" spans="1:31" ht="15.5" x14ac:dyDescent="0.35">
      <c r="A1120" s="390"/>
      <c r="B1120" s="389"/>
      <c r="C1120" s="389"/>
      <c r="D1120" s="389"/>
      <c r="E1120" s="389"/>
      <c r="F1120" s="389"/>
      <c r="G1120" s="389"/>
      <c r="H1120" s="389"/>
      <c r="I1120" s="389"/>
      <c r="J1120" s="389"/>
      <c r="K1120" s="389"/>
      <c r="L1120" s="389"/>
      <c r="M1120" s="389"/>
      <c r="N1120" s="389"/>
      <c r="O1120" s="389"/>
      <c r="P1120" s="389"/>
      <c r="Q1120" s="389"/>
      <c r="R1120" s="389"/>
      <c r="S1120" s="389"/>
      <c r="T1120" s="389"/>
      <c r="U1120" s="389"/>
      <c r="V1120" s="389"/>
      <c r="W1120" s="389"/>
      <c r="X1120" s="389"/>
      <c r="Y1120" s="389"/>
      <c r="Z1120" s="389"/>
      <c r="AA1120" s="389"/>
      <c r="AB1120" s="389"/>
      <c r="AC1120" s="389"/>
      <c r="AD1120" s="389"/>
      <c r="AE1120" s="389"/>
    </row>
    <row r="1121" spans="1:31" ht="15.5" x14ac:dyDescent="0.35">
      <c r="A1121" s="390"/>
      <c r="B1121" s="389"/>
      <c r="C1121" s="389"/>
      <c r="D1121" s="389"/>
      <c r="E1121" s="389"/>
      <c r="F1121" s="389"/>
      <c r="G1121" s="389"/>
      <c r="H1121" s="389"/>
      <c r="I1121" s="389"/>
      <c r="J1121" s="389"/>
      <c r="K1121" s="389"/>
      <c r="L1121" s="389"/>
      <c r="M1121" s="389"/>
      <c r="N1121" s="389"/>
      <c r="O1121" s="389"/>
      <c r="P1121" s="389"/>
      <c r="Q1121" s="389"/>
      <c r="R1121" s="389"/>
      <c r="S1121" s="389"/>
      <c r="T1121" s="389"/>
      <c r="U1121" s="389"/>
      <c r="V1121" s="389"/>
      <c r="W1121" s="389"/>
      <c r="X1121" s="389"/>
      <c r="Y1121" s="389"/>
      <c r="Z1121" s="389"/>
      <c r="AA1121" s="389"/>
      <c r="AB1121" s="389"/>
      <c r="AC1121" s="389"/>
      <c r="AD1121" s="389"/>
      <c r="AE1121" s="389"/>
    </row>
    <row r="1122" spans="1:31" ht="15.5" x14ac:dyDescent="0.35">
      <c r="A1122" s="390"/>
      <c r="B1122" s="389"/>
      <c r="C1122" s="389"/>
      <c r="D1122" s="389"/>
      <c r="E1122" s="389"/>
      <c r="F1122" s="389"/>
      <c r="G1122" s="389"/>
      <c r="H1122" s="389"/>
      <c r="I1122" s="389"/>
      <c r="J1122" s="389"/>
      <c r="K1122" s="389"/>
      <c r="L1122" s="389"/>
      <c r="M1122" s="389"/>
      <c r="N1122" s="389"/>
      <c r="O1122" s="389"/>
      <c r="P1122" s="389"/>
      <c r="Q1122" s="389"/>
      <c r="R1122" s="389"/>
      <c r="S1122" s="389"/>
      <c r="T1122" s="389"/>
      <c r="U1122" s="389"/>
      <c r="V1122" s="389"/>
      <c r="W1122" s="389"/>
      <c r="X1122" s="389"/>
      <c r="Y1122" s="389"/>
      <c r="Z1122" s="389"/>
      <c r="AA1122" s="389"/>
      <c r="AB1122" s="389"/>
      <c r="AC1122" s="389"/>
      <c r="AD1122" s="389"/>
      <c r="AE1122" s="389"/>
    </row>
    <row r="1123" spans="1:31" ht="15.5" x14ac:dyDescent="0.35">
      <c r="A1123" s="390"/>
      <c r="B1123" s="389"/>
      <c r="C1123" s="389"/>
      <c r="D1123" s="389"/>
      <c r="E1123" s="389"/>
      <c r="F1123" s="389"/>
      <c r="G1123" s="389"/>
      <c r="H1123" s="389"/>
      <c r="I1123" s="389"/>
      <c r="J1123" s="389"/>
      <c r="K1123" s="389"/>
      <c r="L1123" s="389"/>
      <c r="M1123" s="389"/>
      <c r="N1123" s="389"/>
      <c r="O1123" s="389"/>
      <c r="P1123" s="389"/>
      <c r="Q1123" s="389"/>
      <c r="R1123" s="389"/>
      <c r="S1123" s="389"/>
      <c r="T1123" s="389"/>
      <c r="U1123" s="389"/>
      <c r="V1123" s="389"/>
      <c r="W1123" s="389"/>
      <c r="X1123" s="389"/>
      <c r="Y1123" s="389"/>
      <c r="Z1123" s="389"/>
      <c r="AA1123" s="389"/>
      <c r="AB1123" s="389"/>
      <c r="AC1123" s="389"/>
      <c r="AD1123" s="389"/>
      <c r="AE1123" s="389"/>
    </row>
    <row r="1124" spans="1:31" ht="15.5" x14ac:dyDescent="0.35">
      <c r="A1124" s="390"/>
      <c r="B1124" s="389"/>
      <c r="C1124" s="389"/>
      <c r="D1124" s="389"/>
      <c r="E1124" s="389"/>
      <c r="F1124" s="389"/>
      <c r="G1124" s="389"/>
      <c r="H1124" s="389"/>
      <c r="I1124" s="389"/>
      <c r="J1124" s="389"/>
      <c r="K1124" s="389"/>
      <c r="L1124" s="389"/>
      <c r="M1124" s="389"/>
      <c r="N1124" s="389"/>
      <c r="O1124" s="389"/>
      <c r="P1124" s="389"/>
      <c r="Q1124" s="389"/>
      <c r="R1124" s="389"/>
      <c r="S1124" s="389"/>
      <c r="T1124" s="389"/>
      <c r="U1124" s="389"/>
      <c r="V1124" s="389"/>
      <c r="W1124" s="389"/>
      <c r="X1124" s="389"/>
      <c r="Y1124" s="389"/>
      <c r="Z1124" s="389"/>
      <c r="AA1124" s="389"/>
      <c r="AB1124" s="389"/>
      <c r="AC1124" s="389"/>
      <c r="AD1124" s="389"/>
      <c r="AE1124" s="389"/>
    </row>
    <row r="1125" spans="1:31" ht="15.5" x14ac:dyDescent="0.35">
      <c r="A1125" s="390"/>
      <c r="B1125" s="389"/>
      <c r="C1125" s="389"/>
      <c r="D1125" s="389"/>
      <c r="E1125" s="389"/>
      <c r="F1125" s="389"/>
      <c r="G1125" s="389"/>
      <c r="H1125" s="389"/>
      <c r="I1125" s="389"/>
      <c r="J1125" s="389"/>
      <c r="K1125" s="389"/>
      <c r="L1125" s="389"/>
      <c r="M1125" s="389"/>
      <c r="N1125" s="389"/>
      <c r="O1125" s="389"/>
      <c r="P1125" s="389"/>
      <c r="Q1125" s="389"/>
      <c r="R1125" s="389"/>
      <c r="S1125" s="389"/>
      <c r="T1125" s="389"/>
      <c r="U1125" s="389"/>
      <c r="V1125" s="389"/>
      <c r="W1125" s="389"/>
      <c r="X1125" s="389"/>
      <c r="Y1125" s="389"/>
      <c r="Z1125" s="389"/>
      <c r="AA1125" s="389"/>
      <c r="AB1125" s="389"/>
      <c r="AC1125" s="389"/>
      <c r="AD1125" s="389"/>
      <c r="AE1125" s="389"/>
    </row>
    <row r="1126" spans="1:31" ht="15.5" x14ac:dyDescent="0.35">
      <c r="A1126" s="390"/>
      <c r="B1126" s="389"/>
      <c r="C1126" s="389"/>
      <c r="D1126" s="389"/>
      <c r="E1126" s="389"/>
      <c r="F1126" s="389"/>
      <c r="G1126" s="389"/>
      <c r="H1126" s="389"/>
      <c r="I1126" s="389"/>
      <c r="J1126" s="389"/>
      <c r="K1126" s="389"/>
      <c r="L1126" s="389"/>
      <c r="M1126" s="389"/>
      <c r="N1126" s="389"/>
      <c r="O1126" s="389"/>
      <c r="P1126" s="389"/>
      <c r="Q1126" s="389"/>
      <c r="R1126" s="389"/>
      <c r="S1126" s="389"/>
      <c r="T1126" s="389"/>
      <c r="U1126" s="389"/>
      <c r="V1126" s="389"/>
      <c r="W1126" s="389"/>
      <c r="X1126" s="389"/>
      <c r="Y1126" s="389"/>
      <c r="Z1126" s="389"/>
      <c r="AA1126" s="389"/>
      <c r="AB1126" s="389"/>
      <c r="AC1126" s="389"/>
      <c r="AD1126" s="389"/>
      <c r="AE1126" s="389"/>
    </row>
    <row r="1127" spans="1:31" ht="15.5" x14ac:dyDescent="0.35">
      <c r="A1127" s="390"/>
      <c r="B1127" s="389"/>
      <c r="C1127" s="389"/>
      <c r="D1127" s="389"/>
      <c r="E1127" s="389"/>
      <c r="F1127" s="389"/>
      <c r="G1127" s="389"/>
      <c r="H1127" s="389"/>
      <c r="I1127" s="389"/>
      <c r="J1127" s="389"/>
      <c r="K1127" s="389"/>
      <c r="L1127" s="389"/>
      <c r="M1127" s="389"/>
      <c r="N1127" s="389"/>
      <c r="O1127" s="389"/>
      <c r="P1127" s="389"/>
      <c r="Q1127" s="389"/>
      <c r="R1127" s="389"/>
      <c r="S1127" s="389"/>
      <c r="T1127" s="389"/>
      <c r="U1127" s="389"/>
      <c r="V1127" s="389"/>
      <c r="W1127" s="389"/>
      <c r="X1127" s="389"/>
      <c r="Y1127" s="389"/>
      <c r="Z1127" s="389"/>
      <c r="AA1127" s="389"/>
      <c r="AB1127" s="389"/>
      <c r="AC1127" s="389"/>
      <c r="AD1127" s="389"/>
      <c r="AE1127" s="389"/>
    </row>
    <row r="1128" spans="1:31" ht="15.5" x14ac:dyDescent="0.35">
      <c r="A1128" s="390"/>
      <c r="B1128" s="389"/>
      <c r="C1128" s="389"/>
      <c r="D1128" s="389"/>
      <c r="E1128" s="389"/>
      <c r="F1128" s="389"/>
      <c r="G1128" s="389"/>
      <c r="H1128" s="389"/>
      <c r="I1128" s="389"/>
      <c r="J1128" s="389"/>
      <c r="K1128" s="389"/>
      <c r="L1128" s="389"/>
      <c r="M1128" s="389"/>
      <c r="N1128" s="389"/>
      <c r="O1128" s="389"/>
      <c r="P1128" s="389"/>
      <c r="Q1128" s="389"/>
      <c r="R1128" s="389"/>
      <c r="S1128" s="389"/>
      <c r="T1128" s="389"/>
      <c r="U1128" s="389"/>
      <c r="V1128" s="389"/>
      <c r="W1128" s="389"/>
      <c r="X1128" s="389"/>
      <c r="Y1128" s="389"/>
      <c r="Z1128" s="389"/>
      <c r="AA1128" s="389"/>
      <c r="AB1128" s="389"/>
      <c r="AC1128" s="389"/>
      <c r="AD1128" s="389"/>
      <c r="AE1128" s="389"/>
    </row>
    <row r="1129" spans="1:31" ht="15.5" x14ac:dyDescent="0.35">
      <c r="A1129" s="390"/>
      <c r="B1129" s="389"/>
      <c r="C1129" s="389"/>
      <c r="D1129" s="389"/>
      <c r="E1129" s="389"/>
      <c r="F1129" s="389"/>
      <c r="G1129" s="389"/>
      <c r="H1129" s="389"/>
      <c r="I1129" s="389"/>
      <c r="J1129" s="389"/>
      <c r="K1129" s="389"/>
      <c r="L1129" s="389"/>
      <c r="M1129" s="389"/>
      <c r="N1129" s="389"/>
      <c r="O1129" s="389"/>
      <c r="P1129" s="389"/>
      <c r="Q1129" s="389"/>
      <c r="R1129" s="389"/>
      <c r="S1129" s="389"/>
      <c r="T1129" s="389"/>
      <c r="U1129" s="389"/>
      <c r="V1129" s="389"/>
      <c r="W1129" s="389"/>
      <c r="X1129" s="389"/>
      <c r="Y1129" s="389"/>
      <c r="Z1129" s="389"/>
      <c r="AA1129" s="389"/>
      <c r="AB1129" s="389"/>
      <c r="AC1129" s="389"/>
      <c r="AD1129" s="389"/>
      <c r="AE1129" s="389"/>
    </row>
    <row r="1130" spans="1:31" ht="15.5" x14ac:dyDescent="0.35">
      <c r="A1130" s="390"/>
      <c r="B1130" s="389"/>
      <c r="C1130" s="389"/>
      <c r="D1130" s="389"/>
      <c r="E1130" s="389"/>
      <c r="F1130" s="389"/>
      <c r="G1130" s="389"/>
      <c r="H1130" s="389"/>
      <c r="I1130" s="389"/>
      <c r="J1130" s="389"/>
      <c r="K1130" s="389"/>
      <c r="L1130" s="389"/>
      <c r="M1130" s="389"/>
      <c r="N1130" s="389"/>
      <c r="O1130" s="389"/>
      <c r="P1130" s="389"/>
      <c r="Q1130" s="389"/>
      <c r="R1130" s="389"/>
      <c r="S1130" s="389"/>
      <c r="T1130" s="389"/>
      <c r="U1130" s="389"/>
      <c r="V1130" s="389"/>
      <c r="W1130" s="389"/>
      <c r="X1130" s="389"/>
      <c r="Y1130" s="389"/>
      <c r="Z1130" s="389"/>
      <c r="AA1130" s="389"/>
      <c r="AB1130" s="389"/>
      <c r="AC1130" s="389"/>
      <c r="AD1130" s="389"/>
      <c r="AE1130" s="389"/>
    </row>
    <row r="1131" spans="1:31" ht="15.5" x14ac:dyDescent="0.35">
      <c r="A1131" s="390"/>
      <c r="B1131" s="389"/>
      <c r="C1131" s="389"/>
      <c r="D1131" s="389"/>
      <c r="E1131" s="389"/>
      <c r="F1131" s="389"/>
      <c r="G1131" s="389"/>
      <c r="H1131" s="389"/>
      <c r="I1131" s="389"/>
      <c r="J1131" s="389"/>
      <c r="K1131" s="389"/>
      <c r="L1131" s="389"/>
      <c r="M1131" s="389"/>
      <c r="N1131" s="389"/>
      <c r="O1131" s="389"/>
      <c r="P1131" s="389"/>
      <c r="Q1131" s="389"/>
      <c r="R1131" s="389"/>
      <c r="S1131" s="389"/>
      <c r="T1131" s="389"/>
      <c r="U1131" s="389"/>
      <c r="V1131" s="389"/>
      <c r="W1131" s="389"/>
      <c r="X1131" s="389"/>
      <c r="Y1131" s="389"/>
      <c r="Z1131" s="389"/>
      <c r="AA1131" s="389"/>
      <c r="AB1131" s="389"/>
      <c r="AC1131" s="389"/>
      <c r="AD1131" s="389"/>
      <c r="AE1131" s="389"/>
    </row>
    <row r="1132" spans="1:31" ht="15.5" x14ac:dyDescent="0.35">
      <c r="A1132" s="390"/>
      <c r="B1132" s="389"/>
      <c r="C1132" s="389"/>
      <c r="D1132" s="389"/>
      <c r="E1132" s="389"/>
      <c r="F1132" s="389"/>
      <c r="G1132" s="389"/>
      <c r="H1132" s="389"/>
      <c r="I1132" s="389"/>
      <c r="J1132" s="389"/>
      <c r="K1132" s="389"/>
      <c r="L1132" s="389"/>
      <c r="M1132" s="389"/>
      <c r="N1132" s="389"/>
      <c r="O1132" s="389"/>
      <c r="P1132" s="389"/>
      <c r="Q1132" s="389"/>
      <c r="R1132" s="389"/>
      <c r="S1132" s="389"/>
      <c r="T1132" s="389"/>
      <c r="U1132" s="389"/>
      <c r="V1132" s="389"/>
      <c r="W1132" s="389"/>
      <c r="X1132" s="389"/>
      <c r="Y1132" s="389"/>
      <c r="Z1132" s="389"/>
      <c r="AA1132" s="389"/>
      <c r="AB1132" s="389"/>
      <c r="AC1132" s="389"/>
      <c r="AD1132" s="389"/>
      <c r="AE1132" s="389"/>
    </row>
    <row r="1133" spans="1:31" ht="15.5" x14ac:dyDescent="0.35">
      <c r="A1133" s="390"/>
      <c r="B1133" s="389"/>
      <c r="C1133" s="389"/>
      <c r="D1133" s="389"/>
      <c r="E1133" s="389"/>
      <c r="F1133" s="389"/>
      <c r="G1133" s="389"/>
      <c r="H1133" s="389"/>
      <c r="I1133" s="389"/>
      <c r="J1133" s="389"/>
      <c r="K1133" s="389"/>
      <c r="L1133" s="389"/>
      <c r="M1133" s="389"/>
      <c r="N1133" s="389"/>
      <c r="O1133" s="389"/>
      <c r="P1133" s="389"/>
      <c r="Q1133" s="389"/>
      <c r="R1133" s="389"/>
      <c r="S1133" s="389"/>
      <c r="T1133" s="389"/>
      <c r="U1133" s="389"/>
      <c r="V1133" s="389"/>
      <c r="W1133" s="389"/>
      <c r="X1133" s="389"/>
      <c r="Y1133" s="389"/>
      <c r="Z1133" s="389"/>
      <c r="AA1133" s="389"/>
      <c r="AB1133" s="389"/>
      <c r="AC1133" s="389"/>
      <c r="AD1133" s="389"/>
      <c r="AE1133" s="389"/>
    </row>
    <row r="1134" spans="1:31" ht="15.5" x14ac:dyDescent="0.35">
      <c r="A1134" s="390"/>
      <c r="B1134" s="389"/>
      <c r="C1134" s="389"/>
      <c r="D1134" s="389"/>
      <c r="E1134" s="389"/>
      <c r="F1134" s="389"/>
      <c r="G1134" s="389"/>
      <c r="H1134" s="389"/>
      <c r="I1134" s="389"/>
      <c r="J1134" s="389"/>
      <c r="K1134" s="389"/>
      <c r="L1134" s="389"/>
      <c r="M1134" s="389"/>
      <c r="N1134" s="389"/>
      <c r="O1134" s="389"/>
      <c r="P1134" s="389"/>
      <c r="Q1134" s="389"/>
      <c r="R1134" s="389"/>
      <c r="S1134" s="389"/>
      <c r="T1134" s="389"/>
      <c r="U1134" s="389"/>
      <c r="V1134" s="389"/>
      <c r="W1134" s="389"/>
      <c r="X1134" s="389"/>
      <c r="Y1134" s="389"/>
      <c r="Z1134" s="389"/>
      <c r="AA1134" s="389"/>
      <c r="AB1134" s="389"/>
      <c r="AC1134" s="389"/>
      <c r="AD1134" s="389"/>
      <c r="AE1134" s="389"/>
    </row>
    <row r="1135" spans="1:31" ht="15.5" x14ac:dyDescent="0.35">
      <c r="A1135" s="390"/>
      <c r="B1135" s="389"/>
      <c r="C1135" s="389"/>
      <c r="D1135" s="389"/>
      <c r="E1135" s="389"/>
      <c r="F1135" s="389"/>
      <c r="G1135" s="389"/>
      <c r="H1135" s="389"/>
      <c r="I1135" s="389"/>
      <c r="J1135" s="389"/>
      <c r="K1135" s="389"/>
      <c r="L1135" s="389"/>
      <c r="M1135" s="389"/>
      <c r="N1135" s="389"/>
      <c r="O1135" s="389"/>
      <c r="P1135" s="389"/>
      <c r="Q1135" s="389"/>
      <c r="R1135" s="389"/>
      <c r="S1135" s="389"/>
      <c r="T1135" s="389"/>
      <c r="U1135" s="389"/>
      <c r="V1135" s="389"/>
      <c r="W1135" s="389"/>
      <c r="X1135" s="389"/>
      <c r="Y1135" s="389"/>
      <c r="Z1135" s="389"/>
      <c r="AA1135" s="389"/>
      <c r="AB1135" s="389"/>
      <c r="AC1135" s="389"/>
      <c r="AD1135" s="389"/>
      <c r="AE1135" s="389"/>
    </row>
    <row r="1136" spans="1:31" ht="15.5" x14ac:dyDescent="0.35">
      <c r="A1136" s="390"/>
      <c r="B1136" s="389"/>
      <c r="C1136" s="389"/>
      <c r="D1136" s="389"/>
      <c r="E1136" s="389"/>
      <c r="F1136" s="389"/>
      <c r="G1136" s="389"/>
      <c r="H1136" s="389"/>
      <c r="I1136" s="389"/>
      <c r="J1136" s="389"/>
      <c r="K1136" s="389"/>
      <c r="L1136" s="389"/>
      <c r="M1136" s="389"/>
      <c r="N1136" s="389"/>
      <c r="O1136" s="389"/>
      <c r="P1136" s="389"/>
      <c r="Q1136" s="389"/>
      <c r="R1136" s="389"/>
      <c r="S1136" s="389"/>
      <c r="T1136" s="389"/>
      <c r="U1136" s="389"/>
      <c r="V1136" s="389"/>
      <c r="W1136" s="389"/>
      <c r="X1136" s="389"/>
      <c r="Y1136" s="389"/>
      <c r="Z1136" s="389"/>
      <c r="AA1136" s="389"/>
      <c r="AB1136" s="389"/>
      <c r="AC1136" s="389"/>
      <c r="AD1136" s="389"/>
      <c r="AE1136" s="389"/>
    </row>
    <row r="1137" spans="1:31" ht="15.5" x14ac:dyDescent="0.35">
      <c r="A1137" s="390"/>
      <c r="B1137" s="389"/>
      <c r="C1137" s="389"/>
      <c r="D1137" s="389"/>
      <c r="E1137" s="389"/>
      <c r="F1137" s="389"/>
      <c r="G1137" s="389"/>
      <c r="H1137" s="389"/>
      <c r="I1137" s="389"/>
      <c r="J1137" s="389"/>
      <c r="K1137" s="389"/>
      <c r="L1137" s="389"/>
      <c r="M1137" s="389"/>
      <c r="N1137" s="389"/>
      <c r="O1137" s="389"/>
      <c r="P1137" s="389"/>
      <c r="Q1137" s="389"/>
      <c r="R1137" s="389"/>
      <c r="S1137" s="389"/>
      <c r="T1137" s="389"/>
      <c r="U1137" s="389"/>
      <c r="V1137" s="389"/>
      <c r="W1137" s="389"/>
      <c r="X1137" s="389"/>
      <c r="Y1137" s="389"/>
      <c r="Z1137" s="389"/>
      <c r="AA1137" s="389"/>
      <c r="AB1137" s="389"/>
      <c r="AC1137" s="389"/>
      <c r="AD1137" s="389"/>
      <c r="AE1137" s="389"/>
    </row>
    <row r="1138" spans="1:31" ht="15.5" x14ac:dyDescent="0.35">
      <c r="A1138" s="390"/>
      <c r="B1138" s="389"/>
      <c r="C1138" s="389"/>
      <c r="D1138" s="389"/>
      <c r="E1138" s="389"/>
      <c r="F1138" s="389"/>
      <c r="G1138" s="389"/>
      <c r="H1138" s="389"/>
      <c r="I1138" s="389"/>
      <c r="J1138" s="389"/>
      <c r="K1138" s="389"/>
      <c r="L1138" s="389"/>
      <c r="M1138" s="389"/>
      <c r="N1138" s="389"/>
      <c r="O1138" s="389"/>
      <c r="P1138" s="389"/>
      <c r="Q1138" s="389"/>
      <c r="R1138" s="389"/>
      <c r="S1138" s="389"/>
      <c r="T1138" s="389"/>
      <c r="U1138" s="389"/>
      <c r="V1138" s="389"/>
      <c r="W1138" s="389"/>
      <c r="X1138" s="389"/>
      <c r="Y1138" s="389"/>
      <c r="Z1138" s="389"/>
      <c r="AA1138" s="389"/>
      <c r="AB1138" s="389"/>
      <c r="AC1138" s="389"/>
      <c r="AD1138" s="389"/>
      <c r="AE1138" s="389"/>
    </row>
    <row r="1139" spans="1:31" ht="15.5" x14ac:dyDescent="0.35">
      <c r="A1139" s="390"/>
      <c r="B1139" s="389"/>
      <c r="C1139" s="389"/>
      <c r="D1139" s="389"/>
      <c r="E1139" s="389"/>
      <c r="F1139" s="389"/>
      <c r="G1139" s="389"/>
      <c r="H1139" s="389"/>
      <c r="I1139" s="389"/>
      <c r="J1139" s="389"/>
      <c r="K1139" s="389"/>
      <c r="L1139" s="389"/>
      <c r="M1139" s="389"/>
      <c r="N1139" s="389"/>
      <c r="O1139" s="389"/>
      <c r="P1139" s="389"/>
      <c r="Q1139" s="389"/>
      <c r="R1139" s="389"/>
      <c r="S1139" s="389"/>
      <c r="T1139" s="389"/>
      <c r="U1139" s="389"/>
      <c r="V1139" s="389"/>
      <c r="W1139" s="389"/>
      <c r="X1139" s="389"/>
      <c r="Y1139" s="389"/>
      <c r="Z1139" s="389"/>
      <c r="AA1139" s="389"/>
      <c r="AB1139" s="389"/>
      <c r="AC1139" s="389"/>
      <c r="AD1139" s="389"/>
      <c r="AE1139" s="389"/>
    </row>
    <row r="1140" spans="1:31" ht="15.5" x14ac:dyDescent="0.35">
      <c r="A1140" s="390"/>
      <c r="B1140" s="389"/>
      <c r="C1140" s="389"/>
      <c r="D1140" s="389"/>
      <c r="E1140" s="389"/>
      <c r="F1140" s="389"/>
      <c r="G1140" s="389"/>
      <c r="H1140" s="389"/>
      <c r="I1140" s="389"/>
      <c r="J1140" s="389"/>
      <c r="K1140" s="389"/>
      <c r="L1140" s="389"/>
      <c r="M1140" s="389"/>
      <c r="N1140" s="389"/>
      <c r="O1140" s="389"/>
      <c r="P1140" s="389"/>
      <c r="Q1140" s="389"/>
      <c r="R1140" s="389"/>
      <c r="S1140" s="389"/>
      <c r="T1140" s="389"/>
      <c r="U1140" s="389"/>
      <c r="V1140" s="389"/>
      <c r="W1140" s="389"/>
      <c r="X1140" s="389"/>
      <c r="Y1140" s="389"/>
      <c r="Z1140" s="389"/>
      <c r="AA1140" s="389"/>
      <c r="AB1140" s="389"/>
      <c r="AC1140" s="389"/>
      <c r="AD1140" s="389"/>
      <c r="AE1140" s="389"/>
    </row>
    <row r="1141" spans="1:31" ht="15.5" x14ac:dyDescent="0.35">
      <c r="A1141" s="390"/>
      <c r="B1141" s="389"/>
      <c r="C1141" s="389"/>
      <c r="D1141" s="389"/>
      <c r="E1141" s="389"/>
      <c r="F1141" s="389"/>
      <c r="G1141" s="389"/>
      <c r="H1141" s="389"/>
      <c r="I1141" s="389"/>
      <c r="J1141" s="389"/>
      <c r="K1141" s="389"/>
      <c r="L1141" s="389"/>
      <c r="M1141" s="389"/>
      <c r="N1141" s="389"/>
      <c r="O1141" s="389"/>
      <c r="P1141" s="389"/>
      <c r="Q1141" s="389"/>
      <c r="R1141" s="389"/>
      <c r="S1141" s="389"/>
      <c r="T1141" s="389"/>
      <c r="U1141" s="389"/>
      <c r="V1141" s="389"/>
      <c r="W1141" s="389"/>
      <c r="X1141" s="389"/>
      <c r="Y1141" s="389"/>
      <c r="Z1141" s="389"/>
      <c r="AA1141" s="389"/>
      <c r="AB1141" s="389"/>
      <c r="AC1141" s="389"/>
      <c r="AD1141" s="389"/>
      <c r="AE1141" s="389"/>
    </row>
    <row r="1142" spans="1:31" ht="15.5" x14ac:dyDescent="0.35">
      <c r="A1142" s="390"/>
      <c r="B1142" s="389"/>
      <c r="C1142" s="389"/>
      <c r="D1142" s="389"/>
      <c r="E1142" s="389"/>
      <c r="F1142" s="389"/>
      <c r="G1142" s="389"/>
      <c r="H1142" s="389"/>
      <c r="I1142" s="389"/>
      <c r="J1142" s="389"/>
      <c r="K1142" s="389"/>
      <c r="L1142" s="389"/>
      <c r="M1142" s="389"/>
      <c r="N1142" s="389"/>
      <c r="O1142" s="389"/>
      <c r="P1142" s="389"/>
      <c r="Q1142" s="389"/>
      <c r="R1142" s="389"/>
      <c r="S1142" s="389"/>
      <c r="T1142" s="389"/>
      <c r="U1142" s="389"/>
      <c r="V1142" s="389"/>
      <c r="W1142" s="389"/>
      <c r="X1142" s="389"/>
      <c r="Y1142" s="389"/>
      <c r="Z1142" s="389"/>
      <c r="AA1142" s="389"/>
      <c r="AB1142" s="389"/>
      <c r="AC1142" s="389"/>
      <c r="AD1142" s="389"/>
      <c r="AE1142" s="389"/>
    </row>
    <row r="1143" spans="1:31" ht="15.5" x14ac:dyDescent="0.35">
      <c r="A1143" s="390"/>
      <c r="B1143" s="389"/>
      <c r="C1143" s="389"/>
      <c r="D1143" s="389"/>
      <c r="E1143" s="389"/>
      <c r="F1143" s="389"/>
      <c r="G1143" s="389"/>
      <c r="H1143" s="389"/>
      <c r="I1143" s="389"/>
      <c r="J1143" s="389"/>
      <c r="K1143" s="389"/>
      <c r="L1143" s="389"/>
      <c r="M1143" s="389"/>
      <c r="N1143" s="389"/>
      <c r="O1143" s="389"/>
      <c r="P1143" s="389"/>
      <c r="Q1143" s="389"/>
      <c r="R1143" s="389"/>
      <c r="S1143" s="389"/>
      <c r="T1143" s="389"/>
      <c r="U1143" s="389"/>
      <c r="V1143" s="389"/>
      <c r="W1143" s="389"/>
      <c r="X1143" s="389"/>
      <c r="Y1143" s="389"/>
      <c r="Z1143" s="389"/>
      <c r="AA1143" s="389"/>
      <c r="AB1143" s="389"/>
      <c r="AC1143" s="389"/>
      <c r="AD1143" s="389"/>
      <c r="AE1143" s="389"/>
    </row>
    <row r="1144" spans="1:31" ht="15.5" x14ac:dyDescent="0.35">
      <c r="A1144" s="390"/>
      <c r="B1144" s="389"/>
      <c r="C1144" s="389"/>
      <c r="D1144" s="389"/>
      <c r="E1144" s="389"/>
      <c r="F1144" s="389"/>
      <c r="G1144" s="389"/>
      <c r="H1144" s="389"/>
      <c r="I1144" s="389"/>
      <c r="J1144" s="389"/>
      <c r="K1144" s="389"/>
      <c r="L1144" s="389"/>
      <c r="M1144" s="389"/>
      <c r="N1144" s="389"/>
      <c r="O1144" s="389"/>
      <c r="P1144" s="389"/>
      <c r="Q1144" s="389"/>
      <c r="R1144" s="389"/>
      <c r="S1144" s="389"/>
      <c r="T1144" s="389"/>
      <c r="U1144" s="389"/>
      <c r="V1144" s="389"/>
      <c r="W1144" s="389"/>
      <c r="X1144" s="389"/>
      <c r="Y1144" s="389"/>
      <c r="Z1144" s="389"/>
      <c r="AA1144" s="389"/>
      <c r="AB1144" s="389"/>
      <c r="AC1144" s="389"/>
      <c r="AD1144" s="389"/>
      <c r="AE1144" s="389"/>
    </row>
    <row r="1145" spans="1:31" ht="15.5" x14ac:dyDescent="0.35">
      <c r="A1145" s="390"/>
      <c r="B1145" s="389"/>
      <c r="C1145" s="389"/>
      <c r="D1145" s="389"/>
      <c r="E1145" s="389"/>
      <c r="F1145" s="389"/>
      <c r="G1145" s="389"/>
      <c r="H1145" s="389"/>
      <c r="I1145" s="389"/>
      <c r="J1145" s="389"/>
      <c r="K1145" s="389"/>
      <c r="L1145" s="389"/>
      <c r="M1145" s="389"/>
      <c r="N1145" s="389"/>
      <c r="O1145" s="389"/>
      <c r="P1145" s="389"/>
      <c r="Q1145" s="389"/>
      <c r="R1145" s="389"/>
      <c r="S1145" s="389"/>
      <c r="T1145" s="389"/>
      <c r="U1145" s="389"/>
      <c r="V1145" s="389"/>
      <c r="W1145" s="389"/>
      <c r="X1145" s="389"/>
      <c r="Y1145" s="389"/>
      <c r="Z1145" s="389"/>
      <c r="AA1145" s="389"/>
      <c r="AB1145" s="389"/>
      <c r="AC1145" s="389"/>
      <c r="AD1145" s="389"/>
      <c r="AE1145" s="389"/>
    </row>
    <row r="1146" spans="1:31" ht="15.5" x14ac:dyDescent="0.35">
      <c r="A1146" s="390"/>
      <c r="B1146" s="389"/>
      <c r="C1146" s="389"/>
      <c r="D1146" s="389"/>
      <c r="E1146" s="389"/>
      <c r="F1146" s="389"/>
      <c r="G1146" s="389"/>
      <c r="H1146" s="389"/>
      <c r="I1146" s="389"/>
      <c r="J1146" s="389"/>
      <c r="K1146" s="389"/>
      <c r="L1146" s="389"/>
      <c r="M1146" s="389"/>
      <c r="N1146" s="389"/>
      <c r="O1146" s="389"/>
      <c r="P1146" s="389"/>
      <c r="Q1146" s="389"/>
      <c r="R1146" s="389"/>
      <c r="S1146" s="389"/>
      <c r="T1146" s="389"/>
      <c r="U1146" s="389"/>
      <c r="V1146" s="389"/>
      <c r="W1146" s="389"/>
      <c r="X1146" s="389"/>
      <c r="Y1146" s="389"/>
      <c r="Z1146" s="389"/>
      <c r="AA1146" s="389"/>
      <c r="AB1146" s="389"/>
      <c r="AC1146" s="389"/>
      <c r="AD1146" s="389"/>
      <c r="AE1146" s="389"/>
    </row>
    <row r="1147" spans="1:31" ht="15.5" x14ac:dyDescent="0.35">
      <c r="A1147" s="390"/>
      <c r="B1147" s="389"/>
      <c r="C1147" s="389"/>
      <c r="D1147" s="389"/>
      <c r="E1147" s="389"/>
      <c r="F1147" s="389"/>
      <c r="G1147" s="389"/>
      <c r="H1147" s="389"/>
      <c r="I1147" s="389"/>
      <c r="J1147" s="389"/>
      <c r="K1147" s="389"/>
      <c r="L1147" s="389"/>
      <c r="M1147" s="389"/>
      <c r="N1147" s="389"/>
      <c r="O1147" s="389"/>
      <c r="P1147" s="389"/>
      <c r="Q1147" s="389"/>
      <c r="R1147" s="389"/>
      <c r="S1147" s="389"/>
      <c r="T1147" s="389"/>
      <c r="U1147" s="389"/>
      <c r="V1147" s="389"/>
      <c r="W1147" s="389"/>
      <c r="X1147" s="389"/>
      <c r="Y1147" s="389"/>
      <c r="Z1147" s="389"/>
      <c r="AA1147" s="389"/>
      <c r="AB1147" s="389"/>
      <c r="AC1147" s="389"/>
      <c r="AD1147" s="389"/>
      <c r="AE1147" s="389"/>
    </row>
    <row r="1148" spans="1:31" ht="15.5" x14ac:dyDescent="0.35">
      <c r="A1148" s="390"/>
      <c r="B1148" s="389"/>
      <c r="C1148" s="389"/>
      <c r="D1148" s="389"/>
      <c r="E1148" s="389"/>
      <c r="F1148" s="389"/>
      <c r="G1148" s="389"/>
      <c r="H1148" s="389"/>
      <c r="I1148" s="389"/>
      <c r="J1148" s="389"/>
      <c r="K1148" s="389"/>
      <c r="L1148" s="389"/>
      <c r="M1148" s="389"/>
      <c r="N1148" s="389"/>
      <c r="O1148" s="389"/>
      <c r="P1148" s="389"/>
      <c r="Q1148" s="389"/>
      <c r="R1148" s="389"/>
      <c r="S1148" s="389"/>
      <c r="T1148" s="389"/>
      <c r="U1148" s="389"/>
      <c r="V1148" s="389"/>
      <c r="W1148" s="389"/>
      <c r="X1148" s="389"/>
      <c r="Y1148" s="389"/>
      <c r="Z1148" s="389"/>
      <c r="AA1148" s="389"/>
      <c r="AB1148" s="389"/>
      <c r="AC1148" s="389"/>
      <c r="AD1148" s="389"/>
      <c r="AE1148" s="389"/>
    </row>
    <row r="1149" spans="1:31" ht="15.5" x14ac:dyDescent="0.35">
      <c r="A1149" s="390"/>
      <c r="B1149" s="389"/>
      <c r="C1149" s="389"/>
      <c r="D1149" s="389"/>
      <c r="E1149" s="389"/>
      <c r="F1149" s="389"/>
      <c r="G1149" s="389"/>
      <c r="H1149" s="389"/>
      <c r="I1149" s="389"/>
      <c r="J1149" s="389"/>
      <c r="K1149" s="389"/>
      <c r="L1149" s="389"/>
      <c r="M1149" s="389"/>
      <c r="N1149" s="389"/>
      <c r="O1149" s="389"/>
      <c r="P1149" s="389"/>
      <c r="Q1149" s="389"/>
      <c r="R1149" s="389"/>
      <c r="S1149" s="389"/>
      <c r="T1149" s="389"/>
      <c r="U1149" s="389"/>
      <c r="V1149" s="389"/>
      <c r="W1149" s="389"/>
      <c r="X1149" s="389"/>
      <c r="Y1149" s="389"/>
      <c r="Z1149" s="389"/>
      <c r="AA1149" s="389"/>
      <c r="AB1149" s="389"/>
      <c r="AC1149" s="389"/>
      <c r="AD1149" s="389"/>
      <c r="AE1149" s="389"/>
    </row>
    <row r="1150" spans="1:31" ht="15.5" x14ac:dyDescent="0.35">
      <c r="A1150" s="390"/>
      <c r="B1150" s="389"/>
      <c r="C1150" s="389"/>
      <c r="D1150" s="389"/>
      <c r="E1150" s="389"/>
      <c r="F1150" s="389"/>
      <c r="G1150" s="389"/>
      <c r="H1150" s="389"/>
      <c r="I1150" s="389"/>
      <c r="J1150" s="389"/>
      <c r="K1150" s="389"/>
      <c r="L1150" s="389"/>
      <c r="M1150" s="389"/>
      <c r="N1150" s="389"/>
      <c r="O1150" s="389"/>
      <c r="P1150" s="389"/>
      <c r="Q1150" s="389"/>
      <c r="R1150" s="389"/>
      <c r="S1150" s="389"/>
      <c r="T1150" s="389"/>
      <c r="U1150" s="389"/>
      <c r="V1150" s="389"/>
      <c r="W1150" s="389"/>
      <c r="X1150" s="389"/>
      <c r="Y1150" s="389"/>
      <c r="Z1150" s="389"/>
      <c r="AA1150" s="389"/>
      <c r="AB1150" s="389"/>
      <c r="AC1150" s="389"/>
      <c r="AD1150" s="389"/>
      <c r="AE1150" s="389"/>
    </row>
    <row r="1151" spans="1:31" ht="15.5" x14ac:dyDescent="0.35">
      <c r="A1151" s="390"/>
      <c r="B1151" s="389"/>
      <c r="C1151" s="389"/>
      <c r="D1151" s="389"/>
      <c r="E1151" s="389"/>
      <c r="F1151" s="389"/>
      <c r="G1151" s="389"/>
      <c r="H1151" s="389"/>
      <c r="I1151" s="389"/>
      <c r="J1151" s="389"/>
      <c r="K1151" s="389"/>
      <c r="L1151" s="389"/>
      <c r="M1151" s="389"/>
      <c r="N1151" s="389"/>
      <c r="O1151" s="389"/>
      <c r="P1151" s="389"/>
      <c r="Q1151" s="389"/>
      <c r="R1151" s="389"/>
      <c r="S1151" s="389"/>
      <c r="T1151" s="389"/>
      <c r="U1151" s="389"/>
      <c r="V1151" s="389"/>
      <c r="W1151" s="389"/>
      <c r="X1151" s="389"/>
      <c r="Y1151" s="389"/>
      <c r="Z1151" s="389"/>
      <c r="AA1151" s="389"/>
      <c r="AB1151" s="389"/>
      <c r="AC1151" s="389"/>
      <c r="AD1151" s="389"/>
      <c r="AE1151" s="389"/>
    </row>
    <row r="1152" spans="1:31" ht="15.5" x14ac:dyDescent="0.35">
      <c r="A1152" s="390"/>
      <c r="B1152" s="389"/>
      <c r="C1152" s="389"/>
      <c r="D1152" s="389"/>
      <c r="E1152" s="389"/>
      <c r="F1152" s="389"/>
      <c r="G1152" s="389"/>
      <c r="H1152" s="389"/>
      <c r="I1152" s="389"/>
      <c r="J1152" s="389"/>
      <c r="K1152" s="389"/>
      <c r="L1152" s="389"/>
      <c r="M1152" s="389"/>
      <c r="N1152" s="389"/>
      <c r="O1152" s="389"/>
      <c r="P1152" s="389"/>
      <c r="Q1152" s="389"/>
      <c r="R1152" s="389"/>
      <c r="S1152" s="389"/>
      <c r="T1152" s="389"/>
      <c r="U1152" s="389"/>
      <c r="V1152" s="389"/>
      <c r="W1152" s="389"/>
      <c r="X1152" s="389"/>
      <c r="Y1152" s="389"/>
      <c r="Z1152" s="389"/>
      <c r="AA1152" s="389"/>
      <c r="AB1152" s="389"/>
      <c r="AC1152" s="389"/>
      <c r="AD1152" s="389"/>
      <c r="AE1152" s="389"/>
    </row>
    <row r="1153" spans="1:31" ht="15.5" x14ac:dyDescent="0.35">
      <c r="A1153" s="390"/>
      <c r="B1153" s="389"/>
      <c r="C1153" s="389"/>
      <c r="D1153" s="389"/>
      <c r="E1153" s="389"/>
      <c r="F1153" s="389"/>
      <c r="G1153" s="389"/>
      <c r="H1153" s="389"/>
      <c r="I1153" s="389"/>
      <c r="J1153" s="389"/>
      <c r="K1153" s="389"/>
      <c r="L1153" s="389"/>
      <c r="M1153" s="389"/>
      <c r="N1153" s="389"/>
      <c r="O1153" s="389"/>
      <c r="P1153" s="389"/>
      <c r="Q1153" s="389"/>
      <c r="R1153" s="389"/>
      <c r="S1153" s="389"/>
      <c r="T1153" s="389"/>
      <c r="U1153" s="389"/>
      <c r="V1153" s="389"/>
      <c r="W1153" s="389"/>
      <c r="X1153" s="389"/>
      <c r="Y1153" s="389"/>
      <c r="Z1153" s="389"/>
      <c r="AA1153" s="389"/>
      <c r="AB1153" s="389"/>
      <c r="AC1153" s="389"/>
      <c r="AD1153" s="389"/>
      <c r="AE1153" s="389"/>
    </row>
    <row r="1154" spans="1:31" ht="15.5" x14ac:dyDescent="0.35">
      <c r="A1154" s="390"/>
      <c r="B1154" s="389"/>
      <c r="C1154" s="389"/>
      <c r="D1154" s="389"/>
      <c r="E1154" s="389"/>
      <c r="F1154" s="389"/>
      <c r="G1154" s="389"/>
      <c r="H1154" s="389"/>
      <c r="I1154" s="389"/>
      <c r="J1154" s="389"/>
      <c r="K1154" s="389"/>
      <c r="L1154" s="389"/>
      <c r="M1154" s="389"/>
      <c r="N1154" s="389"/>
      <c r="O1154" s="389"/>
      <c r="P1154" s="389"/>
      <c r="Q1154" s="389"/>
      <c r="R1154" s="389"/>
      <c r="S1154" s="389"/>
      <c r="T1154" s="389"/>
      <c r="U1154" s="389"/>
      <c r="V1154" s="389"/>
      <c r="W1154" s="389"/>
      <c r="X1154" s="389"/>
      <c r="Y1154" s="389"/>
      <c r="Z1154" s="389"/>
      <c r="AA1154" s="389"/>
      <c r="AB1154" s="389"/>
      <c r="AC1154" s="389"/>
      <c r="AD1154" s="389"/>
      <c r="AE1154" s="389"/>
    </row>
    <row r="1155" spans="1:31" ht="15.5" x14ac:dyDescent="0.35">
      <c r="A1155" s="390"/>
      <c r="B1155" s="389"/>
      <c r="C1155" s="389"/>
      <c r="D1155" s="389"/>
      <c r="E1155" s="389"/>
      <c r="F1155" s="389"/>
      <c r="G1155" s="389"/>
      <c r="H1155" s="389"/>
      <c r="I1155" s="389"/>
      <c r="J1155" s="389"/>
      <c r="K1155" s="389"/>
      <c r="L1155" s="389"/>
      <c r="M1155" s="389"/>
      <c r="N1155" s="389"/>
      <c r="O1155" s="389"/>
      <c r="P1155" s="389"/>
      <c r="Q1155" s="389"/>
      <c r="R1155" s="389"/>
      <c r="S1155" s="389"/>
      <c r="T1155" s="389"/>
      <c r="U1155" s="389"/>
      <c r="V1155" s="389"/>
      <c r="W1155" s="389"/>
      <c r="X1155" s="389"/>
      <c r="Y1155" s="389"/>
      <c r="Z1155" s="389"/>
      <c r="AA1155" s="389"/>
      <c r="AB1155" s="389"/>
      <c r="AC1155" s="389"/>
      <c r="AD1155" s="389"/>
      <c r="AE1155" s="389"/>
    </row>
    <row r="1156" spans="1:31" ht="15.5" x14ac:dyDescent="0.35">
      <c r="A1156" s="390"/>
      <c r="B1156" s="389"/>
      <c r="C1156" s="389"/>
      <c r="D1156" s="389"/>
      <c r="E1156" s="389"/>
      <c r="F1156" s="389"/>
      <c r="G1156" s="389"/>
      <c r="H1156" s="389"/>
      <c r="I1156" s="389"/>
      <c r="J1156" s="389"/>
      <c r="K1156" s="389"/>
      <c r="L1156" s="389"/>
      <c r="M1156" s="389"/>
      <c r="N1156" s="389"/>
      <c r="O1156" s="389"/>
      <c r="P1156" s="389"/>
      <c r="Q1156" s="389"/>
      <c r="R1156" s="389"/>
      <c r="S1156" s="389"/>
      <c r="T1156" s="389"/>
      <c r="U1156" s="389"/>
      <c r="V1156" s="389"/>
      <c r="W1156" s="389"/>
      <c r="X1156" s="389"/>
      <c r="Y1156" s="389"/>
      <c r="Z1156" s="389"/>
      <c r="AA1156" s="389"/>
      <c r="AB1156" s="389"/>
      <c r="AC1156" s="389"/>
      <c r="AD1156" s="389"/>
      <c r="AE1156" s="389"/>
    </row>
    <row r="1157" spans="1:31" ht="15.5" x14ac:dyDescent="0.35">
      <c r="A1157" s="390"/>
      <c r="B1157" s="389"/>
      <c r="C1157" s="389"/>
      <c r="D1157" s="389"/>
      <c r="E1157" s="389"/>
      <c r="F1157" s="389"/>
      <c r="G1157" s="389"/>
      <c r="H1157" s="389"/>
      <c r="I1157" s="389"/>
      <c r="J1157" s="389"/>
      <c r="K1157" s="389"/>
      <c r="L1157" s="389"/>
      <c r="M1157" s="389"/>
      <c r="N1157" s="389"/>
      <c r="O1157" s="389"/>
      <c r="P1157" s="389"/>
      <c r="Q1157" s="389"/>
      <c r="R1157" s="389"/>
      <c r="S1157" s="389"/>
      <c r="T1157" s="389"/>
      <c r="U1157" s="389"/>
      <c r="V1157" s="389"/>
      <c r="W1157" s="389"/>
      <c r="X1157" s="389"/>
      <c r="Y1157" s="389"/>
      <c r="Z1157" s="389"/>
      <c r="AA1157" s="389"/>
      <c r="AB1157" s="389"/>
      <c r="AC1157" s="389"/>
      <c r="AD1157" s="389"/>
      <c r="AE1157" s="389"/>
    </row>
    <row r="1158" spans="1:31" ht="15.5" x14ac:dyDescent="0.35">
      <c r="A1158" s="390"/>
      <c r="B1158" s="389"/>
      <c r="C1158" s="389"/>
      <c r="D1158" s="389"/>
      <c r="E1158" s="389"/>
      <c r="F1158" s="389"/>
      <c r="G1158" s="389"/>
      <c r="H1158" s="389"/>
      <c r="I1158" s="389"/>
      <c r="J1158" s="389"/>
      <c r="K1158" s="389"/>
      <c r="L1158" s="389"/>
      <c r="M1158" s="389"/>
      <c r="N1158" s="389"/>
      <c r="O1158" s="389"/>
      <c r="P1158" s="389"/>
      <c r="Q1158" s="389"/>
      <c r="R1158" s="389"/>
      <c r="S1158" s="389"/>
      <c r="T1158" s="389"/>
      <c r="U1158" s="389"/>
      <c r="V1158" s="389"/>
      <c r="W1158" s="389"/>
      <c r="X1158" s="389"/>
      <c r="Y1158" s="389"/>
      <c r="Z1158" s="389"/>
      <c r="AA1158" s="389"/>
      <c r="AB1158" s="389"/>
      <c r="AC1158" s="389"/>
      <c r="AD1158" s="389"/>
      <c r="AE1158" s="389"/>
    </row>
    <row r="1159" spans="1:31" ht="15.5" x14ac:dyDescent="0.35">
      <c r="A1159" s="390"/>
      <c r="B1159" s="389"/>
      <c r="C1159" s="389"/>
      <c r="D1159" s="389"/>
      <c r="E1159" s="389"/>
      <c r="F1159" s="389"/>
      <c r="G1159" s="389"/>
      <c r="H1159" s="389"/>
      <c r="I1159" s="389"/>
      <c r="J1159" s="389"/>
      <c r="K1159" s="389"/>
      <c r="L1159" s="389"/>
      <c r="M1159" s="389"/>
      <c r="N1159" s="389"/>
      <c r="O1159" s="389"/>
      <c r="P1159" s="389"/>
      <c r="Q1159" s="389"/>
      <c r="R1159" s="389"/>
      <c r="S1159" s="389"/>
      <c r="T1159" s="389"/>
      <c r="U1159" s="389"/>
      <c r="V1159" s="389"/>
      <c r="W1159" s="389"/>
      <c r="X1159" s="389"/>
      <c r="Y1159" s="389"/>
      <c r="Z1159" s="389"/>
      <c r="AA1159" s="389"/>
      <c r="AB1159" s="389"/>
      <c r="AC1159" s="389"/>
      <c r="AD1159" s="389"/>
      <c r="AE1159" s="389"/>
    </row>
    <row r="1160" spans="1:31" ht="15.5" x14ac:dyDescent="0.35">
      <c r="A1160" s="390"/>
      <c r="B1160" s="389"/>
      <c r="C1160" s="389"/>
      <c r="D1160" s="389"/>
      <c r="E1160" s="389"/>
      <c r="F1160" s="389"/>
      <c r="G1160" s="389"/>
      <c r="H1160" s="389"/>
      <c r="I1160" s="389"/>
      <c r="J1160" s="389"/>
      <c r="K1160" s="389"/>
      <c r="L1160" s="389"/>
      <c r="M1160" s="389"/>
      <c r="N1160" s="389"/>
      <c r="O1160" s="389"/>
      <c r="P1160" s="389"/>
      <c r="Q1160" s="389"/>
      <c r="R1160" s="389"/>
      <c r="S1160" s="389"/>
      <c r="T1160" s="389"/>
      <c r="U1160" s="389"/>
      <c r="V1160" s="389"/>
      <c r="W1160" s="389"/>
      <c r="X1160" s="389"/>
      <c r="Y1160" s="389"/>
      <c r="Z1160" s="389"/>
      <c r="AA1160" s="389"/>
      <c r="AB1160" s="389"/>
      <c r="AC1160" s="389"/>
      <c r="AD1160" s="389"/>
      <c r="AE1160" s="389"/>
    </row>
    <row r="1161" spans="1:31" ht="15.5" x14ac:dyDescent="0.35">
      <c r="A1161" s="390"/>
      <c r="B1161" s="389"/>
      <c r="C1161" s="389"/>
      <c r="D1161" s="389"/>
      <c r="E1161" s="389"/>
      <c r="F1161" s="389"/>
      <c r="G1161" s="389"/>
      <c r="H1161" s="389"/>
      <c r="I1161" s="389"/>
      <c r="J1161" s="389"/>
      <c r="K1161" s="389"/>
      <c r="L1161" s="389"/>
      <c r="M1161" s="389"/>
      <c r="N1161" s="389"/>
      <c r="O1161" s="389"/>
      <c r="P1161" s="389"/>
      <c r="Q1161" s="389"/>
      <c r="R1161" s="389"/>
      <c r="S1161" s="389"/>
      <c r="T1161" s="389"/>
      <c r="U1161" s="389"/>
      <c r="V1161" s="389"/>
      <c r="W1161" s="389"/>
      <c r="X1161" s="389"/>
      <c r="Y1161" s="389"/>
      <c r="Z1161" s="389"/>
      <c r="AA1161" s="389"/>
      <c r="AB1161" s="389"/>
      <c r="AC1161" s="389"/>
      <c r="AD1161" s="389"/>
      <c r="AE1161" s="389"/>
    </row>
    <row r="1162" spans="1:31" ht="15.5" x14ac:dyDescent="0.35">
      <c r="A1162" s="390"/>
      <c r="B1162" s="389"/>
      <c r="C1162" s="389"/>
      <c r="D1162" s="389"/>
      <c r="E1162" s="389"/>
      <c r="F1162" s="389"/>
      <c r="G1162" s="389"/>
      <c r="H1162" s="389"/>
      <c r="I1162" s="389"/>
      <c r="J1162" s="389"/>
      <c r="K1162" s="389"/>
      <c r="L1162" s="389"/>
      <c r="M1162" s="389"/>
      <c r="N1162" s="389"/>
      <c r="O1162" s="389"/>
      <c r="P1162" s="389"/>
      <c r="Q1162" s="389"/>
      <c r="R1162" s="389"/>
      <c r="S1162" s="389"/>
      <c r="T1162" s="389"/>
      <c r="U1162" s="389"/>
      <c r="V1162" s="389"/>
      <c r="W1162" s="389"/>
      <c r="X1162" s="389"/>
      <c r="Y1162" s="389"/>
      <c r="Z1162" s="389"/>
      <c r="AA1162" s="389"/>
      <c r="AB1162" s="389"/>
      <c r="AC1162" s="389"/>
      <c r="AD1162" s="389"/>
      <c r="AE1162" s="389"/>
    </row>
    <row r="1163" spans="1:31" ht="15.5" x14ac:dyDescent="0.35">
      <c r="A1163" s="390"/>
      <c r="B1163" s="389"/>
      <c r="C1163" s="389"/>
      <c r="D1163" s="389"/>
      <c r="E1163" s="389"/>
      <c r="F1163" s="389"/>
      <c r="G1163" s="389"/>
      <c r="H1163" s="389"/>
      <c r="I1163" s="389"/>
      <c r="J1163" s="389"/>
      <c r="K1163" s="389"/>
      <c r="L1163" s="389"/>
      <c r="M1163" s="389"/>
      <c r="N1163" s="389"/>
      <c r="O1163" s="389"/>
      <c r="P1163" s="389"/>
      <c r="Q1163" s="389"/>
      <c r="R1163" s="389"/>
      <c r="S1163" s="389"/>
      <c r="T1163" s="389"/>
      <c r="U1163" s="389"/>
      <c r="V1163" s="389"/>
      <c r="W1163" s="389"/>
      <c r="X1163" s="389"/>
      <c r="Y1163" s="389"/>
      <c r="Z1163" s="389"/>
      <c r="AA1163" s="389"/>
      <c r="AB1163" s="389"/>
      <c r="AC1163" s="389"/>
      <c r="AD1163" s="389"/>
      <c r="AE1163" s="389"/>
    </row>
    <row r="1164" spans="1:31" ht="15.5" x14ac:dyDescent="0.35">
      <c r="A1164" s="390"/>
      <c r="B1164" s="389"/>
      <c r="C1164" s="389"/>
      <c r="D1164" s="389"/>
      <c r="E1164" s="389"/>
      <c r="F1164" s="389"/>
      <c r="G1164" s="389"/>
      <c r="H1164" s="389"/>
      <c r="I1164" s="389"/>
      <c r="J1164" s="389"/>
      <c r="K1164" s="389"/>
      <c r="L1164" s="389"/>
      <c r="M1164" s="389"/>
      <c r="N1164" s="389"/>
      <c r="O1164" s="389"/>
      <c r="P1164" s="389"/>
      <c r="Q1164" s="389"/>
      <c r="R1164" s="389"/>
      <c r="S1164" s="389"/>
      <c r="T1164" s="389"/>
      <c r="U1164" s="389"/>
      <c r="V1164" s="389"/>
      <c r="W1164" s="389"/>
      <c r="X1164" s="389"/>
      <c r="Y1164" s="389"/>
      <c r="Z1164" s="389"/>
      <c r="AA1164" s="389"/>
      <c r="AB1164" s="389"/>
      <c r="AC1164" s="389"/>
      <c r="AD1164" s="389"/>
      <c r="AE1164" s="389"/>
    </row>
    <row r="1165" spans="1:31" ht="15.5" x14ac:dyDescent="0.35">
      <c r="B1165" s="388"/>
      <c r="C1165" s="388"/>
      <c r="D1165" s="388"/>
      <c r="E1165" s="388"/>
      <c r="F1165" s="388"/>
      <c r="G1165" s="388"/>
      <c r="H1165" s="388"/>
      <c r="I1165" s="388"/>
      <c r="J1165" s="388"/>
      <c r="K1165" s="388"/>
      <c r="L1165" s="388"/>
      <c r="M1165" s="388"/>
      <c r="N1165" s="388"/>
      <c r="O1165" s="388"/>
      <c r="P1165" s="388"/>
      <c r="Q1165" s="388"/>
      <c r="R1165" s="388"/>
      <c r="S1165" s="388"/>
      <c r="T1165" s="388"/>
      <c r="U1165" s="388"/>
      <c r="V1165" s="388"/>
      <c r="W1165" s="388"/>
      <c r="X1165" s="388"/>
      <c r="Y1165" s="388"/>
      <c r="Z1165" s="388"/>
      <c r="AA1165" s="389"/>
      <c r="AB1165" s="389"/>
      <c r="AC1165" s="389"/>
      <c r="AD1165" s="389"/>
      <c r="AE1165" s="389"/>
    </row>
    <row r="1166" spans="1:31" ht="15.5" x14ac:dyDescent="0.35">
      <c r="B1166" s="388"/>
      <c r="C1166" s="388"/>
      <c r="D1166" s="388"/>
      <c r="E1166" s="388"/>
      <c r="F1166" s="388"/>
      <c r="G1166" s="388"/>
      <c r="H1166" s="388"/>
      <c r="I1166" s="388"/>
      <c r="J1166" s="388"/>
      <c r="K1166" s="388"/>
      <c r="L1166" s="388"/>
      <c r="M1166" s="388"/>
      <c r="N1166" s="388"/>
      <c r="O1166" s="388"/>
      <c r="P1166" s="388"/>
      <c r="Q1166" s="388"/>
      <c r="R1166" s="388"/>
      <c r="S1166" s="388"/>
      <c r="T1166" s="388"/>
      <c r="U1166" s="388"/>
      <c r="V1166" s="388"/>
      <c r="W1166" s="388"/>
      <c r="X1166" s="388"/>
      <c r="Y1166" s="388"/>
      <c r="Z1166" s="388"/>
      <c r="AA1166" s="389"/>
      <c r="AB1166" s="389"/>
      <c r="AC1166" s="389"/>
      <c r="AD1166" s="389"/>
      <c r="AE1166" s="389"/>
    </row>
    <row r="1167" spans="1:31" ht="15.5" x14ac:dyDescent="0.35">
      <c r="B1167" s="388"/>
      <c r="C1167" s="388"/>
      <c r="D1167" s="388"/>
      <c r="E1167" s="388"/>
      <c r="F1167" s="388"/>
      <c r="G1167" s="388"/>
      <c r="H1167" s="388"/>
      <c r="I1167" s="388"/>
      <c r="J1167" s="388"/>
      <c r="K1167" s="388"/>
      <c r="L1167" s="388"/>
      <c r="M1167" s="388"/>
      <c r="N1167" s="388"/>
      <c r="O1167" s="388"/>
      <c r="P1167" s="388"/>
      <c r="Q1167" s="388"/>
      <c r="R1167" s="388"/>
      <c r="S1167" s="388"/>
      <c r="T1167" s="388"/>
      <c r="U1167" s="388"/>
      <c r="V1167" s="388"/>
      <c r="W1167" s="388"/>
      <c r="X1167" s="388"/>
      <c r="Y1167" s="388"/>
      <c r="Z1167" s="388"/>
      <c r="AA1167" s="389"/>
      <c r="AB1167" s="389"/>
      <c r="AC1167" s="389"/>
      <c r="AD1167" s="389"/>
      <c r="AE1167" s="389"/>
    </row>
    <row r="1168" spans="1:31" ht="15.5" x14ac:dyDescent="0.35">
      <c r="B1168" s="388"/>
      <c r="C1168" s="388"/>
      <c r="D1168" s="388"/>
      <c r="E1168" s="388"/>
      <c r="F1168" s="388"/>
      <c r="G1168" s="388"/>
      <c r="H1168" s="388"/>
      <c r="I1168" s="388"/>
      <c r="J1168" s="388"/>
      <c r="K1168" s="388"/>
      <c r="L1168" s="388"/>
      <c r="M1168" s="388"/>
      <c r="N1168" s="388"/>
      <c r="O1168" s="388"/>
      <c r="P1168" s="388"/>
      <c r="Q1168" s="388"/>
      <c r="R1168" s="388"/>
      <c r="S1168" s="388"/>
      <c r="T1168" s="388"/>
      <c r="U1168" s="388"/>
      <c r="V1168" s="388"/>
      <c r="W1168" s="388"/>
      <c r="X1168" s="388"/>
      <c r="Y1168" s="388"/>
      <c r="Z1168" s="388"/>
      <c r="AA1168" s="389"/>
      <c r="AB1168" s="389"/>
      <c r="AC1168" s="389"/>
      <c r="AD1168" s="389"/>
      <c r="AE1168" s="389"/>
    </row>
    <row r="1169" spans="2:31" ht="15.5" x14ac:dyDescent="0.35">
      <c r="B1169" s="388"/>
      <c r="C1169" s="388"/>
      <c r="D1169" s="388"/>
      <c r="E1169" s="388"/>
      <c r="F1169" s="388"/>
      <c r="G1169" s="388"/>
      <c r="H1169" s="388"/>
      <c r="I1169" s="388"/>
      <c r="J1169" s="388"/>
      <c r="K1169" s="388"/>
      <c r="L1169" s="388"/>
      <c r="M1169" s="388"/>
      <c r="N1169" s="388"/>
      <c r="O1169" s="388"/>
      <c r="P1169" s="388"/>
      <c r="Q1169" s="388"/>
      <c r="R1169" s="388"/>
      <c r="S1169" s="388"/>
      <c r="T1169" s="388"/>
      <c r="U1169" s="388"/>
      <c r="V1169" s="388"/>
      <c r="W1169" s="388"/>
      <c r="X1169" s="388"/>
      <c r="Y1169" s="388"/>
      <c r="Z1169" s="388"/>
      <c r="AA1169" s="389"/>
      <c r="AB1169" s="389"/>
      <c r="AC1169" s="389"/>
      <c r="AD1169" s="389"/>
      <c r="AE1169" s="389"/>
    </row>
    <row r="1170" spans="2:31" ht="15.5" x14ac:dyDescent="0.35">
      <c r="B1170" s="388"/>
      <c r="C1170" s="388"/>
      <c r="D1170" s="388"/>
      <c r="E1170" s="388"/>
      <c r="F1170" s="388"/>
      <c r="G1170" s="388"/>
      <c r="H1170" s="388"/>
      <c r="I1170" s="388"/>
      <c r="J1170" s="388"/>
      <c r="K1170" s="388"/>
      <c r="L1170" s="388"/>
      <c r="M1170" s="388"/>
      <c r="N1170" s="388"/>
      <c r="O1170" s="388"/>
      <c r="P1170" s="388"/>
      <c r="Q1170" s="388"/>
      <c r="R1170" s="388"/>
      <c r="S1170" s="388"/>
      <c r="T1170" s="388"/>
      <c r="U1170" s="388"/>
      <c r="V1170" s="388"/>
      <c r="W1170" s="388"/>
      <c r="X1170" s="388"/>
      <c r="Y1170" s="388"/>
      <c r="Z1170" s="388"/>
      <c r="AA1170" s="389"/>
      <c r="AB1170" s="389"/>
      <c r="AC1170" s="389"/>
      <c r="AD1170" s="389"/>
      <c r="AE1170" s="389"/>
    </row>
    <row r="1171" spans="2:31" ht="15.5" x14ac:dyDescent="0.35">
      <c r="B1171" s="388"/>
      <c r="C1171" s="388"/>
      <c r="D1171" s="388"/>
      <c r="E1171" s="388"/>
      <c r="F1171" s="388"/>
      <c r="G1171" s="388"/>
      <c r="H1171" s="388"/>
      <c r="I1171" s="388"/>
      <c r="J1171" s="388"/>
      <c r="K1171" s="388"/>
      <c r="L1171" s="388"/>
      <c r="M1171" s="388"/>
      <c r="N1171" s="388"/>
      <c r="O1171" s="388"/>
      <c r="P1171" s="388"/>
      <c r="Q1171" s="388"/>
      <c r="R1171" s="388"/>
      <c r="S1171" s="388"/>
      <c r="T1171" s="388"/>
      <c r="U1171" s="388"/>
      <c r="V1171" s="388"/>
      <c r="W1171" s="388"/>
      <c r="X1171" s="388"/>
      <c r="Y1171" s="388"/>
      <c r="Z1171" s="388"/>
      <c r="AA1171" s="389"/>
      <c r="AB1171" s="389"/>
      <c r="AC1171" s="389"/>
      <c r="AD1171" s="389"/>
      <c r="AE1171" s="389"/>
    </row>
    <row r="1172" spans="2:31" ht="15.5" x14ac:dyDescent="0.35">
      <c r="B1172" s="388"/>
      <c r="C1172" s="388"/>
      <c r="D1172" s="388"/>
      <c r="E1172" s="388"/>
      <c r="F1172" s="388"/>
      <c r="G1172" s="388"/>
      <c r="H1172" s="388"/>
      <c r="I1172" s="388"/>
      <c r="J1172" s="388"/>
      <c r="K1172" s="388"/>
      <c r="L1172" s="388"/>
      <c r="M1172" s="388"/>
      <c r="N1172" s="388"/>
      <c r="O1172" s="388"/>
      <c r="P1172" s="388"/>
      <c r="Q1172" s="388"/>
      <c r="R1172" s="388"/>
      <c r="S1172" s="388"/>
      <c r="T1172" s="388"/>
      <c r="U1172" s="388"/>
      <c r="V1172" s="388"/>
      <c r="W1172" s="388"/>
      <c r="X1172" s="388"/>
      <c r="Y1172" s="388"/>
      <c r="Z1172" s="388"/>
      <c r="AA1172" s="389"/>
      <c r="AB1172" s="389"/>
      <c r="AC1172" s="389"/>
      <c r="AD1172" s="389"/>
      <c r="AE1172" s="389"/>
    </row>
    <row r="1173" spans="2:31" ht="15.5" x14ac:dyDescent="0.35">
      <c r="B1173" s="388"/>
      <c r="C1173" s="388"/>
      <c r="D1173" s="388"/>
      <c r="E1173" s="388"/>
      <c r="F1173" s="388"/>
      <c r="G1173" s="388"/>
      <c r="H1173" s="388"/>
      <c r="I1173" s="388"/>
      <c r="J1173" s="388"/>
      <c r="K1173" s="388"/>
      <c r="L1173" s="388"/>
      <c r="M1173" s="388"/>
      <c r="N1173" s="388"/>
      <c r="O1173" s="388"/>
      <c r="P1173" s="388"/>
      <c r="Q1173" s="388"/>
      <c r="R1173" s="388"/>
      <c r="S1173" s="388"/>
      <c r="T1173" s="388"/>
      <c r="U1173" s="388"/>
      <c r="V1173" s="388"/>
      <c r="W1173" s="388"/>
      <c r="X1173" s="388"/>
      <c r="Y1173" s="388"/>
      <c r="Z1173" s="388"/>
      <c r="AA1173" s="389"/>
      <c r="AB1173" s="389"/>
      <c r="AC1173" s="389"/>
      <c r="AD1173" s="389"/>
      <c r="AE1173" s="389"/>
    </row>
    <row r="1174" spans="2:31" ht="15.5" x14ac:dyDescent="0.35">
      <c r="B1174" s="388"/>
      <c r="C1174" s="388"/>
      <c r="D1174" s="388"/>
      <c r="E1174" s="388"/>
      <c r="F1174" s="388"/>
      <c r="G1174" s="388"/>
      <c r="H1174" s="388"/>
      <c r="I1174" s="388"/>
      <c r="J1174" s="388"/>
      <c r="K1174" s="388"/>
      <c r="L1174" s="388"/>
      <c r="M1174" s="388"/>
      <c r="N1174" s="388"/>
      <c r="O1174" s="388"/>
      <c r="P1174" s="388"/>
      <c r="Q1174" s="388"/>
      <c r="R1174" s="388"/>
      <c r="S1174" s="388"/>
      <c r="T1174" s="388"/>
      <c r="U1174" s="388"/>
      <c r="V1174" s="388"/>
      <c r="W1174" s="388"/>
      <c r="X1174" s="388"/>
      <c r="Y1174" s="388"/>
      <c r="Z1174" s="388"/>
      <c r="AA1174" s="389"/>
      <c r="AB1174" s="389"/>
      <c r="AC1174" s="389"/>
      <c r="AD1174" s="389"/>
      <c r="AE1174" s="389"/>
    </row>
  </sheetData>
  <mergeCells count="1570">
    <mergeCell ref="B409:I409"/>
    <mergeCell ref="J409:L409"/>
    <mergeCell ref="M409:O409"/>
    <mergeCell ref="P409:R409"/>
    <mergeCell ref="S409:T409"/>
    <mergeCell ref="E500:I500"/>
    <mergeCell ref="J500:K500"/>
    <mergeCell ref="L500:N500"/>
    <mergeCell ref="O500:R500"/>
    <mergeCell ref="S500:U500"/>
    <mergeCell ref="V500:W500"/>
    <mergeCell ref="E499:I499"/>
    <mergeCell ref="J499:K499"/>
    <mergeCell ref="L499:N499"/>
    <mergeCell ref="O499:R499"/>
    <mergeCell ref="B412:I412"/>
    <mergeCell ref="J412:L412"/>
    <mergeCell ref="M412:O412"/>
    <mergeCell ref="P412:R412"/>
    <mergeCell ref="S412:T412"/>
    <mergeCell ref="B413:I413"/>
    <mergeCell ref="J413:L413"/>
    <mergeCell ref="M413:O413"/>
    <mergeCell ref="P413:R413"/>
    <mergeCell ref="S413:T413"/>
    <mergeCell ref="S499:U499"/>
    <mergeCell ref="V499:W499"/>
    <mergeCell ref="E498:I498"/>
    <mergeCell ref="J498:K498"/>
    <mergeCell ref="L498:N498"/>
    <mergeCell ref="O498:R498"/>
    <mergeCell ref="S498:U498"/>
    <mergeCell ref="E503:I503"/>
    <mergeCell ref="J503:K503"/>
    <mergeCell ref="L503:N503"/>
    <mergeCell ref="O503:R503"/>
    <mergeCell ref="S503:U503"/>
    <mergeCell ref="V503:W503"/>
    <mergeCell ref="E502:I502"/>
    <mergeCell ref="J502:K502"/>
    <mergeCell ref="L502:N502"/>
    <mergeCell ref="O502:R502"/>
    <mergeCell ref="S502:U502"/>
    <mergeCell ref="V502:W502"/>
    <mergeCell ref="E501:I501"/>
    <mergeCell ref="J501:K501"/>
    <mergeCell ref="L501:N501"/>
    <mergeCell ref="O501:R501"/>
    <mergeCell ref="S501:U501"/>
    <mergeCell ref="V501:W501"/>
    <mergeCell ref="V498:W498"/>
    <mergeCell ref="B490:I490"/>
    <mergeCell ref="S490:T490"/>
    <mergeCell ref="B491:I491"/>
    <mergeCell ref="S491:T491"/>
    <mergeCell ref="B494:Y494"/>
    <mergeCell ref="E497:I497"/>
    <mergeCell ref="J497:W497"/>
    <mergeCell ref="B488:I488"/>
    <mergeCell ref="J488:L488"/>
    <mergeCell ref="M488:O488"/>
    <mergeCell ref="P488:R488"/>
    <mergeCell ref="S488:T488"/>
    <mergeCell ref="B489:I489"/>
    <mergeCell ref="J489:L489"/>
    <mergeCell ref="M489:O489"/>
    <mergeCell ref="P489:R489"/>
    <mergeCell ref="S489:T489"/>
    <mergeCell ref="B486:I486"/>
    <mergeCell ref="J486:L486"/>
    <mergeCell ref="M486:O486"/>
    <mergeCell ref="P486:R486"/>
    <mergeCell ref="S486:T486"/>
    <mergeCell ref="B487:I487"/>
    <mergeCell ref="J487:L487"/>
    <mergeCell ref="M487:O487"/>
    <mergeCell ref="P487:R487"/>
    <mergeCell ref="S487:T487"/>
    <mergeCell ref="B484:I484"/>
    <mergeCell ref="J484:L484"/>
    <mergeCell ref="M484:O484"/>
    <mergeCell ref="P484:R484"/>
    <mergeCell ref="S484:T484"/>
    <mergeCell ref="B485:I485"/>
    <mergeCell ref="J485:L485"/>
    <mergeCell ref="M485:O485"/>
    <mergeCell ref="P485:R485"/>
    <mergeCell ref="S485:T485"/>
    <mergeCell ref="B482:I482"/>
    <mergeCell ref="J482:L482"/>
    <mergeCell ref="M482:O482"/>
    <mergeCell ref="P482:R482"/>
    <mergeCell ref="S482:T482"/>
    <mergeCell ref="B483:I483"/>
    <mergeCell ref="S483:T483"/>
    <mergeCell ref="B480:I480"/>
    <mergeCell ref="J480:L480"/>
    <mergeCell ref="M480:O480"/>
    <mergeCell ref="P480:R480"/>
    <mergeCell ref="S480:T480"/>
    <mergeCell ref="B481:I481"/>
    <mergeCell ref="J481:L481"/>
    <mergeCell ref="M481:O481"/>
    <mergeCell ref="P481:R481"/>
    <mergeCell ref="S481:T481"/>
    <mergeCell ref="B477:I477"/>
    <mergeCell ref="S477:T477"/>
    <mergeCell ref="B478:I478"/>
    <mergeCell ref="J478:T478"/>
    <mergeCell ref="B479:I479"/>
    <mergeCell ref="J479:L479"/>
    <mergeCell ref="M479:O479"/>
    <mergeCell ref="P479:R479"/>
    <mergeCell ref="S479:T479"/>
    <mergeCell ref="B475:I475"/>
    <mergeCell ref="J475:L475"/>
    <mergeCell ref="M475:O475"/>
    <mergeCell ref="P475:R475"/>
    <mergeCell ref="S475:T475"/>
    <mergeCell ref="B476:I476"/>
    <mergeCell ref="J476:L476"/>
    <mergeCell ref="M476:O476"/>
    <mergeCell ref="P476:R476"/>
    <mergeCell ref="S476:T476"/>
    <mergeCell ref="B473:I473"/>
    <mergeCell ref="J473:L473"/>
    <mergeCell ref="M473:O473"/>
    <mergeCell ref="P473:R473"/>
    <mergeCell ref="S473:T473"/>
    <mergeCell ref="B474:I474"/>
    <mergeCell ref="J474:L474"/>
    <mergeCell ref="M474:O474"/>
    <mergeCell ref="P474:R474"/>
    <mergeCell ref="S474:T474"/>
    <mergeCell ref="B471:I471"/>
    <mergeCell ref="J471:L471"/>
    <mergeCell ref="M471:O471"/>
    <mergeCell ref="P471:R471"/>
    <mergeCell ref="S471:T471"/>
    <mergeCell ref="B472:I472"/>
    <mergeCell ref="J472:L472"/>
    <mergeCell ref="M472:O472"/>
    <mergeCell ref="P472:R472"/>
    <mergeCell ref="S472:T472"/>
    <mergeCell ref="B466:I466"/>
    <mergeCell ref="S466:T466"/>
    <mergeCell ref="B467:I467"/>
    <mergeCell ref="S467:T467"/>
    <mergeCell ref="B469:C469"/>
    <mergeCell ref="D469:I469"/>
    <mergeCell ref="B464:I464"/>
    <mergeCell ref="J464:L464"/>
    <mergeCell ref="M464:O464"/>
    <mergeCell ref="P464:R464"/>
    <mergeCell ref="S464:T464"/>
    <mergeCell ref="B465:I465"/>
    <mergeCell ref="J465:L465"/>
    <mergeCell ref="M465:O465"/>
    <mergeCell ref="P465:R465"/>
    <mergeCell ref="S465:T465"/>
    <mergeCell ref="B462:I462"/>
    <mergeCell ref="J462:L462"/>
    <mergeCell ref="M462:O462"/>
    <mergeCell ref="P462:R462"/>
    <mergeCell ref="S462:T462"/>
    <mergeCell ref="B463:I463"/>
    <mergeCell ref="J463:L463"/>
    <mergeCell ref="M463:O463"/>
    <mergeCell ref="P463:R463"/>
    <mergeCell ref="S463:T463"/>
    <mergeCell ref="B460:I460"/>
    <mergeCell ref="J460:L460"/>
    <mergeCell ref="M460:O460"/>
    <mergeCell ref="P460:R460"/>
    <mergeCell ref="S460:T460"/>
    <mergeCell ref="B461:I461"/>
    <mergeCell ref="J461:L461"/>
    <mergeCell ref="M461:O461"/>
    <mergeCell ref="P461:R461"/>
    <mergeCell ref="S461:T461"/>
    <mergeCell ref="B458:I458"/>
    <mergeCell ref="J458:L458"/>
    <mergeCell ref="M458:O458"/>
    <mergeCell ref="P458:R458"/>
    <mergeCell ref="S458:T458"/>
    <mergeCell ref="B459:I459"/>
    <mergeCell ref="S459:T459"/>
    <mergeCell ref="B456:I456"/>
    <mergeCell ref="J456:L456"/>
    <mergeCell ref="M456:O456"/>
    <mergeCell ref="P456:R456"/>
    <mergeCell ref="S456:T456"/>
    <mergeCell ref="B457:I457"/>
    <mergeCell ref="J457:L457"/>
    <mergeCell ref="M457:O457"/>
    <mergeCell ref="P457:R457"/>
    <mergeCell ref="S457:T457"/>
    <mergeCell ref="B453:I453"/>
    <mergeCell ref="S453:T453"/>
    <mergeCell ref="B454:I454"/>
    <mergeCell ref="J454:T454"/>
    <mergeCell ref="B455:I455"/>
    <mergeCell ref="J455:L455"/>
    <mergeCell ref="M455:O455"/>
    <mergeCell ref="P455:R455"/>
    <mergeCell ref="S455:T455"/>
    <mergeCell ref="B451:I451"/>
    <mergeCell ref="J451:L451"/>
    <mergeCell ref="M451:O451"/>
    <mergeCell ref="P451:R451"/>
    <mergeCell ref="S451:T451"/>
    <mergeCell ref="B452:I452"/>
    <mergeCell ref="J452:L452"/>
    <mergeCell ref="M452:O452"/>
    <mergeCell ref="P452:R452"/>
    <mergeCell ref="S452:T452"/>
    <mergeCell ref="B449:I449"/>
    <mergeCell ref="J449:L449"/>
    <mergeCell ref="M449:O449"/>
    <mergeCell ref="P449:R449"/>
    <mergeCell ref="S449:T449"/>
    <mergeCell ref="B450:I450"/>
    <mergeCell ref="J450:L450"/>
    <mergeCell ref="M450:O450"/>
    <mergeCell ref="P450:R450"/>
    <mergeCell ref="S450:T450"/>
    <mergeCell ref="B447:I447"/>
    <mergeCell ref="J447:L447"/>
    <mergeCell ref="M447:O447"/>
    <mergeCell ref="P447:R447"/>
    <mergeCell ref="S447:T447"/>
    <mergeCell ref="B448:I448"/>
    <mergeCell ref="J448:L448"/>
    <mergeCell ref="M448:O448"/>
    <mergeCell ref="P448:R448"/>
    <mergeCell ref="S448:T448"/>
    <mergeCell ref="B442:I442"/>
    <mergeCell ref="S442:T442"/>
    <mergeCell ref="B443:I443"/>
    <mergeCell ref="S443:T443"/>
    <mergeCell ref="B445:C445"/>
    <mergeCell ref="D445:I445"/>
    <mergeCell ref="B440:I440"/>
    <mergeCell ref="J440:L440"/>
    <mergeCell ref="M440:O440"/>
    <mergeCell ref="P440:R440"/>
    <mergeCell ref="S440:T440"/>
    <mergeCell ref="B441:I441"/>
    <mergeCell ref="J441:L441"/>
    <mergeCell ref="M441:O441"/>
    <mergeCell ref="P441:R441"/>
    <mergeCell ref="S441:T441"/>
    <mergeCell ref="B438:I438"/>
    <mergeCell ref="J438:L438"/>
    <mergeCell ref="M438:O438"/>
    <mergeCell ref="P438:R438"/>
    <mergeCell ref="S438:T438"/>
    <mergeCell ref="B439:I439"/>
    <mergeCell ref="J439:L439"/>
    <mergeCell ref="M439:O439"/>
    <mergeCell ref="P439:R439"/>
    <mergeCell ref="S439:T439"/>
    <mergeCell ref="B436:I436"/>
    <mergeCell ref="J436:L436"/>
    <mergeCell ref="M436:O436"/>
    <mergeCell ref="P436:R436"/>
    <mergeCell ref="S436:T436"/>
    <mergeCell ref="B437:I437"/>
    <mergeCell ref="J437:L437"/>
    <mergeCell ref="M437:O437"/>
    <mergeCell ref="P437:R437"/>
    <mergeCell ref="S437:T437"/>
    <mergeCell ref="B434:I434"/>
    <mergeCell ref="J434:L434"/>
    <mergeCell ref="M434:O434"/>
    <mergeCell ref="P434:R434"/>
    <mergeCell ref="S434:T434"/>
    <mergeCell ref="B435:I435"/>
    <mergeCell ref="S435:T435"/>
    <mergeCell ref="B432:I432"/>
    <mergeCell ref="J432:L432"/>
    <mergeCell ref="M432:O432"/>
    <mergeCell ref="P432:R432"/>
    <mergeCell ref="S432:T432"/>
    <mergeCell ref="B433:I433"/>
    <mergeCell ref="J433:L433"/>
    <mergeCell ref="M433:O433"/>
    <mergeCell ref="P433:R433"/>
    <mergeCell ref="S433:T433"/>
    <mergeCell ref="B429:I429"/>
    <mergeCell ref="S429:T429"/>
    <mergeCell ref="B430:I430"/>
    <mergeCell ref="J430:T430"/>
    <mergeCell ref="B431:I431"/>
    <mergeCell ref="J431:L431"/>
    <mergeCell ref="M431:O431"/>
    <mergeCell ref="P431:R431"/>
    <mergeCell ref="S431:T431"/>
    <mergeCell ref="B427:I427"/>
    <mergeCell ref="J427:L427"/>
    <mergeCell ref="M427:O427"/>
    <mergeCell ref="P427:R427"/>
    <mergeCell ref="S427:T427"/>
    <mergeCell ref="B428:I428"/>
    <mergeCell ref="J428:L428"/>
    <mergeCell ref="M428:O428"/>
    <mergeCell ref="P428:R428"/>
    <mergeCell ref="S428:T428"/>
    <mergeCell ref="B425:I425"/>
    <mergeCell ref="J425:L425"/>
    <mergeCell ref="M425:O425"/>
    <mergeCell ref="P425:R425"/>
    <mergeCell ref="S425:T425"/>
    <mergeCell ref="B426:I426"/>
    <mergeCell ref="J426:L426"/>
    <mergeCell ref="M426:O426"/>
    <mergeCell ref="P426:R426"/>
    <mergeCell ref="S426:T426"/>
    <mergeCell ref="B423:I423"/>
    <mergeCell ref="J423:L423"/>
    <mergeCell ref="M423:O423"/>
    <mergeCell ref="P423:R423"/>
    <mergeCell ref="S423:T423"/>
    <mergeCell ref="B424:I424"/>
    <mergeCell ref="J424:L424"/>
    <mergeCell ref="M424:O424"/>
    <mergeCell ref="P424:R424"/>
    <mergeCell ref="S424:T424"/>
    <mergeCell ref="B418:I418"/>
    <mergeCell ref="S418:T418"/>
    <mergeCell ref="B419:I419"/>
    <mergeCell ref="S419:T419"/>
    <mergeCell ref="B421:C421"/>
    <mergeCell ref="D421:I421"/>
    <mergeCell ref="B411:I411"/>
    <mergeCell ref="J411:L411"/>
    <mergeCell ref="M411:O411"/>
    <mergeCell ref="P411:R411"/>
    <mergeCell ref="S411:T411"/>
    <mergeCell ref="B417:I417"/>
    <mergeCell ref="J417:L417"/>
    <mergeCell ref="M417:O417"/>
    <mergeCell ref="P417:R417"/>
    <mergeCell ref="S417:T417"/>
    <mergeCell ref="B410:I410"/>
    <mergeCell ref="J410:L410"/>
    <mergeCell ref="M410:O410"/>
    <mergeCell ref="P410:R410"/>
    <mergeCell ref="S410:T410"/>
    <mergeCell ref="B415:I415"/>
    <mergeCell ref="J415:L415"/>
    <mergeCell ref="M415:O415"/>
    <mergeCell ref="P415:R415"/>
    <mergeCell ref="S415:T415"/>
    <mergeCell ref="B414:I414"/>
    <mergeCell ref="J414:L414"/>
    <mergeCell ref="M414:O414"/>
    <mergeCell ref="P414:R414"/>
    <mergeCell ref="S414:T414"/>
    <mergeCell ref="B416:I416"/>
    <mergeCell ref="P407:R407"/>
    <mergeCell ref="S407:T407"/>
    <mergeCell ref="B408:I408"/>
    <mergeCell ref="S408:T408"/>
    <mergeCell ref="B404:I404"/>
    <mergeCell ref="J404:L404"/>
    <mergeCell ref="M404:O404"/>
    <mergeCell ref="P404:R404"/>
    <mergeCell ref="S404:T404"/>
    <mergeCell ref="B405:I405"/>
    <mergeCell ref="J405:L405"/>
    <mergeCell ref="M405:O405"/>
    <mergeCell ref="P405:R405"/>
    <mergeCell ref="S405:T405"/>
    <mergeCell ref="B401:I401"/>
    <mergeCell ref="S401:T401"/>
    <mergeCell ref="B402:I402"/>
    <mergeCell ref="J402:T402"/>
    <mergeCell ref="B403:I403"/>
    <mergeCell ref="J403:L403"/>
    <mergeCell ref="M403:O403"/>
    <mergeCell ref="P403:R403"/>
    <mergeCell ref="S403:T403"/>
    <mergeCell ref="B406:I406"/>
    <mergeCell ref="J406:L406"/>
    <mergeCell ref="M406:O406"/>
    <mergeCell ref="P406:R406"/>
    <mergeCell ref="S406:T406"/>
    <mergeCell ref="B407:I407"/>
    <mergeCell ref="J407:L407"/>
    <mergeCell ref="M407:O407"/>
    <mergeCell ref="B399:I399"/>
    <mergeCell ref="J399:L399"/>
    <mergeCell ref="M399:O399"/>
    <mergeCell ref="P399:R399"/>
    <mergeCell ref="S399:T399"/>
    <mergeCell ref="B400:I400"/>
    <mergeCell ref="J400:L400"/>
    <mergeCell ref="M400:O400"/>
    <mergeCell ref="P400:R400"/>
    <mergeCell ref="S400:T400"/>
    <mergeCell ref="B397:I397"/>
    <mergeCell ref="J397:L397"/>
    <mergeCell ref="M397:O397"/>
    <mergeCell ref="P397:R397"/>
    <mergeCell ref="S397:T397"/>
    <mergeCell ref="B398:I398"/>
    <mergeCell ref="J398:L398"/>
    <mergeCell ref="M398:O398"/>
    <mergeCell ref="P398:R398"/>
    <mergeCell ref="S398:T398"/>
    <mergeCell ref="B395:I395"/>
    <mergeCell ref="J395:L395"/>
    <mergeCell ref="M395:O395"/>
    <mergeCell ref="P395:R395"/>
    <mergeCell ref="S395:T395"/>
    <mergeCell ref="B396:I396"/>
    <mergeCell ref="J396:L396"/>
    <mergeCell ref="M396:O396"/>
    <mergeCell ref="P396:R396"/>
    <mergeCell ref="S396:T396"/>
    <mergeCell ref="C388:D388"/>
    <mergeCell ref="F388:G388"/>
    <mergeCell ref="H388:I388"/>
    <mergeCell ref="M388:N388"/>
    <mergeCell ref="B391:Y391"/>
    <mergeCell ref="B393:C393"/>
    <mergeCell ref="D393:I393"/>
    <mergeCell ref="C386:D386"/>
    <mergeCell ref="F386:G386"/>
    <mergeCell ref="H386:I386"/>
    <mergeCell ref="M386:N386"/>
    <mergeCell ref="C387:D387"/>
    <mergeCell ref="F387:G387"/>
    <mergeCell ref="H387:I387"/>
    <mergeCell ref="M387:N387"/>
    <mergeCell ref="C384:D384"/>
    <mergeCell ref="F384:G384"/>
    <mergeCell ref="H384:I384"/>
    <mergeCell ref="M384:N384"/>
    <mergeCell ref="C385:D385"/>
    <mergeCell ref="F385:G385"/>
    <mergeCell ref="H385:I385"/>
    <mergeCell ref="M385:N385"/>
    <mergeCell ref="C382:D382"/>
    <mergeCell ref="F382:G382"/>
    <mergeCell ref="H382:I382"/>
    <mergeCell ref="M382:N382"/>
    <mergeCell ref="C383:D383"/>
    <mergeCell ref="F383:G383"/>
    <mergeCell ref="H383:I383"/>
    <mergeCell ref="M383:N383"/>
    <mergeCell ref="C380:D380"/>
    <mergeCell ref="F380:G380"/>
    <mergeCell ref="H380:I380"/>
    <mergeCell ref="M380:N380"/>
    <mergeCell ref="C381:D381"/>
    <mergeCell ref="F381:G381"/>
    <mergeCell ref="H381:I381"/>
    <mergeCell ref="M381:N381"/>
    <mergeCell ref="C378:D378"/>
    <mergeCell ref="F378:G378"/>
    <mergeCell ref="H378:I378"/>
    <mergeCell ref="M378:N378"/>
    <mergeCell ref="C379:D379"/>
    <mergeCell ref="F379:G379"/>
    <mergeCell ref="H379:I379"/>
    <mergeCell ref="M379:N379"/>
    <mergeCell ref="C376:D376"/>
    <mergeCell ref="F376:G376"/>
    <mergeCell ref="H376:I376"/>
    <mergeCell ref="M376:N376"/>
    <mergeCell ref="C377:D377"/>
    <mergeCell ref="F377:G377"/>
    <mergeCell ref="H377:I377"/>
    <mergeCell ref="M377:N377"/>
    <mergeCell ref="C374:D374"/>
    <mergeCell ref="F374:G374"/>
    <mergeCell ref="H374:I374"/>
    <mergeCell ref="M374:N374"/>
    <mergeCell ref="C375:D375"/>
    <mergeCell ref="F375:G375"/>
    <mergeCell ref="H375:I375"/>
    <mergeCell ref="M375:N375"/>
    <mergeCell ref="W361:X361"/>
    <mergeCell ref="B363:X363"/>
    <mergeCell ref="B365:X365"/>
    <mergeCell ref="B367:X367"/>
    <mergeCell ref="C369:H370"/>
    <mergeCell ref="H373:N373"/>
    <mergeCell ref="C361:E361"/>
    <mergeCell ref="I361:K361"/>
    <mergeCell ref="M361:O361"/>
    <mergeCell ref="P361:Q361"/>
    <mergeCell ref="R361:T361"/>
    <mergeCell ref="U361:V361"/>
    <mergeCell ref="W359:X359"/>
    <mergeCell ref="C360:E360"/>
    <mergeCell ref="I360:K360"/>
    <mergeCell ref="M360:O360"/>
    <mergeCell ref="P360:Q360"/>
    <mergeCell ref="R360:T360"/>
    <mergeCell ref="U360:V360"/>
    <mergeCell ref="W360:X360"/>
    <mergeCell ref="C359:E359"/>
    <mergeCell ref="I359:K359"/>
    <mergeCell ref="M359:O359"/>
    <mergeCell ref="P359:Q359"/>
    <mergeCell ref="R359:T359"/>
    <mergeCell ref="U359:V359"/>
    <mergeCell ref="W357:X357"/>
    <mergeCell ref="C358:E358"/>
    <mergeCell ref="I358:K358"/>
    <mergeCell ref="M358:O358"/>
    <mergeCell ref="P358:Q358"/>
    <mergeCell ref="R358:T358"/>
    <mergeCell ref="U358:V358"/>
    <mergeCell ref="W358:X358"/>
    <mergeCell ref="C357:E357"/>
    <mergeCell ref="I357:K357"/>
    <mergeCell ref="M357:O357"/>
    <mergeCell ref="P357:Q357"/>
    <mergeCell ref="R357:T357"/>
    <mergeCell ref="U357:V357"/>
    <mergeCell ref="W355:X355"/>
    <mergeCell ref="C356:E356"/>
    <mergeCell ref="I356:K356"/>
    <mergeCell ref="M356:O356"/>
    <mergeCell ref="P356:Q356"/>
    <mergeCell ref="R356:T356"/>
    <mergeCell ref="U356:V356"/>
    <mergeCell ref="W356:X356"/>
    <mergeCell ref="C355:E355"/>
    <mergeCell ref="I355:K355"/>
    <mergeCell ref="M355:O355"/>
    <mergeCell ref="P355:Q355"/>
    <mergeCell ref="R355:T355"/>
    <mergeCell ref="U355:V355"/>
    <mergeCell ref="W353:X353"/>
    <mergeCell ref="C354:E354"/>
    <mergeCell ref="I354:K354"/>
    <mergeCell ref="M354:O354"/>
    <mergeCell ref="P354:Q354"/>
    <mergeCell ref="R354:T354"/>
    <mergeCell ref="U354:V354"/>
    <mergeCell ref="W354:X354"/>
    <mergeCell ref="C353:E353"/>
    <mergeCell ref="I353:K353"/>
    <mergeCell ref="M353:O353"/>
    <mergeCell ref="P353:Q353"/>
    <mergeCell ref="R353:T353"/>
    <mergeCell ref="U353:V353"/>
    <mergeCell ref="W351:X351"/>
    <mergeCell ref="C352:E352"/>
    <mergeCell ref="I352:K352"/>
    <mergeCell ref="M352:O352"/>
    <mergeCell ref="P352:Q352"/>
    <mergeCell ref="R352:T352"/>
    <mergeCell ref="U352:V352"/>
    <mergeCell ref="W352:X352"/>
    <mergeCell ref="C351:E351"/>
    <mergeCell ref="I351:K351"/>
    <mergeCell ref="M351:O351"/>
    <mergeCell ref="P351:Q351"/>
    <mergeCell ref="R351:T351"/>
    <mergeCell ref="U351:V351"/>
    <mergeCell ref="W349:X349"/>
    <mergeCell ref="I350:K350"/>
    <mergeCell ref="M350:O350"/>
    <mergeCell ref="P350:Q350"/>
    <mergeCell ref="R350:T350"/>
    <mergeCell ref="U350:V350"/>
    <mergeCell ref="W350:X350"/>
    <mergeCell ref="C349:F350"/>
    <mergeCell ref="I349:K349"/>
    <mergeCell ref="M349:O349"/>
    <mergeCell ref="P349:Q349"/>
    <mergeCell ref="R349:T349"/>
    <mergeCell ref="U349:V349"/>
    <mergeCell ref="U347:V347"/>
    <mergeCell ref="W347:X347"/>
    <mergeCell ref="I348:K348"/>
    <mergeCell ref="M348:O348"/>
    <mergeCell ref="P348:Q348"/>
    <mergeCell ref="R348:T348"/>
    <mergeCell ref="U348:V348"/>
    <mergeCell ref="W348:X348"/>
    <mergeCell ref="C347:D347"/>
    <mergeCell ref="E347:F347"/>
    <mergeCell ref="I347:K347"/>
    <mergeCell ref="M347:O347"/>
    <mergeCell ref="P347:Q347"/>
    <mergeCell ref="R347:T347"/>
    <mergeCell ref="C339:D339"/>
    <mergeCell ref="F339:G339"/>
    <mergeCell ref="H339:I339"/>
    <mergeCell ref="M339:N339"/>
    <mergeCell ref="B342:X342"/>
    <mergeCell ref="B344:X344"/>
    <mergeCell ref="C337:D337"/>
    <mergeCell ref="F337:G337"/>
    <mergeCell ref="H337:I337"/>
    <mergeCell ref="M337:N337"/>
    <mergeCell ref="C338:D338"/>
    <mergeCell ref="F338:G338"/>
    <mergeCell ref="H338:I338"/>
    <mergeCell ref="M338:N338"/>
    <mergeCell ref="C335:D335"/>
    <mergeCell ref="F335:G335"/>
    <mergeCell ref="H335:I335"/>
    <mergeCell ref="M335:N335"/>
    <mergeCell ref="C336:D336"/>
    <mergeCell ref="F336:G336"/>
    <mergeCell ref="H336:I336"/>
    <mergeCell ref="M336:N336"/>
    <mergeCell ref="C333:D333"/>
    <mergeCell ref="F333:G333"/>
    <mergeCell ref="H333:I333"/>
    <mergeCell ref="M333:N333"/>
    <mergeCell ref="C334:D334"/>
    <mergeCell ref="F334:G334"/>
    <mergeCell ref="H334:I334"/>
    <mergeCell ref="M334:N334"/>
    <mergeCell ref="C331:D331"/>
    <mergeCell ref="F331:G331"/>
    <mergeCell ref="H331:I331"/>
    <mergeCell ref="M331:N331"/>
    <mergeCell ref="C332:D332"/>
    <mergeCell ref="F332:G332"/>
    <mergeCell ref="H332:I332"/>
    <mergeCell ref="M332:N332"/>
    <mergeCell ref="C329:D329"/>
    <mergeCell ref="F329:G329"/>
    <mergeCell ref="H329:I329"/>
    <mergeCell ref="M329:N329"/>
    <mergeCell ref="C330:D330"/>
    <mergeCell ref="F330:G330"/>
    <mergeCell ref="H330:I330"/>
    <mergeCell ref="M330:N330"/>
    <mergeCell ref="C327:D327"/>
    <mergeCell ref="F327:G327"/>
    <mergeCell ref="H327:I327"/>
    <mergeCell ref="M327:N327"/>
    <mergeCell ref="C328:D328"/>
    <mergeCell ref="F328:G328"/>
    <mergeCell ref="H328:I328"/>
    <mergeCell ref="M328:N328"/>
    <mergeCell ref="H324:N324"/>
    <mergeCell ref="C325:D325"/>
    <mergeCell ref="F325:G325"/>
    <mergeCell ref="H325:I325"/>
    <mergeCell ref="M325:N325"/>
    <mergeCell ref="C326:D326"/>
    <mergeCell ref="F326:G326"/>
    <mergeCell ref="H326:I326"/>
    <mergeCell ref="M326:N326"/>
    <mergeCell ref="W312:X312"/>
    <mergeCell ref="B314:X314"/>
    <mergeCell ref="B316:X316"/>
    <mergeCell ref="B318:X318"/>
    <mergeCell ref="C320:E321"/>
    <mergeCell ref="F320:G320"/>
    <mergeCell ref="H320:I320"/>
    <mergeCell ref="F321:G321"/>
    <mergeCell ref="H321:I321"/>
    <mergeCell ref="W311:X311"/>
    <mergeCell ref="B312:D312"/>
    <mergeCell ref="E312:F312"/>
    <mergeCell ref="G312:I312"/>
    <mergeCell ref="J312:K312"/>
    <mergeCell ref="L312:M312"/>
    <mergeCell ref="N312:O312"/>
    <mergeCell ref="P312:Q312"/>
    <mergeCell ref="R312:S312"/>
    <mergeCell ref="T312:U312"/>
    <mergeCell ref="W310:X310"/>
    <mergeCell ref="B311:D311"/>
    <mergeCell ref="E311:F311"/>
    <mergeCell ref="G311:I311"/>
    <mergeCell ref="J311:K311"/>
    <mergeCell ref="L311:M311"/>
    <mergeCell ref="N311:O311"/>
    <mergeCell ref="P311:Q311"/>
    <mergeCell ref="R311:S311"/>
    <mergeCell ref="T311:U311"/>
    <mergeCell ref="W309:X309"/>
    <mergeCell ref="B310:D310"/>
    <mergeCell ref="E310:F310"/>
    <mergeCell ref="G310:I310"/>
    <mergeCell ref="J310:K310"/>
    <mergeCell ref="L310:M310"/>
    <mergeCell ref="N310:O310"/>
    <mergeCell ref="P310:Q310"/>
    <mergeCell ref="R310:S310"/>
    <mergeCell ref="T310:U310"/>
    <mergeCell ref="W308:X308"/>
    <mergeCell ref="B309:D309"/>
    <mergeCell ref="E309:F309"/>
    <mergeCell ref="G309:I309"/>
    <mergeCell ref="J309:K309"/>
    <mergeCell ref="L309:M309"/>
    <mergeCell ref="N309:O309"/>
    <mergeCell ref="P309:Q309"/>
    <mergeCell ref="R309:S309"/>
    <mergeCell ref="T309:U309"/>
    <mergeCell ref="W307:X307"/>
    <mergeCell ref="B308:D308"/>
    <mergeCell ref="E308:F308"/>
    <mergeCell ref="G308:I308"/>
    <mergeCell ref="J308:K308"/>
    <mergeCell ref="L308:M308"/>
    <mergeCell ref="N308:O308"/>
    <mergeCell ref="P308:Q308"/>
    <mergeCell ref="R308:S308"/>
    <mergeCell ref="T308:U308"/>
    <mergeCell ref="W306:X306"/>
    <mergeCell ref="B307:D307"/>
    <mergeCell ref="E307:F307"/>
    <mergeCell ref="G307:I307"/>
    <mergeCell ref="J307:K307"/>
    <mergeCell ref="L307:M307"/>
    <mergeCell ref="N307:O307"/>
    <mergeCell ref="P307:Q307"/>
    <mergeCell ref="R307:S307"/>
    <mergeCell ref="T307:U307"/>
    <mergeCell ref="W305:X305"/>
    <mergeCell ref="B306:D306"/>
    <mergeCell ref="E306:F306"/>
    <mergeCell ref="G306:I306"/>
    <mergeCell ref="J306:K306"/>
    <mergeCell ref="L306:M306"/>
    <mergeCell ref="N306:O306"/>
    <mergeCell ref="P306:Q306"/>
    <mergeCell ref="R306:S306"/>
    <mergeCell ref="T306:U306"/>
    <mergeCell ref="W304:X304"/>
    <mergeCell ref="B305:D305"/>
    <mergeCell ref="E305:F305"/>
    <mergeCell ref="G305:I305"/>
    <mergeCell ref="J305:K305"/>
    <mergeCell ref="L305:M305"/>
    <mergeCell ref="N305:O305"/>
    <mergeCell ref="P305:Q305"/>
    <mergeCell ref="R305:S305"/>
    <mergeCell ref="T305:U305"/>
    <mergeCell ref="W303:X303"/>
    <mergeCell ref="B304:D304"/>
    <mergeCell ref="E304:F304"/>
    <mergeCell ref="G304:I304"/>
    <mergeCell ref="J304:K304"/>
    <mergeCell ref="L304:M304"/>
    <mergeCell ref="N304:O304"/>
    <mergeCell ref="P304:Q304"/>
    <mergeCell ref="R304:S304"/>
    <mergeCell ref="T304:U304"/>
    <mergeCell ref="W302:X302"/>
    <mergeCell ref="B303:D303"/>
    <mergeCell ref="E303:F303"/>
    <mergeCell ref="G303:I303"/>
    <mergeCell ref="J303:K303"/>
    <mergeCell ref="L303:M303"/>
    <mergeCell ref="N303:O303"/>
    <mergeCell ref="P303:Q303"/>
    <mergeCell ref="R303:S303"/>
    <mergeCell ref="T303:U303"/>
    <mergeCell ref="W301:X301"/>
    <mergeCell ref="B302:D302"/>
    <mergeCell ref="E302:F302"/>
    <mergeCell ref="G302:I302"/>
    <mergeCell ref="J302:K302"/>
    <mergeCell ref="L302:M302"/>
    <mergeCell ref="N302:O302"/>
    <mergeCell ref="P302:Q302"/>
    <mergeCell ref="R302:S302"/>
    <mergeCell ref="T302:U302"/>
    <mergeCell ref="W300:X300"/>
    <mergeCell ref="B301:D301"/>
    <mergeCell ref="E301:F301"/>
    <mergeCell ref="G301:I301"/>
    <mergeCell ref="J301:K301"/>
    <mergeCell ref="L301:M301"/>
    <mergeCell ref="N301:O301"/>
    <mergeCell ref="P301:Q301"/>
    <mergeCell ref="R301:S301"/>
    <mergeCell ref="T301:U301"/>
    <mergeCell ref="W299:X299"/>
    <mergeCell ref="B300:D300"/>
    <mergeCell ref="E300:F300"/>
    <mergeCell ref="G300:I300"/>
    <mergeCell ref="J300:K300"/>
    <mergeCell ref="L300:M300"/>
    <mergeCell ref="N300:O300"/>
    <mergeCell ref="P300:Q300"/>
    <mergeCell ref="R300:S300"/>
    <mergeCell ref="T300:U300"/>
    <mergeCell ref="W298:X298"/>
    <mergeCell ref="B299:D299"/>
    <mergeCell ref="E299:F299"/>
    <mergeCell ref="G299:I299"/>
    <mergeCell ref="J299:K299"/>
    <mergeCell ref="L299:M299"/>
    <mergeCell ref="N299:O299"/>
    <mergeCell ref="P299:Q299"/>
    <mergeCell ref="R299:S299"/>
    <mergeCell ref="T299:U299"/>
    <mergeCell ref="B295:X295"/>
    <mergeCell ref="B298:D298"/>
    <mergeCell ref="E298:F298"/>
    <mergeCell ref="G298:I298"/>
    <mergeCell ref="J298:K298"/>
    <mergeCell ref="L298:M298"/>
    <mergeCell ref="N298:O298"/>
    <mergeCell ref="P298:Q298"/>
    <mergeCell ref="R298:S298"/>
    <mergeCell ref="T298:U298"/>
    <mergeCell ref="B291:D291"/>
    <mergeCell ref="E291:F291"/>
    <mergeCell ref="I291:J291"/>
    <mergeCell ref="K291:L291"/>
    <mergeCell ref="M291:X291"/>
    <mergeCell ref="B292:D292"/>
    <mergeCell ref="E292:F292"/>
    <mergeCell ref="I292:J292"/>
    <mergeCell ref="K292:L292"/>
    <mergeCell ref="M292:X292"/>
    <mergeCell ref="B289:D289"/>
    <mergeCell ref="E289:F289"/>
    <mergeCell ref="I289:J289"/>
    <mergeCell ref="K289:L289"/>
    <mergeCell ref="M289:X289"/>
    <mergeCell ref="B290:D290"/>
    <mergeCell ref="E290:F290"/>
    <mergeCell ref="I290:J290"/>
    <mergeCell ref="K290:L290"/>
    <mergeCell ref="M290:X290"/>
    <mergeCell ref="B287:D287"/>
    <mergeCell ref="E287:F287"/>
    <mergeCell ref="I287:J287"/>
    <mergeCell ref="K287:L287"/>
    <mergeCell ref="M287:X287"/>
    <mergeCell ref="B288:D288"/>
    <mergeCell ref="E288:F288"/>
    <mergeCell ref="I288:J288"/>
    <mergeCell ref="K288:L288"/>
    <mergeCell ref="M288:X288"/>
    <mergeCell ref="K283:M283"/>
    <mergeCell ref="Q283:S283"/>
    <mergeCell ref="T283:U283"/>
    <mergeCell ref="K284:M284"/>
    <mergeCell ref="Q284:S284"/>
    <mergeCell ref="T284:U284"/>
    <mergeCell ref="Q281:S281"/>
    <mergeCell ref="T281:U281"/>
    <mergeCell ref="B282:E282"/>
    <mergeCell ref="F282:H282"/>
    <mergeCell ref="K282:M282"/>
    <mergeCell ref="Q282:S282"/>
    <mergeCell ref="T282:U282"/>
    <mergeCell ref="I273:S273"/>
    <mergeCell ref="B276:X276"/>
    <mergeCell ref="B278:X278"/>
    <mergeCell ref="B280:H280"/>
    <mergeCell ref="K280:M281"/>
    <mergeCell ref="N280:N281"/>
    <mergeCell ref="Q280:S280"/>
    <mergeCell ref="T280:U280"/>
    <mergeCell ref="B281:E281"/>
    <mergeCell ref="F281:H281"/>
    <mergeCell ref="B270:H270"/>
    <mergeCell ref="I270:L270"/>
    <mergeCell ref="M270:P270"/>
    <mergeCell ref="Q270:S270"/>
    <mergeCell ref="B271:H271"/>
    <mergeCell ref="I271:L271"/>
    <mergeCell ref="M271:P271"/>
    <mergeCell ref="Q271:S271"/>
    <mergeCell ref="B268:H268"/>
    <mergeCell ref="I268:L268"/>
    <mergeCell ref="M268:P268"/>
    <mergeCell ref="Q268:S268"/>
    <mergeCell ref="B269:H269"/>
    <mergeCell ref="I269:L269"/>
    <mergeCell ref="M269:P269"/>
    <mergeCell ref="Q269:S269"/>
    <mergeCell ref="B263:T263"/>
    <mergeCell ref="B265:T265"/>
    <mergeCell ref="B267:H267"/>
    <mergeCell ref="I267:L267"/>
    <mergeCell ref="M267:P267"/>
    <mergeCell ref="Q267:S267"/>
    <mergeCell ref="B260:P260"/>
    <mergeCell ref="Q260:T260"/>
    <mergeCell ref="F256:I256"/>
    <mergeCell ref="J256:O256"/>
    <mergeCell ref="P256:Q256"/>
    <mergeCell ref="R256:S256"/>
    <mergeCell ref="U252:V252"/>
    <mergeCell ref="B254:E258"/>
    <mergeCell ref="F254:I254"/>
    <mergeCell ref="J254:O254"/>
    <mergeCell ref="P254:Q254"/>
    <mergeCell ref="R254:S254"/>
    <mergeCell ref="F255:I255"/>
    <mergeCell ref="J255:O255"/>
    <mergeCell ref="P255:Q255"/>
    <mergeCell ref="R255:S255"/>
    <mergeCell ref="B249:E252"/>
    <mergeCell ref="F257:I257"/>
    <mergeCell ref="J257:O257"/>
    <mergeCell ref="P257:Q257"/>
    <mergeCell ref="R257:S257"/>
    <mergeCell ref="F250:I250"/>
    <mergeCell ref="J250:O250"/>
    <mergeCell ref="P250:Q250"/>
    <mergeCell ref="R250:S250"/>
    <mergeCell ref="F258:I258"/>
    <mergeCell ref="J258:O258"/>
    <mergeCell ref="P258:Q258"/>
    <mergeCell ref="R222:S222"/>
    <mergeCell ref="R258:S258"/>
    <mergeCell ref="U258:V258"/>
    <mergeCell ref="U247:V247"/>
    <mergeCell ref="F249:I249"/>
    <mergeCell ref="J249:O249"/>
    <mergeCell ref="P249:Q249"/>
    <mergeCell ref="R249:S249"/>
    <mergeCell ref="F251:I251"/>
    <mergeCell ref="J251:O251"/>
    <mergeCell ref="P251:Q251"/>
    <mergeCell ref="R251:S251"/>
    <mergeCell ref="F252:I252"/>
    <mergeCell ref="J252:O252"/>
    <mergeCell ref="P252:Q252"/>
    <mergeCell ref="R252:S252"/>
    <mergeCell ref="F245:I245"/>
    <mergeCell ref="J245:O245"/>
    <mergeCell ref="P245:Q245"/>
    <mergeCell ref="R245:S245"/>
    <mergeCell ref="F246:I246"/>
    <mergeCell ref="J246:O246"/>
    <mergeCell ref="P246:Q246"/>
    <mergeCell ref="R246:S246"/>
    <mergeCell ref="U236:V236"/>
    <mergeCell ref="F228:I228"/>
    <mergeCell ref="J228:O228"/>
    <mergeCell ref="P228:Q228"/>
    <mergeCell ref="R228:S228"/>
    <mergeCell ref="F230:I230"/>
    <mergeCell ref="J230:O230"/>
    <mergeCell ref="R230:S230"/>
    <mergeCell ref="B243:E247"/>
    <mergeCell ref="F243:I243"/>
    <mergeCell ref="J243:O243"/>
    <mergeCell ref="P243:Q243"/>
    <mergeCell ref="R243:S243"/>
    <mergeCell ref="F244:I244"/>
    <mergeCell ref="J244:O244"/>
    <mergeCell ref="P244:Q244"/>
    <mergeCell ref="R244:S244"/>
    <mergeCell ref="F247:I247"/>
    <mergeCell ref="J247:O247"/>
    <mergeCell ref="P247:Q247"/>
    <mergeCell ref="R247:S247"/>
    <mergeCell ref="F240:I240"/>
    <mergeCell ref="J240:O240"/>
    <mergeCell ref="P240:Q240"/>
    <mergeCell ref="R240:S240"/>
    <mergeCell ref="F241:I241"/>
    <mergeCell ref="J241:O241"/>
    <mergeCell ref="P241:Q241"/>
    <mergeCell ref="R241:S241"/>
    <mergeCell ref="B238:E241"/>
    <mergeCell ref="F238:I238"/>
    <mergeCell ref="J238:O238"/>
    <mergeCell ref="P238:Q238"/>
    <mergeCell ref="R238:S238"/>
    <mergeCell ref="B216:E224"/>
    <mergeCell ref="F216:I216"/>
    <mergeCell ref="J216:O216"/>
    <mergeCell ref="P216:Q216"/>
    <mergeCell ref="R216:S216"/>
    <mergeCell ref="F218:I218"/>
    <mergeCell ref="F239:I239"/>
    <mergeCell ref="J239:O239"/>
    <mergeCell ref="P239:Q239"/>
    <mergeCell ref="R239:S239"/>
    <mergeCell ref="F236:I236"/>
    <mergeCell ref="J236:O236"/>
    <mergeCell ref="P236:Q236"/>
    <mergeCell ref="R236:S236"/>
    <mergeCell ref="J217:O217"/>
    <mergeCell ref="P217:Q217"/>
    <mergeCell ref="R217:S217"/>
    <mergeCell ref="J218:O218"/>
    <mergeCell ref="P218:Q218"/>
    <mergeCell ref="R218:S218"/>
    <mergeCell ref="F224:I224"/>
    <mergeCell ref="J224:O224"/>
    <mergeCell ref="P224:Q224"/>
    <mergeCell ref="F217:I217"/>
    <mergeCell ref="F219:I219"/>
    <mergeCell ref="J219:O219"/>
    <mergeCell ref="P219:Q219"/>
    <mergeCell ref="R219:S219"/>
    <mergeCell ref="F220:I220"/>
    <mergeCell ref="F222:I222"/>
    <mergeCell ref="J222:O222"/>
    <mergeCell ref="P222:Q222"/>
    <mergeCell ref="U224:V224"/>
    <mergeCell ref="B226:E236"/>
    <mergeCell ref="F226:I226"/>
    <mergeCell ref="J226:O226"/>
    <mergeCell ref="P226:Q226"/>
    <mergeCell ref="R226:S226"/>
    <mergeCell ref="F227:I227"/>
    <mergeCell ref="R224:S224"/>
    <mergeCell ref="P235:Q235"/>
    <mergeCell ref="R235:S235"/>
    <mergeCell ref="F235:I235"/>
    <mergeCell ref="J235:O235"/>
    <mergeCell ref="U241:V241"/>
    <mergeCell ref="J212:O212"/>
    <mergeCell ref="P212:Q212"/>
    <mergeCell ref="R212:S212"/>
    <mergeCell ref="F213:I213"/>
    <mergeCell ref="J213:O213"/>
    <mergeCell ref="P213:Q213"/>
    <mergeCell ref="R213:S213"/>
    <mergeCell ref="B210:E214"/>
    <mergeCell ref="F210:I210"/>
    <mergeCell ref="J210:O210"/>
    <mergeCell ref="P210:Q210"/>
    <mergeCell ref="R210:S210"/>
    <mergeCell ref="F211:I211"/>
    <mergeCell ref="J211:O211"/>
    <mergeCell ref="P211:Q211"/>
    <mergeCell ref="R211:S211"/>
    <mergeCell ref="F212:I212"/>
    <mergeCell ref="U214:V214"/>
    <mergeCell ref="F214:I214"/>
    <mergeCell ref="J214:O214"/>
    <mergeCell ref="P214:Q214"/>
    <mergeCell ref="R214:S214"/>
    <mergeCell ref="B207:T207"/>
    <mergeCell ref="B209:E209"/>
    <mergeCell ref="F209:I209"/>
    <mergeCell ref="J209:O209"/>
    <mergeCell ref="P209:Q209"/>
    <mergeCell ref="R209:S209"/>
    <mergeCell ref="B204:C204"/>
    <mergeCell ref="D204:H204"/>
    <mergeCell ref="I204:M204"/>
    <mergeCell ref="N204:O204"/>
    <mergeCell ref="P204:Q204"/>
    <mergeCell ref="R204:S204"/>
    <mergeCell ref="B203:C203"/>
    <mergeCell ref="D203:H203"/>
    <mergeCell ref="I203:M203"/>
    <mergeCell ref="N203:O203"/>
    <mergeCell ref="P203:Q203"/>
    <mergeCell ref="R203:S203"/>
    <mergeCell ref="B202:C202"/>
    <mergeCell ref="D202:H202"/>
    <mergeCell ref="I202:M202"/>
    <mergeCell ref="N202:O202"/>
    <mergeCell ref="P202:Q202"/>
    <mergeCell ref="R202:S202"/>
    <mergeCell ref="B201:C201"/>
    <mergeCell ref="D201:H201"/>
    <mergeCell ref="I201:M201"/>
    <mergeCell ref="N201:O201"/>
    <mergeCell ref="P201:Q201"/>
    <mergeCell ref="R201:S201"/>
    <mergeCell ref="B200:C200"/>
    <mergeCell ref="D200:H200"/>
    <mergeCell ref="I200:M200"/>
    <mergeCell ref="N200:O200"/>
    <mergeCell ref="P200:Q200"/>
    <mergeCell ref="R200:S200"/>
    <mergeCell ref="B199:C199"/>
    <mergeCell ref="D199:H199"/>
    <mergeCell ref="I199:M199"/>
    <mergeCell ref="N199:O199"/>
    <mergeCell ref="P199:Q199"/>
    <mergeCell ref="R199:S199"/>
    <mergeCell ref="B198:C198"/>
    <mergeCell ref="D198:H198"/>
    <mergeCell ref="I198:M198"/>
    <mergeCell ref="N198:O198"/>
    <mergeCell ref="P198:Q198"/>
    <mergeCell ref="R198:S198"/>
    <mergeCell ref="B195:D195"/>
    <mergeCell ref="E195:T195"/>
    <mergeCell ref="B196:C197"/>
    <mergeCell ref="D196:H197"/>
    <mergeCell ref="I196:M197"/>
    <mergeCell ref="N196:S196"/>
    <mergeCell ref="T196:T197"/>
    <mergeCell ref="N197:O197"/>
    <mergeCell ref="P197:Q197"/>
    <mergeCell ref="R197:S197"/>
    <mergeCell ref="B193:C193"/>
    <mergeCell ref="D193:H193"/>
    <mergeCell ref="I193:M193"/>
    <mergeCell ref="N193:O193"/>
    <mergeCell ref="P193:Q193"/>
    <mergeCell ref="R193:S193"/>
    <mergeCell ref="B192:C192"/>
    <mergeCell ref="D192:H192"/>
    <mergeCell ref="I192:M192"/>
    <mergeCell ref="N192:O192"/>
    <mergeCell ref="P192:Q192"/>
    <mergeCell ref="R192:S192"/>
    <mergeCell ref="B191:C191"/>
    <mergeCell ref="D191:H191"/>
    <mergeCell ref="I191:M191"/>
    <mergeCell ref="N191:O191"/>
    <mergeCell ref="P191:Q191"/>
    <mergeCell ref="R191:S191"/>
    <mergeCell ref="B190:C190"/>
    <mergeCell ref="D190:H190"/>
    <mergeCell ref="I190:M190"/>
    <mergeCell ref="N190:O190"/>
    <mergeCell ref="P190:Q190"/>
    <mergeCell ref="R190:S190"/>
    <mergeCell ref="B189:C189"/>
    <mergeCell ref="D189:H189"/>
    <mergeCell ref="I189:M189"/>
    <mergeCell ref="N189:O189"/>
    <mergeCell ref="P189:Q189"/>
    <mergeCell ref="R189:S189"/>
    <mergeCell ref="B188:C188"/>
    <mergeCell ref="D188:H188"/>
    <mergeCell ref="I188:M188"/>
    <mergeCell ref="N188:O188"/>
    <mergeCell ref="P188:Q188"/>
    <mergeCell ref="R188:S188"/>
    <mergeCell ref="B187:C187"/>
    <mergeCell ref="D187:H187"/>
    <mergeCell ref="I187:M187"/>
    <mergeCell ref="N187:O187"/>
    <mergeCell ref="P187:Q187"/>
    <mergeCell ref="R187:S187"/>
    <mergeCell ref="B184:D184"/>
    <mergeCell ref="E184:T184"/>
    <mergeCell ref="B185:C186"/>
    <mergeCell ref="D185:H186"/>
    <mergeCell ref="I185:M186"/>
    <mergeCell ref="N185:S185"/>
    <mergeCell ref="T185:T186"/>
    <mergeCell ref="N186:O186"/>
    <mergeCell ref="P186:Q186"/>
    <mergeCell ref="R186:S186"/>
    <mergeCell ref="B182:C182"/>
    <mergeCell ref="D182:H182"/>
    <mergeCell ref="I182:M182"/>
    <mergeCell ref="N182:O182"/>
    <mergeCell ref="P182:Q182"/>
    <mergeCell ref="R182:S182"/>
    <mergeCell ref="B181:C181"/>
    <mergeCell ref="D181:H181"/>
    <mergeCell ref="I181:M181"/>
    <mergeCell ref="N181:O181"/>
    <mergeCell ref="P181:Q181"/>
    <mergeCell ref="R181:S181"/>
    <mergeCell ref="B180:C180"/>
    <mergeCell ref="D180:H180"/>
    <mergeCell ref="I180:M180"/>
    <mergeCell ref="N180:O180"/>
    <mergeCell ref="P180:Q180"/>
    <mergeCell ref="R180:S180"/>
    <mergeCell ref="B179:C179"/>
    <mergeCell ref="D179:H179"/>
    <mergeCell ref="I179:M179"/>
    <mergeCell ref="N179:O179"/>
    <mergeCell ref="P179:Q179"/>
    <mergeCell ref="R179:S179"/>
    <mergeCell ref="B178:C178"/>
    <mergeCell ref="D178:H178"/>
    <mergeCell ref="I178:M178"/>
    <mergeCell ref="N178:O178"/>
    <mergeCell ref="P178:Q178"/>
    <mergeCell ref="R178:S178"/>
    <mergeCell ref="B177:C177"/>
    <mergeCell ref="D177:H177"/>
    <mergeCell ref="I177:M177"/>
    <mergeCell ref="N177:O177"/>
    <mergeCell ref="P177:Q177"/>
    <mergeCell ref="R177:S177"/>
    <mergeCell ref="B176:C176"/>
    <mergeCell ref="D176:H176"/>
    <mergeCell ref="I176:M176"/>
    <mergeCell ref="N176:O176"/>
    <mergeCell ref="P176:Q176"/>
    <mergeCell ref="R176:S176"/>
    <mergeCell ref="B173:D173"/>
    <mergeCell ref="E173:T173"/>
    <mergeCell ref="B174:C175"/>
    <mergeCell ref="D174:H175"/>
    <mergeCell ref="I174:M175"/>
    <mergeCell ref="N174:S174"/>
    <mergeCell ref="T174:T175"/>
    <mergeCell ref="N175:O175"/>
    <mergeCell ref="P175:Q175"/>
    <mergeCell ref="R175:S175"/>
    <mergeCell ref="B171:C171"/>
    <mergeCell ref="D171:H171"/>
    <mergeCell ref="I171:M171"/>
    <mergeCell ref="N171:O171"/>
    <mergeCell ref="P171:Q171"/>
    <mergeCell ref="R171:S171"/>
    <mergeCell ref="B159:C159"/>
    <mergeCell ref="D159:H159"/>
    <mergeCell ref="I159:M159"/>
    <mergeCell ref="N159:O159"/>
    <mergeCell ref="P159:Q159"/>
    <mergeCell ref="R159:S159"/>
    <mergeCell ref="B160:C160"/>
    <mergeCell ref="D160:H160"/>
    <mergeCell ref="B161:C161"/>
    <mergeCell ref="B162:C162"/>
    <mergeCell ref="B163:C163"/>
    <mergeCell ref="B164:C164"/>
    <mergeCell ref="B165:C165"/>
    <mergeCell ref="B166:C166"/>
    <mergeCell ref="P166:Q166"/>
    <mergeCell ref="B167:C167"/>
    <mergeCell ref="B158:C158"/>
    <mergeCell ref="D158:H158"/>
    <mergeCell ref="I158:M158"/>
    <mergeCell ref="N158:O158"/>
    <mergeCell ref="P158:Q158"/>
    <mergeCell ref="R158:S158"/>
    <mergeCell ref="B157:C157"/>
    <mergeCell ref="D157:H157"/>
    <mergeCell ref="I157:M157"/>
    <mergeCell ref="N157:O157"/>
    <mergeCell ref="P157:Q157"/>
    <mergeCell ref="R157:S157"/>
    <mergeCell ref="B156:C156"/>
    <mergeCell ref="D156:H156"/>
    <mergeCell ref="I156:M156"/>
    <mergeCell ref="N156:O156"/>
    <mergeCell ref="P156:Q156"/>
    <mergeCell ref="R156:S156"/>
    <mergeCell ref="B155:C155"/>
    <mergeCell ref="D155:H155"/>
    <mergeCell ref="I155:M155"/>
    <mergeCell ref="N155:O155"/>
    <mergeCell ref="P155:Q155"/>
    <mergeCell ref="R155:S155"/>
    <mergeCell ref="N153:O153"/>
    <mergeCell ref="P153:Q153"/>
    <mergeCell ref="R153:S153"/>
    <mergeCell ref="B154:C154"/>
    <mergeCell ref="D154:H154"/>
    <mergeCell ref="I154:M154"/>
    <mergeCell ref="N154:O154"/>
    <mergeCell ref="P154:Q154"/>
    <mergeCell ref="R154:S154"/>
    <mergeCell ref="B146:F146"/>
    <mergeCell ref="G146:N146"/>
    <mergeCell ref="B149:T149"/>
    <mergeCell ref="B151:D151"/>
    <mergeCell ref="E151:T151"/>
    <mergeCell ref="B152:C153"/>
    <mergeCell ref="D152:H153"/>
    <mergeCell ref="I152:M153"/>
    <mergeCell ref="N152:S152"/>
    <mergeCell ref="T152:T153"/>
    <mergeCell ref="B143:F143"/>
    <mergeCell ref="G143:N143"/>
    <mergeCell ref="B144:F144"/>
    <mergeCell ref="G144:N144"/>
    <mergeCell ref="B145:D145"/>
    <mergeCell ref="E145:F145"/>
    <mergeCell ref="G145:J145"/>
    <mergeCell ref="K145:N145"/>
    <mergeCell ref="G135:N138"/>
    <mergeCell ref="B139:F140"/>
    <mergeCell ref="G139:N139"/>
    <mergeCell ref="G140:N140"/>
    <mergeCell ref="B141:F142"/>
    <mergeCell ref="G141:N142"/>
    <mergeCell ref="B129:F129"/>
    <mergeCell ref="G129:N129"/>
    <mergeCell ref="B131:T131"/>
    <mergeCell ref="B132:T132"/>
    <mergeCell ref="B133:F133"/>
    <mergeCell ref="G133:N133"/>
    <mergeCell ref="O133:T146"/>
    <mergeCell ref="B134:F134"/>
    <mergeCell ref="G134:N134"/>
    <mergeCell ref="B135:F138"/>
    <mergeCell ref="B126:F126"/>
    <mergeCell ref="G126:N126"/>
    <mergeCell ref="B127:F127"/>
    <mergeCell ref="G127:N127"/>
    <mergeCell ref="B128:D128"/>
    <mergeCell ref="E128:F128"/>
    <mergeCell ref="G128:J128"/>
    <mergeCell ref="K128:N128"/>
    <mergeCell ref="G118:N121"/>
    <mergeCell ref="B122:F123"/>
    <mergeCell ref="G122:N122"/>
    <mergeCell ref="G123:N123"/>
    <mergeCell ref="B124:F125"/>
    <mergeCell ref="G124:N125"/>
    <mergeCell ref="B112:F112"/>
    <mergeCell ref="G112:N112"/>
    <mergeCell ref="B114:T114"/>
    <mergeCell ref="B115:T115"/>
    <mergeCell ref="B116:F116"/>
    <mergeCell ref="G116:N116"/>
    <mergeCell ref="O116:T129"/>
    <mergeCell ref="B117:F117"/>
    <mergeCell ref="G117:N117"/>
    <mergeCell ref="B118:F121"/>
    <mergeCell ref="B109:F109"/>
    <mergeCell ref="G109:N109"/>
    <mergeCell ref="B110:F110"/>
    <mergeCell ref="G110:N110"/>
    <mergeCell ref="B111:D111"/>
    <mergeCell ref="E111:F111"/>
    <mergeCell ref="G111:J111"/>
    <mergeCell ref="K111:N111"/>
    <mergeCell ref="G101:N104"/>
    <mergeCell ref="B105:F106"/>
    <mergeCell ref="G105:N105"/>
    <mergeCell ref="G106:N106"/>
    <mergeCell ref="B107:F108"/>
    <mergeCell ref="G107:N108"/>
    <mergeCell ref="B95:F95"/>
    <mergeCell ref="G95:N95"/>
    <mergeCell ref="B97:T97"/>
    <mergeCell ref="B98:T98"/>
    <mergeCell ref="B99:F99"/>
    <mergeCell ref="G99:N99"/>
    <mergeCell ref="O99:T112"/>
    <mergeCell ref="B100:F100"/>
    <mergeCell ref="G100:N100"/>
    <mergeCell ref="B101:F104"/>
    <mergeCell ref="B92:F92"/>
    <mergeCell ref="G92:N92"/>
    <mergeCell ref="B93:F93"/>
    <mergeCell ref="G93:N93"/>
    <mergeCell ref="B94:D94"/>
    <mergeCell ref="E94:F94"/>
    <mergeCell ref="G94:J94"/>
    <mergeCell ref="K94:N94"/>
    <mergeCell ref="B84:F87"/>
    <mergeCell ref="G84:N87"/>
    <mergeCell ref="B88:F89"/>
    <mergeCell ref="G88:N88"/>
    <mergeCell ref="G89:N89"/>
    <mergeCell ref="B90:F91"/>
    <mergeCell ref="G90:N91"/>
    <mergeCell ref="B75:F75"/>
    <mergeCell ref="G75:N75"/>
    <mergeCell ref="B78:T78"/>
    <mergeCell ref="B80:T80"/>
    <mergeCell ref="B81:T81"/>
    <mergeCell ref="B82:F82"/>
    <mergeCell ref="G82:N82"/>
    <mergeCell ref="O82:T95"/>
    <mergeCell ref="B83:F83"/>
    <mergeCell ref="G83:N83"/>
    <mergeCell ref="B72:F72"/>
    <mergeCell ref="G72:N72"/>
    <mergeCell ref="B73:F73"/>
    <mergeCell ref="G73:N73"/>
    <mergeCell ref="B74:D74"/>
    <mergeCell ref="E74:F74"/>
    <mergeCell ref="G74:J74"/>
    <mergeCell ref="K74:N74"/>
    <mergeCell ref="G65:N68"/>
    <mergeCell ref="B69:F69"/>
    <mergeCell ref="G69:N69"/>
    <mergeCell ref="B70:F70"/>
    <mergeCell ref="G70:N70"/>
    <mergeCell ref="B71:F71"/>
    <mergeCell ref="G71:N71"/>
    <mergeCell ref="B59:F59"/>
    <mergeCell ref="G59:N59"/>
    <mergeCell ref="B61:T61"/>
    <mergeCell ref="B62:T62"/>
    <mergeCell ref="B63:F63"/>
    <mergeCell ref="G63:N63"/>
    <mergeCell ref="O63:T75"/>
    <mergeCell ref="B64:F64"/>
    <mergeCell ref="G64:N64"/>
    <mergeCell ref="B65:F68"/>
    <mergeCell ref="B57:F57"/>
    <mergeCell ref="G57:N57"/>
    <mergeCell ref="B58:D58"/>
    <mergeCell ref="E58:F58"/>
    <mergeCell ref="G58:J58"/>
    <mergeCell ref="K58:N58"/>
    <mergeCell ref="G49:N52"/>
    <mergeCell ref="B53:F53"/>
    <mergeCell ref="G53:N53"/>
    <mergeCell ref="B54:F54"/>
    <mergeCell ref="G54:N54"/>
    <mergeCell ref="B55:F55"/>
    <mergeCell ref="G55:N55"/>
    <mergeCell ref="B43:F43"/>
    <mergeCell ref="G43:N43"/>
    <mergeCell ref="B45:T45"/>
    <mergeCell ref="B46:T46"/>
    <mergeCell ref="B47:F47"/>
    <mergeCell ref="G47:N47"/>
    <mergeCell ref="O47:T59"/>
    <mergeCell ref="B48:F48"/>
    <mergeCell ref="G48:N48"/>
    <mergeCell ref="B49:F52"/>
    <mergeCell ref="G38:N38"/>
    <mergeCell ref="B39:F39"/>
    <mergeCell ref="G39:N39"/>
    <mergeCell ref="B40:F40"/>
    <mergeCell ref="G40:N40"/>
    <mergeCell ref="B29:T29"/>
    <mergeCell ref="B30:T30"/>
    <mergeCell ref="B31:F31"/>
    <mergeCell ref="G31:N31"/>
    <mergeCell ref="O31:T43"/>
    <mergeCell ref="B32:F32"/>
    <mergeCell ref="G32:N32"/>
    <mergeCell ref="B33:F36"/>
    <mergeCell ref="G33:N36"/>
    <mergeCell ref="B37:F37"/>
    <mergeCell ref="B56:F56"/>
    <mergeCell ref="G56:N56"/>
    <mergeCell ref="B1:T1"/>
    <mergeCell ref="B2:T2"/>
    <mergeCell ref="B4:T4"/>
    <mergeCell ref="B6:G6"/>
    <mergeCell ref="H6:T6"/>
    <mergeCell ref="B7:G7"/>
    <mergeCell ref="H7:T7"/>
    <mergeCell ref="B26:D26"/>
    <mergeCell ref="E26:F26"/>
    <mergeCell ref="G26:J26"/>
    <mergeCell ref="K26:N26"/>
    <mergeCell ref="B27:F27"/>
    <mergeCell ref="G27:N27"/>
    <mergeCell ref="B23:F23"/>
    <mergeCell ref="G23:N23"/>
    <mergeCell ref="B24:F24"/>
    <mergeCell ref="G24:N24"/>
    <mergeCell ref="B25:F25"/>
    <mergeCell ref="G25:N25"/>
    <mergeCell ref="B17:F20"/>
    <mergeCell ref="G17:N20"/>
    <mergeCell ref="B21:F21"/>
    <mergeCell ref="G21:N21"/>
    <mergeCell ref="B22:F22"/>
    <mergeCell ref="G22:N22"/>
    <mergeCell ref="B170:C170"/>
    <mergeCell ref="D169:H169"/>
    <mergeCell ref="D170:H170"/>
    <mergeCell ref="I160:M160"/>
    <mergeCell ref="I161:M161"/>
    <mergeCell ref="I162:M162"/>
    <mergeCell ref="I163:M163"/>
    <mergeCell ref="I164:M164"/>
    <mergeCell ref="I165:M165"/>
    <mergeCell ref="I166:M166"/>
    <mergeCell ref="I167:M167"/>
    <mergeCell ref="I168:M168"/>
    <mergeCell ref="I169:M169"/>
    <mergeCell ref="I170:M170"/>
    <mergeCell ref="B8:G8"/>
    <mergeCell ref="H8:T8"/>
    <mergeCell ref="B11:T11"/>
    <mergeCell ref="B13:T13"/>
    <mergeCell ref="B14:T14"/>
    <mergeCell ref="B15:F15"/>
    <mergeCell ref="G15:N15"/>
    <mergeCell ref="O15:T27"/>
    <mergeCell ref="B16:F16"/>
    <mergeCell ref="G16:N16"/>
    <mergeCell ref="B41:F41"/>
    <mergeCell ref="G41:N41"/>
    <mergeCell ref="B42:D42"/>
    <mergeCell ref="E42:F42"/>
    <mergeCell ref="G42:J42"/>
    <mergeCell ref="K42:N42"/>
    <mergeCell ref="G37:N37"/>
    <mergeCell ref="B38:F38"/>
    <mergeCell ref="N160:O160"/>
    <mergeCell ref="P160:Q160"/>
    <mergeCell ref="P161:Q161"/>
    <mergeCell ref="P162:Q162"/>
    <mergeCell ref="P163:Q163"/>
    <mergeCell ref="P164:Q164"/>
    <mergeCell ref="P165:Q165"/>
    <mergeCell ref="B168:C168"/>
    <mergeCell ref="D161:H161"/>
    <mergeCell ref="D162:H162"/>
    <mergeCell ref="D163:H163"/>
    <mergeCell ref="D164:H164"/>
    <mergeCell ref="D165:H165"/>
    <mergeCell ref="D166:H166"/>
    <mergeCell ref="D167:H167"/>
    <mergeCell ref="D168:H168"/>
    <mergeCell ref="B169:C169"/>
    <mergeCell ref="J220:O220"/>
    <mergeCell ref="P220:Q220"/>
    <mergeCell ref="R220:S220"/>
    <mergeCell ref="F221:I221"/>
    <mergeCell ref="J221:O221"/>
    <mergeCell ref="P221:Q221"/>
    <mergeCell ref="R221:S221"/>
    <mergeCell ref="R166:S166"/>
    <mergeCell ref="R160:S160"/>
    <mergeCell ref="R161:S161"/>
    <mergeCell ref="R162:S162"/>
    <mergeCell ref="R163:S163"/>
    <mergeCell ref="R164:S164"/>
    <mergeCell ref="R165:S165"/>
    <mergeCell ref="R167:S167"/>
    <mergeCell ref="R168:S168"/>
    <mergeCell ref="R169:S169"/>
    <mergeCell ref="R170:S170"/>
    <mergeCell ref="P167:Q167"/>
    <mergeCell ref="P168:Q168"/>
    <mergeCell ref="P169:Q169"/>
    <mergeCell ref="P170:Q170"/>
    <mergeCell ref="N161:O161"/>
    <mergeCell ref="N162:O162"/>
    <mergeCell ref="N163:O163"/>
    <mergeCell ref="N164:O164"/>
    <mergeCell ref="N165:O165"/>
    <mergeCell ref="N166:O166"/>
    <mergeCell ref="N167:O167"/>
    <mergeCell ref="N168:O168"/>
    <mergeCell ref="N169:O169"/>
    <mergeCell ref="N170:O170"/>
    <mergeCell ref="J416:L416"/>
    <mergeCell ref="M416:O416"/>
    <mergeCell ref="P416:R416"/>
    <mergeCell ref="S416:T416"/>
    <mergeCell ref="F223:I223"/>
    <mergeCell ref="J223:O223"/>
    <mergeCell ref="P223:Q223"/>
    <mergeCell ref="R223:S223"/>
    <mergeCell ref="J232:O232"/>
    <mergeCell ref="P232:Q232"/>
    <mergeCell ref="R232:S232"/>
    <mergeCell ref="F233:I233"/>
    <mergeCell ref="J233:O233"/>
    <mergeCell ref="P233:Q233"/>
    <mergeCell ref="R233:S233"/>
    <mergeCell ref="F234:I234"/>
    <mergeCell ref="J234:O234"/>
    <mergeCell ref="P234:Q234"/>
    <mergeCell ref="R234:S234"/>
    <mergeCell ref="J227:O227"/>
    <mergeCell ref="P227:Q227"/>
    <mergeCell ref="R227:S227"/>
    <mergeCell ref="F229:I229"/>
    <mergeCell ref="J229:O229"/>
    <mergeCell ref="P229:Q229"/>
    <mergeCell ref="R229:S229"/>
    <mergeCell ref="F231:I231"/>
    <mergeCell ref="J231:O231"/>
    <mergeCell ref="P231:Q231"/>
    <mergeCell ref="R231:S231"/>
    <mergeCell ref="F232:I232"/>
    <mergeCell ref="P230:Q230"/>
  </mergeCells>
  <dataValidations disablePrompts="1" count="2">
    <dataValidation type="list" allowBlank="1" showErrorMessage="1" sqref="N299:O311" xr:uid="{DD4DE60D-F678-4766-A728-8CB58C85688F}">
      <formula1>$AN$299:$AN$304</formula1>
    </dataValidation>
    <dataValidation type="list" allowBlank="1" showErrorMessage="1" sqref="G299:I311 N349:O360 M348:M360" xr:uid="{C873D7B2-BE4D-48A8-A15D-2E27AD17E4B2}">
      <formula1>$AM$299:$AM$303</formula1>
    </dataValidation>
  </dataValidations>
  <pageMargins left="0.7" right="0.7" top="0.75" bottom="0.75" header="0" footer="0"/>
  <pageSetup orientation="landscape" r:id="rId1"/>
  <ignoredErrors>
    <ignoredError sqref="T157"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88E23-9BDE-4233-A2DE-1487A400A27C}">
  <sheetPr>
    <tabColor theme="9" tint="0.59999389629810485"/>
  </sheetPr>
  <dimension ref="A1:EM1383"/>
  <sheetViews>
    <sheetView showGridLines="0" zoomScale="60" zoomScaleNormal="60" workbookViewId="0">
      <selection activeCell="H325" sqref="H325"/>
    </sheetView>
  </sheetViews>
  <sheetFormatPr baseColWidth="10" defaultColWidth="12" defaultRowHeight="15.5" x14ac:dyDescent="0.35"/>
  <cols>
    <col min="1" max="1" width="5.81640625" style="489" customWidth="1"/>
    <col min="2" max="2" width="23.26953125" style="43" customWidth="1"/>
    <col min="3" max="3" width="30.36328125" style="43" customWidth="1"/>
    <col min="4" max="4" width="15.6328125" style="43" customWidth="1"/>
    <col min="5" max="5" width="13.7265625" style="43" customWidth="1"/>
    <col min="6" max="10" width="16.1796875" style="43" customWidth="1"/>
    <col min="11" max="11" width="16.453125" style="43" customWidth="1"/>
    <col min="12" max="12" width="15.36328125" style="43" customWidth="1"/>
    <col min="13" max="13" width="7.08984375" style="43" customWidth="1"/>
    <col min="14" max="14" width="7.1796875" style="43" customWidth="1"/>
    <col min="15" max="29" width="7.1796875" style="44" customWidth="1"/>
    <col min="30" max="30" width="17.54296875" style="44" customWidth="1"/>
    <col min="31" max="38" width="11.453125" style="44" customWidth="1"/>
    <col min="39" max="39" width="16.26953125" style="44" bestFit="1" customWidth="1"/>
    <col min="40" max="40" width="29.1796875" style="44" bestFit="1" customWidth="1"/>
    <col min="41" max="42" width="16.26953125" style="44" bestFit="1" customWidth="1"/>
    <col min="43" max="43" width="16.1796875" style="44" customWidth="1"/>
    <col min="44" max="45" width="16.26953125" style="44" bestFit="1" customWidth="1"/>
    <col min="46" max="143" width="12" style="44"/>
    <col min="144" max="16384" width="12" style="43"/>
  </cols>
  <sheetData>
    <row r="1" spans="1:143" ht="409.5" customHeight="1" x14ac:dyDescent="0.35">
      <c r="A1" s="488"/>
      <c r="B1" s="1735"/>
      <c r="C1" s="1735"/>
      <c r="D1" s="1735"/>
      <c r="E1" s="1735"/>
      <c r="F1" s="1735"/>
      <c r="G1" s="1735"/>
      <c r="H1" s="1735"/>
      <c r="I1" s="1735"/>
      <c r="J1" s="1735"/>
      <c r="K1" s="1735"/>
      <c r="L1" s="1735"/>
      <c r="M1" s="1736"/>
    </row>
    <row r="2" spans="1:143" x14ac:dyDescent="0.35">
      <c r="B2" s="490"/>
      <c r="C2" s="490"/>
      <c r="D2" s="491"/>
      <c r="E2" s="491"/>
      <c r="F2" s="490"/>
      <c r="G2" s="490"/>
      <c r="H2" s="490"/>
      <c r="I2" s="491"/>
      <c r="J2" s="492"/>
      <c r="K2" s="493"/>
      <c r="L2" s="494"/>
      <c r="M2" s="494"/>
    </row>
    <row r="3" spans="1:143" ht="26" x14ac:dyDescent="0.6">
      <c r="B3" s="1607" t="s">
        <v>868</v>
      </c>
      <c r="C3" s="1607"/>
      <c r="D3" s="1607"/>
      <c r="E3" s="1607"/>
      <c r="F3" s="1607"/>
      <c r="G3" s="1607"/>
      <c r="H3" s="1607"/>
      <c r="I3" s="1607"/>
      <c r="J3" s="1607"/>
      <c r="K3" s="1607"/>
      <c r="L3" s="1607"/>
      <c r="M3" s="1607"/>
    </row>
    <row r="4" spans="1:143" ht="16" thickBot="1" x14ac:dyDescent="0.4">
      <c r="B4" s="495"/>
      <c r="C4" s="495"/>
      <c r="D4" s="495"/>
      <c r="E4" s="495"/>
      <c r="F4" s="495"/>
      <c r="G4" s="495"/>
      <c r="H4" s="495"/>
      <c r="I4" s="495"/>
      <c r="J4" s="495"/>
      <c r="K4" s="495"/>
      <c r="L4" s="495"/>
      <c r="M4" s="495"/>
    </row>
    <row r="5" spans="1:143" s="499" customFormat="1" x14ac:dyDescent="0.35">
      <c r="A5" s="496"/>
      <c r="B5" s="854" t="s">
        <v>869</v>
      </c>
      <c r="C5" s="1721"/>
      <c r="D5" s="1721"/>
      <c r="E5" s="1722"/>
      <c r="F5" s="43"/>
      <c r="G5" s="1719" t="s">
        <v>870</v>
      </c>
      <c r="H5" s="1719"/>
      <c r="I5" s="1719"/>
      <c r="J5" s="1719"/>
      <c r="K5" s="1719"/>
      <c r="L5" s="497"/>
      <c r="M5" s="496"/>
      <c r="N5" s="496"/>
      <c r="O5" s="498"/>
      <c r="P5" s="498"/>
      <c r="Q5" s="498"/>
      <c r="R5" s="498"/>
      <c r="S5" s="498"/>
      <c r="T5" s="498"/>
      <c r="U5" s="498"/>
      <c r="V5" s="498"/>
      <c r="W5" s="498"/>
      <c r="X5" s="498"/>
      <c r="Y5" s="498"/>
      <c r="Z5" s="498"/>
      <c r="AA5" s="498"/>
      <c r="AB5" s="498"/>
      <c r="AC5" s="498"/>
      <c r="AD5" s="498"/>
      <c r="AE5" s="498"/>
      <c r="AF5" s="498"/>
      <c r="AG5" s="498"/>
      <c r="AH5" s="498"/>
      <c r="AI5" s="498"/>
      <c r="AJ5" s="498"/>
      <c r="AK5" s="498"/>
      <c r="AL5" s="498"/>
      <c r="AM5" s="498"/>
      <c r="AN5" s="498"/>
      <c r="AO5" s="498"/>
      <c r="AP5" s="498"/>
      <c r="AQ5" s="498"/>
      <c r="AR5" s="498"/>
      <c r="AS5" s="498"/>
      <c r="AT5" s="498"/>
      <c r="AU5" s="498"/>
      <c r="AV5" s="498"/>
      <c r="AW5" s="498"/>
      <c r="AX5" s="498"/>
      <c r="AY5" s="498"/>
      <c r="AZ5" s="498"/>
      <c r="BA5" s="498"/>
      <c r="BB5" s="498"/>
      <c r="BC5" s="498"/>
      <c r="BD5" s="498"/>
      <c r="BE5" s="498"/>
      <c r="BF5" s="498"/>
      <c r="BG5" s="498"/>
      <c r="BH5" s="498"/>
      <c r="BI5" s="498"/>
      <c r="BJ5" s="498"/>
      <c r="BK5" s="498"/>
      <c r="BL5" s="498"/>
      <c r="BM5" s="498"/>
      <c r="BN5" s="498"/>
      <c r="BO5" s="498"/>
      <c r="BP5" s="498"/>
      <c r="BQ5" s="498"/>
      <c r="BR5" s="498"/>
      <c r="BS5" s="498"/>
      <c r="BT5" s="498"/>
      <c r="BU5" s="498"/>
      <c r="BV5" s="498"/>
      <c r="BW5" s="498"/>
      <c r="BX5" s="498"/>
      <c r="BY5" s="498"/>
      <c r="BZ5" s="498"/>
      <c r="CA5" s="498"/>
      <c r="CB5" s="498"/>
      <c r="CC5" s="498"/>
      <c r="CD5" s="498"/>
      <c r="CE5" s="498"/>
      <c r="CF5" s="498"/>
      <c r="CG5" s="498"/>
      <c r="CH5" s="498"/>
      <c r="CI5" s="498"/>
      <c r="CJ5" s="498"/>
      <c r="CK5" s="498"/>
      <c r="CL5" s="498"/>
      <c r="CM5" s="498"/>
      <c r="CN5" s="498"/>
      <c r="CO5" s="498"/>
      <c r="CP5" s="498"/>
      <c r="CQ5" s="498"/>
      <c r="CR5" s="498"/>
      <c r="CS5" s="498"/>
      <c r="CT5" s="498"/>
      <c r="CU5" s="498"/>
      <c r="CV5" s="498"/>
      <c r="CW5" s="498"/>
      <c r="CX5" s="498"/>
      <c r="CY5" s="498"/>
      <c r="CZ5" s="498"/>
      <c r="DA5" s="498"/>
      <c r="DB5" s="498"/>
      <c r="DC5" s="498"/>
      <c r="DD5" s="498"/>
      <c r="DE5" s="498"/>
      <c r="DF5" s="498"/>
      <c r="DG5" s="498"/>
      <c r="DH5" s="498"/>
      <c r="DI5" s="498"/>
      <c r="DJ5" s="498"/>
      <c r="DK5" s="498"/>
      <c r="DL5" s="498"/>
      <c r="DM5" s="498"/>
      <c r="DN5" s="498"/>
      <c r="DO5" s="498"/>
      <c r="DP5" s="498"/>
      <c r="DQ5" s="498"/>
      <c r="DR5" s="498"/>
      <c r="DS5" s="498"/>
      <c r="DT5" s="498"/>
      <c r="DU5" s="498"/>
      <c r="DV5" s="498"/>
      <c r="DW5" s="498"/>
      <c r="DX5" s="498"/>
      <c r="DY5" s="498"/>
      <c r="DZ5" s="498"/>
      <c r="EA5" s="498"/>
      <c r="EB5" s="498"/>
      <c r="EC5" s="498"/>
      <c r="ED5" s="498"/>
      <c r="EE5" s="498"/>
      <c r="EF5" s="498"/>
      <c r="EG5" s="498"/>
      <c r="EH5" s="498"/>
      <c r="EI5" s="498"/>
      <c r="EJ5" s="498"/>
      <c r="EK5" s="498"/>
      <c r="EL5" s="498"/>
      <c r="EM5" s="498"/>
    </row>
    <row r="6" spans="1:143" s="499" customFormat="1" ht="6.75" customHeight="1" x14ac:dyDescent="0.35">
      <c r="A6" s="496"/>
      <c r="B6" s="1723"/>
      <c r="C6" s="812"/>
      <c r="D6" s="812"/>
      <c r="E6" s="1724"/>
      <c r="F6" s="43"/>
      <c r="G6" s="500"/>
      <c r="H6" s="501"/>
      <c r="I6" s="501"/>
      <c r="J6" s="501"/>
      <c r="K6" s="502"/>
      <c r="L6" s="497"/>
      <c r="M6" s="496"/>
      <c r="N6" s="496"/>
      <c r="O6" s="498"/>
      <c r="P6" s="498"/>
      <c r="Q6" s="498"/>
      <c r="R6" s="498"/>
      <c r="S6" s="498"/>
      <c r="T6" s="498"/>
      <c r="U6" s="498"/>
      <c r="V6" s="498"/>
      <c r="W6" s="498"/>
      <c r="X6" s="498"/>
      <c r="Y6" s="498"/>
      <c r="Z6" s="498"/>
      <c r="AA6" s="498"/>
      <c r="AB6" s="498"/>
      <c r="AC6" s="498"/>
      <c r="AD6" s="498"/>
      <c r="AE6" s="498"/>
      <c r="AF6" s="498"/>
      <c r="AG6" s="498"/>
      <c r="AH6" s="498"/>
      <c r="AI6" s="498"/>
      <c r="AJ6" s="498"/>
      <c r="AK6" s="498"/>
      <c r="AL6" s="498"/>
      <c r="AM6" s="498"/>
      <c r="AN6" s="498"/>
      <c r="AO6" s="498"/>
      <c r="AP6" s="498"/>
      <c r="AQ6" s="498"/>
      <c r="AR6" s="498"/>
      <c r="AS6" s="498"/>
      <c r="AT6" s="498"/>
      <c r="AU6" s="498"/>
      <c r="AV6" s="498"/>
      <c r="AW6" s="498"/>
      <c r="AX6" s="498"/>
      <c r="AY6" s="498"/>
      <c r="AZ6" s="498"/>
      <c r="BA6" s="498"/>
      <c r="BB6" s="498"/>
      <c r="BC6" s="498"/>
      <c r="BD6" s="498"/>
      <c r="BE6" s="498"/>
      <c r="BF6" s="498"/>
      <c r="BG6" s="498"/>
      <c r="BH6" s="498"/>
      <c r="BI6" s="498"/>
      <c r="BJ6" s="498"/>
      <c r="BK6" s="498"/>
      <c r="BL6" s="498"/>
      <c r="BM6" s="498"/>
      <c r="BN6" s="498"/>
      <c r="BO6" s="498"/>
      <c r="BP6" s="498"/>
      <c r="BQ6" s="498"/>
      <c r="BR6" s="498"/>
      <c r="BS6" s="498"/>
      <c r="BT6" s="498"/>
      <c r="BU6" s="498"/>
      <c r="BV6" s="498"/>
      <c r="BW6" s="498"/>
      <c r="BX6" s="498"/>
      <c r="BY6" s="498"/>
      <c r="BZ6" s="498"/>
      <c r="CA6" s="498"/>
      <c r="CB6" s="498"/>
      <c r="CC6" s="498"/>
      <c r="CD6" s="498"/>
      <c r="CE6" s="498"/>
      <c r="CF6" s="498"/>
      <c r="CG6" s="498"/>
      <c r="CH6" s="498"/>
      <c r="CI6" s="498"/>
      <c r="CJ6" s="498"/>
      <c r="CK6" s="498"/>
      <c r="CL6" s="498"/>
      <c r="CM6" s="498"/>
      <c r="CN6" s="498"/>
      <c r="CO6" s="498"/>
      <c r="CP6" s="498"/>
      <c r="CQ6" s="498"/>
      <c r="CR6" s="498"/>
      <c r="CS6" s="498"/>
      <c r="CT6" s="498"/>
      <c r="CU6" s="498"/>
      <c r="CV6" s="498"/>
      <c r="CW6" s="498"/>
      <c r="CX6" s="498"/>
      <c r="CY6" s="498"/>
      <c r="CZ6" s="498"/>
      <c r="DA6" s="498"/>
      <c r="DB6" s="498"/>
      <c r="DC6" s="498"/>
      <c r="DD6" s="498"/>
      <c r="DE6" s="498"/>
      <c r="DF6" s="498"/>
      <c r="DG6" s="498"/>
      <c r="DH6" s="498"/>
      <c r="DI6" s="498"/>
      <c r="DJ6" s="498"/>
      <c r="DK6" s="498"/>
      <c r="DL6" s="498"/>
      <c r="DM6" s="498"/>
      <c r="DN6" s="498"/>
      <c r="DO6" s="498"/>
      <c r="DP6" s="498"/>
      <c r="DQ6" s="498"/>
      <c r="DR6" s="498"/>
      <c r="DS6" s="498"/>
      <c r="DT6" s="498"/>
      <c r="DU6" s="498"/>
      <c r="DV6" s="498"/>
      <c r="DW6" s="498"/>
      <c r="DX6" s="498"/>
      <c r="DY6" s="498"/>
      <c r="DZ6" s="498"/>
      <c r="EA6" s="498"/>
      <c r="EB6" s="498"/>
      <c r="EC6" s="498"/>
      <c r="ED6" s="498"/>
      <c r="EE6" s="498"/>
      <c r="EF6" s="498"/>
      <c r="EG6" s="498"/>
      <c r="EH6" s="498"/>
      <c r="EI6" s="498"/>
      <c r="EJ6" s="498"/>
      <c r="EK6" s="498"/>
      <c r="EL6" s="498"/>
      <c r="EM6" s="498"/>
    </row>
    <row r="7" spans="1:143" s="499" customFormat="1" x14ac:dyDescent="0.35">
      <c r="A7" s="496"/>
      <c r="B7" s="1725"/>
      <c r="C7" s="812"/>
      <c r="D7" s="812"/>
      <c r="E7" s="1724"/>
      <c r="F7" s="43"/>
      <c r="G7" s="1719" t="s">
        <v>871</v>
      </c>
      <c r="H7" s="1719"/>
      <c r="I7" s="1719"/>
      <c r="J7" s="1719"/>
      <c r="K7" s="1719"/>
      <c r="L7" s="497"/>
      <c r="M7" s="496"/>
      <c r="N7" s="496"/>
      <c r="O7" s="498"/>
      <c r="P7" s="498"/>
      <c r="Q7" s="498"/>
      <c r="R7" s="498"/>
      <c r="S7" s="498"/>
      <c r="T7" s="498"/>
      <c r="U7" s="498"/>
      <c r="V7" s="498"/>
      <c r="W7" s="498"/>
      <c r="X7" s="498"/>
      <c r="Y7" s="498"/>
      <c r="Z7" s="498"/>
      <c r="AA7" s="498"/>
      <c r="AB7" s="498"/>
      <c r="AC7" s="498"/>
      <c r="AD7" s="498"/>
      <c r="AE7" s="498"/>
      <c r="AF7" s="498"/>
      <c r="AG7" s="498"/>
      <c r="AH7" s="498"/>
      <c r="AI7" s="498"/>
      <c r="AJ7" s="498"/>
      <c r="AK7" s="498"/>
      <c r="AL7" s="498"/>
      <c r="AM7" s="498"/>
      <c r="AN7" s="498"/>
      <c r="AO7" s="498"/>
      <c r="AP7" s="498"/>
      <c r="AQ7" s="498"/>
      <c r="AR7" s="498"/>
      <c r="AS7" s="498"/>
      <c r="AT7" s="498"/>
      <c r="AU7" s="498"/>
      <c r="AV7" s="498"/>
      <c r="AW7" s="498"/>
      <c r="AX7" s="498"/>
      <c r="AY7" s="498"/>
      <c r="AZ7" s="498"/>
      <c r="BA7" s="498"/>
      <c r="BB7" s="498"/>
      <c r="BC7" s="498"/>
      <c r="BD7" s="498"/>
      <c r="BE7" s="498"/>
      <c r="BF7" s="498"/>
      <c r="BG7" s="498"/>
      <c r="BH7" s="498"/>
      <c r="BI7" s="498"/>
      <c r="BJ7" s="498"/>
      <c r="BK7" s="498"/>
      <c r="BL7" s="498"/>
      <c r="BM7" s="498"/>
      <c r="BN7" s="498"/>
      <c r="BO7" s="498"/>
      <c r="BP7" s="498"/>
      <c r="BQ7" s="498"/>
      <c r="BR7" s="498"/>
      <c r="BS7" s="498"/>
      <c r="BT7" s="498"/>
      <c r="BU7" s="498"/>
      <c r="BV7" s="498"/>
      <c r="BW7" s="498"/>
      <c r="BX7" s="498"/>
      <c r="BY7" s="498"/>
      <c r="BZ7" s="498"/>
      <c r="CA7" s="498"/>
      <c r="CB7" s="498"/>
      <c r="CC7" s="498"/>
      <c r="CD7" s="498"/>
      <c r="CE7" s="498"/>
      <c r="CF7" s="498"/>
      <c r="CG7" s="498"/>
      <c r="CH7" s="498"/>
      <c r="CI7" s="498"/>
      <c r="CJ7" s="498"/>
      <c r="CK7" s="498"/>
      <c r="CL7" s="498"/>
      <c r="CM7" s="498"/>
      <c r="CN7" s="498"/>
      <c r="CO7" s="498"/>
      <c r="CP7" s="498"/>
      <c r="CQ7" s="498"/>
      <c r="CR7" s="498"/>
      <c r="CS7" s="498"/>
      <c r="CT7" s="498"/>
      <c r="CU7" s="498"/>
      <c r="CV7" s="498"/>
      <c r="CW7" s="498"/>
      <c r="CX7" s="498"/>
      <c r="CY7" s="498"/>
      <c r="CZ7" s="498"/>
      <c r="DA7" s="498"/>
      <c r="DB7" s="498"/>
      <c r="DC7" s="498"/>
      <c r="DD7" s="498"/>
      <c r="DE7" s="498"/>
      <c r="DF7" s="498"/>
      <c r="DG7" s="498"/>
      <c r="DH7" s="498"/>
      <c r="DI7" s="498"/>
      <c r="DJ7" s="498"/>
      <c r="DK7" s="498"/>
      <c r="DL7" s="498"/>
      <c r="DM7" s="498"/>
      <c r="DN7" s="498"/>
      <c r="DO7" s="498"/>
      <c r="DP7" s="498"/>
      <c r="DQ7" s="498"/>
      <c r="DR7" s="498"/>
      <c r="DS7" s="498"/>
      <c r="DT7" s="498"/>
      <c r="DU7" s="498"/>
      <c r="DV7" s="498"/>
      <c r="DW7" s="498"/>
      <c r="DX7" s="498"/>
      <c r="DY7" s="498"/>
      <c r="DZ7" s="498"/>
      <c r="EA7" s="498"/>
      <c r="EB7" s="498"/>
      <c r="EC7" s="498"/>
      <c r="ED7" s="498"/>
      <c r="EE7" s="498"/>
      <c r="EF7" s="498"/>
      <c r="EG7" s="498"/>
      <c r="EH7" s="498"/>
      <c r="EI7" s="498"/>
      <c r="EJ7" s="498"/>
      <c r="EK7" s="498"/>
      <c r="EL7" s="498"/>
      <c r="EM7" s="498"/>
    </row>
    <row r="8" spans="1:143" s="499" customFormat="1" ht="6.75" customHeight="1" x14ac:dyDescent="0.35">
      <c r="A8" s="496"/>
      <c r="B8" s="1725"/>
      <c r="C8" s="812"/>
      <c r="D8" s="812"/>
      <c r="E8" s="1724"/>
      <c r="F8" s="43"/>
      <c r="G8" s="500"/>
      <c r="H8" s="501"/>
      <c r="I8" s="501"/>
      <c r="J8" s="501"/>
      <c r="K8" s="502"/>
      <c r="L8" s="497"/>
      <c r="M8" s="496"/>
      <c r="N8" s="496"/>
      <c r="O8" s="498"/>
      <c r="P8" s="498"/>
      <c r="Q8" s="498"/>
      <c r="R8" s="498"/>
      <c r="S8" s="498"/>
      <c r="T8" s="498"/>
      <c r="U8" s="498"/>
      <c r="V8" s="498"/>
      <c r="W8" s="498"/>
      <c r="X8" s="498"/>
      <c r="Y8" s="498"/>
      <c r="Z8" s="498"/>
      <c r="AA8" s="498"/>
      <c r="AB8" s="498"/>
      <c r="AC8" s="498"/>
      <c r="AD8" s="498"/>
      <c r="AE8" s="498"/>
      <c r="AF8" s="498"/>
      <c r="AG8" s="498"/>
      <c r="AH8" s="498"/>
      <c r="AI8" s="498"/>
      <c r="AJ8" s="498"/>
      <c r="AK8" s="498"/>
      <c r="AL8" s="498"/>
      <c r="AM8" s="498"/>
      <c r="AN8" s="498"/>
      <c r="AO8" s="498"/>
      <c r="AP8" s="498"/>
      <c r="AQ8" s="498"/>
      <c r="AR8" s="498"/>
      <c r="AS8" s="498"/>
      <c r="AT8" s="498"/>
      <c r="AU8" s="498"/>
      <c r="AV8" s="498"/>
      <c r="AW8" s="498"/>
      <c r="AX8" s="498"/>
      <c r="AY8" s="498"/>
      <c r="AZ8" s="498"/>
      <c r="BA8" s="498"/>
      <c r="BB8" s="498"/>
      <c r="BC8" s="498"/>
      <c r="BD8" s="498"/>
      <c r="BE8" s="498"/>
      <c r="BF8" s="498"/>
      <c r="BG8" s="498"/>
      <c r="BH8" s="498"/>
      <c r="BI8" s="498"/>
      <c r="BJ8" s="498"/>
      <c r="BK8" s="498"/>
      <c r="BL8" s="498"/>
      <c r="BM8" s="498"/>
      <c r="BN8" s="498"/>
      <c r="BO8" s="498"/>
      <c r="BP8" s="498"/>
      <c r="BQ8" s="498"/>
      <c r="BR8" s="498"/>
      <c r="BS8" s="498"/>
      <c r="BT8" s="498"/>
      <c r="BU8" s="498"/>
      <c r="BV8" s="498"/>
      <c r="BW8" s="498"/>
      <c r="BX8" s="498"/>
      <c r="BY8" s="498"/>
      <c r="BZ8" s="498"/>
      <c r="CA8" s="498"/>
      <c r="CB8" s="498"/>
      <c r="CC8" s="498"/>
      <c r="CD8" s="498"/>
      <c r="CE8" s="498"/>
      <c r="CF8" s="498"/>
      <c r="CG8" s="498"/>
      <c r="CH8" s="498"/>
      <c r="CI8" s="498"/>
      <c r="CJ8" s="498"/>
      <c r="CK8" s="498"/>
      <c r="CL8" s="498"/>
      <c r="CM8" s="498"/>
      <c r="CN8" s="498"/>
      <c r="CO8" s="498"/>
      <c r="CP8" s="498"/>
      <c r="CQ8" s="498"/>
      <c r="CR8" s="498"/>
      <c r="CS8" s="498"/>
      <c r="CT8" s="498"/>
      <c r="CU8" s="498"/>
      <c r="CV8" s="498"/>
      <c r="CW8" s="498"/>
      <c r="CX8" s="498"/>
      <c r="CY8" s="498"/>
      <c r="CZ8" s="498"/>
      <c r="DA8" s="498"/>
      <c r="DB8" s="498"/>
      <c r="DC8" s="498"/>
      <c r="DD8" s="498"/>
      <c r="DE8" s="498"/>
      <c r="DF8" s="498"/>
      <c r="DG8" s="498"/>
      <c r="DH8" s="498"/>
      <c r="DI8" s="498"/>
      <c r="DJ8" s="498"/>
      <c r="DK8" s="498"/>
      <c r="DL8" s="498"/>
      <c r="DM8" s="498"/>
      <c r="DN8" s="498"/>
      <c r="DO8" s="498"/>
      <c r="DP8" s="498"/>
      <c r="DQ8" s="498"/>
      <c r="DR8" s="498"/>
      <c r="DS8" s="498"/>
      <c r="DT8" s="498"/>
      <c r="DU8" s="498"/>
      <c r="DV8" s="498"/>
      <c r="DW8" s="498"/>
      <c r="DX8" s="498"/>
      <c r="DY8" s="498"/>
      <c r="DZ8" s="498"/>
      <c r="EA8" s="498"/>
      <c r="EB8" s="498"/>
      <c r="EC8" s="498"/>
      <c r="ED8" s="498"/>
      <c r="EE8" s="498"/>
      <c r="EF8" s="498"/>
      <c r="EG8" s="498"/>
      <c r="EH8" s="498"/>
      <c r="EI8" s="498"/>
      <c r="EJ8" s="498"/>
      <c r="EK8" s="498"/>
      <c r="EL8" s="498"/>
      <c r="EM8" s="498"/>
    </row>
    <row r="9" spans="1:143" s="499" customFormat="1" x14ac:dyDescent="0.35">
      <c r="A9" s="496"/>
      <c r="B9" s="1725"/>
      <c r="C9" s="812"/>
      <c r="D9" s="812"/>
      <c r="E9" s="1724"/>
      <c r="F9" s="43"/>
      <c r="G9" s="1719" t="s">
        <v>872</v>
      </c>
      <c r="H9" s="1719"/>
      <c r="I9" s="1719"/>
      <c r="J9" s="1719"/>
      <c r="K9" s="1719"/>
      <c r="L9" s="497"/>
      <c r="M9" s="496"/>
      <c r="N9" s="496"/>
      <c r="O9" s="498"/>
      <c r="P9" s="498"/>
      <c r="Q9" s="498"/>
      <c r="R9" s="498"/>
      <c r="S9" s="498"/>
      <c r="T9" s="498"/>
      <c r="U9" s="498"/>
      <c r="V9" s="498"/>
      <c r="W9" s="498"/>
      <c r="X9" s="498"/>
      <c r="Y9" s="498"/>
      <c r="Z9" s="498"/>
      <c r="AA9" s="498"/>
      <c r="AB9" s="498"/>
      <c r="AC9" s="498"/>
      <c r="AD9" s="498"/>
      <c r="AE9" s="498"/>
      <c r="AF9" s="498"/>
      <c r="AG9" s="498"/>
      <c r="AH9" s="498"/>
      <c r="AI9" s="498"/>
      <c r="AJ9" s="498"/>
      <c r="AK9" s="498"/>
      <c r="AL9" s="498"/>
      <c r="AM9" s="498"/>
      <c r="AN9" s="498"/>
      <c r="AO9" s="498"/>
      <c r="AP9" s="498"/>
      <c r="AQ9" s="498"/>
      <c r="AR9" s="498"/>
      <c r="AS9" s="498"/>
      <c r="AT9" s="498"/>
      <c r="AU9" s="498"/>
      <c r="AV9" s="498"/>
      <c r="AW9" s="498"/>
      <c r="AX9" s="498"/>
      <c r="AY9" s="498"/>
      <c r="AZ9" s="498"/>
      <c r="BA9" s="498"/>
      <c r="BB9" s="498"/>
      <c r="BC9" s="498"/>
      <c r="BD9" s="498"/>
      <c r="BE9" s="498"/>
      <c r="BF9" s="498"/>
      <c r="BG9" s="498"/>
      <c r="BH9" s="498"/>
      <c r="BI9" s="498"/>
      <c r="BJ9" s="498"/>
      <c r="BK9" s="498"/>
      <c r="BL9" s="498"/>
      <c r="BM9" s="498"/>
      <c r="BN9" s="498"/>
      <c r="BO9" s="498"/>
      <c r="BP9" s="498"/>
      <c r="BQ9" s="498"/>
      <c r="BR9" s="498"/>
      <c r="BS9" s="498"/>
      <c r="BT9" s="498"/>
      <c r="BU9" s="498"/>
      <c r="BV9" s="498"/>
      <c r="BW9" s="498"/>
      <c r="BX9" s="498"/>
      <c r="BY9" s="498"/>
      <c r="BZ9" s="498"/>
      <c r="CA9" s="498"/>
      <c r="CB9" s="498"/>
      <c r="CC9" s="498"/>
      <c r="CD9" s="498"/>
      <c r="CE9" s="498"/>
      <c r="CF9" s="498"/>
      <c r="CG9" s="498"/>
      <c r="CH9" s="498"/>
      <c r="CI9" s="498"/>
      <c r="CJ9" s="498"/>
      <c r="CK9" s="498"/>
      <c r="CL9" s="498"/>
      <c r="CM9" s="498"/>
      <c r="CN9" s="498"/>
      <c r="CO9" s="498"/>
      <c r="CP9" s="498"/>
      <c r="CQ9" s="498"/>
      <c r="CR9" s="498"/>
      <c r="CS9" s="498"/>
      <c r="CT9" s="498"/>
      <c r="CU9" s="498"/>
      <c r="CV9" s="498"/>
      <c r="CW9" s="498"/>
      <c r="CX9" s="498"/>
      <c r="CY9" s="498"/>
      <c r="CZ9" s="498"/>
      <c r="DA9" s="498"/>
      <c r="DB9" s="498"/>
      <c r="DC9" s="498"/>
      <c r="DD9" s="498"/>
      <c r="DE9" s="498"/>
      <c r="DF9" s="498"/>
      <c r="DG9" s="498"/>
      <c r="DH9" s="498"/>
      <c r="DI9" s="498"/>
      <c r="DJ9" s="498"/>
      <c r="DK9" s="498"/>
      <c r="DL9" s="498"/>
      <c r="DM9" s="498"/>
      <c r="DN9" s="498"/>
      <c r="DO9" s="498"/>
      <c r="DP9" s="498"/>
      <c r="DQ9" s="498"/>
      <c r="DR9" s="498"/>
      <c r="DS9" s="498"/>
      <c r="DT9" s="498"/>
      <c r="DU9" s="498"/>
      <c r="DV9" s="498"/>
      <c r="DW9" s="498"/>
      <c r="DX9" s="498"/>
      <c r="DY9" s="498"/>
      <c r="DZ9" s="498"/>
      <c r="EA9" s="498"/>
      <c r="EB9" s="498"/>
      <c r="EC9" s="498"/>
      <c r="ED9" s="498"/>
      <c r="EE9" s="498"/>
      <c r="EF9" s="498"/>
      <c r="EG9" s="498"/>
      <c r="EH9" s="498"/>
      <c r="EI9" s="498"/>
      <c r="EJ9" s="498"/>
      <c r="EK9" s="498"/>
      <c r="EL9" s="498"/>
      <c r="EM9" s="498"/>
    </row>
    <row r="10" spans="1:143" s="499" customFormat="1" ht="6" customHeight="1" x14ac:dyDescent="0.35">
      <c r="A10" s="496"/>
      <c r="B10" s="1725"/>
      <c r="C10" s="812"/>
      <c r="D10" s="812"/>
      <c r="E10" s="1724"/>
      <c r="F10" s="43"/>
      <c r="G10" s="500"/>
      <c r="H10" s="501"/>
      <c r="I10" s="501"/>
      <c r="J10" s="501"/>
      <c r="K10" s="502"/>
      <c r="L10" s="497"/>
      <c r="M10" s="496"/>
      <c r="N10" s="496"/>
      <c r="O10" s="498"/>
      <c r="P10" s="498"/>
      <c r="Q10" s="498"/>
      <c r="R10" s="498"/>
      <c r="S10" s="498"/>
      <c r="T10" s="498"/>
      <c r="U10" s="498"/>
      <c r="V10" s="498"/>
      <c r="W10" s="498"/>
      <c r="X10" s="498"/>
      <c r="Y10" s="498"/>
      <c r="Z10" s="498"/>
      <c r="AA10" s="498"/>
      <c r="AB10" s="498"/>
      <c r="AC10" s="498"/>
      <c r="AD10" s="498"/>
      <c r="AE10" s="498"/>
      <c r="AF10" s="498"/>
      <c r="AG10" s="498"/>
      <c r="AH10" s="498"/>
      <c r="AI10" s="498"/>
      <c r="AJ10" s="498"/>
      <c r="AK10" s="498"/>
      <c r="AL10" s="498"/>
      <c r="AM10" s="498"/>
      <c r="AN10" s="498"/>
      <c r="AO10" s="498"/>
      <c r="AP10" s="498"/>
      <c r="AQ10" s="498"/>
      <c r="AR10" s="498"/>
      <c r="AS10" s="498"/>
      <c r="AT10" s="498"/>
      <c r="AU10" s="498"/>
      <c r="AV10" s="498"/>
      <c r="AW10" s="498"/>
      <c r="AX10" s="498"/>
      <c r="AY10" s="498"/>
      <c r="AZ10" s="498"/>
      <c r="BA10" s="498"/>
      <c r="BB10" s="498"/>
      <c r="BC10" s="498"/>
      <c r="BD10" s="498"/>
      <c r="BE10" s="498"/>
      <c r="BF10" s="498"/>
      <c r="BG10" s="498"/>
      <c r="BH10" s="498"/>
      <c r="BI10" s="498"/>
      <c r="BJ10" s="498"/>
      <c r="BK10" s="498"/>
      <c r="BL10" s="498"/>
      <c r="BM10" s="498"/>
      <c r="BN10" s="498"/>
      <c r="BO10" s="498"/>
      <c r="BP10" s="498"/>
      <c r="BQ10" s="498"/>
      <c r="BR10" s="498"/>
      <c r="BS10" s="498"/>
      <c r="BT10" s="498"/>
      <c r="BU10" s="498"/>
      <c r="BV10" s="498"/>
      <c r="BW10" s="498"/>
      <c r="BX10" s="498"/>
      <c r="BY10" s="498"/>
      <c r="BZ10" s="498"/>
      <c r="CA10" s="498"/>
      <c r="CB10" s="498"/>
      <c r="CC10" s="498"/>
      <c r="CD10" s="498"/>
      <c r="CE10" s="498"/>
      <c r="CF10" s="498"/>
      <c r="CG10" s="498"/>
      <c r="CH10" s="498"/>
      <c r="CI10" s="498"/>
      <c r="CJ10" s="498"/>
      <c r="CK10" s="498"/>
      <c r="CL10" s="498"/>
      <c r="CM10" s="498"/>
      <c r="CN10" s="498"/>
      <c r="CO10" s="498"/>
      <c r="CP10" s="498"/>
      <c r="CQ10" s="498"/>
      <c r="CR10" s="498"/>
      <c r="CS10" s="498"/>
      <c r="CT10" s="498"/>
      <c r="CU10" s="498"/>
      <c r="CV10" s="498"/>
      <c r="CW10" s="498"/>
      <c r="CX10" s="498"/>
      <c r="CY10" s="498"/>
      <c r="CZ10" s="498"/>
      <c r="DA10" s="498"/>
      <c r="DB10" s="498"/>
      <c r="DC10" s="498"/>
      <c r="DD10" s="498"/>
      <c r="DE10" s="498"/>
      <c r="DF10" s="498"/>
      <c r="DG10" s="498"/>
      <c r="DH10" s="498"/>
      <c r="DI10" s="498"/>
      <c r="DJ10" s="498"/>
      <c r="DK10" s="498"/>
      <c r="DL10" s="498"/>
      <c r="DM10" s="498"/>
      <c r="DN10" s="498"/>
      <c r="DO10" s="498"/>
      <c r="DP10" s="498"/>
      <c r="DQ10" s="498"/>
      <c r="DR10" s="498"/>
      <c r="DS10" s="498"/>
      <c r="DT10" s="498"/>
      <c r="DU10" s="498"/>
      <c r="DV10" s="498"/>
      <c r="DW10" s="498"/>
      <c r="DX10" s="498"/>
      <c r="DY10" s="498"/>
      <c r="DZ10" s="498"/>
      <c r="EA10" s="498"/>
      <c r="EB10" s="498"/>
      <c r="EC10" s="498"/>
      <c r="ED10" s="498"/>
      <c r="EE10" s="498"/>
      <c r="EF10" s="498"/>
      <c r="EG10" s="498"/>
      <c r="EH10" s="498"/>
      <c r="EI10" s="498"/>
      <c r="EJ10" s="498"/>
      <c r="EK10" s="498"/>
      <c r="EL10" s="498"/>
      <c r="EM10" s="498"/>
    </row>
    <row r="11" spans="1:143" s="499" customFormat="1" ht="16" thickBot="1" x14ac:dyDescent="0.4">
      <c r="A11" s="496"/>
      <c r="B11" s="1726"/>
      <c r="C11" s="1727"/>
      <c r="D11" s="1727"/>
      <c r="E11" s="1728"/>
      <c r="F11" s="43"/>
      <c r="G11" s="1719" t="s">
        <v>873</v>
      </c>
      <c r="H11" s="1719"/>
      <c r="I11" s="1719"/>
      <c r="J11" s="1719"/>
      <c r="K11" s="1719"/>
      <c r="L11" s="478" t="s">
        <v>178</v>
      </c>
      <c r="M11" s="496"/>
      <c r="N11" s="496"/>
      <c r="O11" s="498"/>
      <c r="P11" s="498"/>
      <c r="Q11" s="498"/>
      <c r="R11" s="498"/>
      <c r="S11" s="498"/>
      <c r="T11" s="498"/>
      <c r="U11" s="498"/>
      <c r="V11" s="498"/>
      <c r="W11" s="498"/>
      <c r="X11" s="498"/>
      <c r="Y11" s="498"/>
      <c r="Z11" s="498"/>
      <c r="AA11" s="498"/>
      <c r="AB11" s="498"/>
      <c r="AC11" s="498"/>
      <c r="AD11" s="498"/>
      <c r="AE11" s="498"/>
      <c r="AF11" s="498"/>
      <c r="AG11" s="498"/>
      <c r="AH11" s="498"/>
      <c r="AI11" s="498"/>
      <c r="AJ11" s="498"/>
      <c r="AK11" s="498"/>
      <c r="AL11" s="498"/>
      <c r="AM11" s="498"/>
      <c r="AN11" s="498"/>
      <c r="AO11" s="498"/>
      <c r="AP11" s="498"/>
      <c r="AQ11" s="498"/>
      <c r="AR11" s="498"/>
      <c r="AS11" s="498"/>
      <c r="AT11" s="498"/>
      <c r="AU11" s="498"/>
      <c r="AV11" s="498"/>
      <c r="AW11" s="498"/>
      <c r="AX11" s="498"/>
      <c r="AY11" s="498"/>
      <c r="AZ11" s="498"/>
      <c r="BA11" s="498"/>
      <c r="BB11" s="498"/>
      <c r="BC11" s="498"/>
      <c r="BD11" s="498"/>
      <c r="BE11" s="498"/>
      <c r="BF11" s="498"/>
      <c r="BG11" s="498"/>
      <c r="BH11" s="498"/>
      <c r="BI11" s="498"/>
      <c r="BJ11" s="498"/>
      <c r="BK11" s="498"/>
      <c r="BL11" s="498"/>
      <c r="BM11" s="498"/>
      <c r="BN11" s="498"/>
      <c r="BO11" s="498"/>
      <c r="BP11" s="498"/>
      <c r="BQ11" s="498"/>
      <c r="BR11" s="498"/>
      <c r="BS11" s="498"/>
      <c r="BT11" s="498"/>
      <c r="BU11" s="498"/>
      <c r="BV11" s="498"/>
      <c r="BW11" s="498"/>
      <c r="BX11" s="498"/>
      <c r="BY11" s="498"/>
      <c r="BZ11" s="498"/>
      <c r="CA11" s="498"/>
      <c r="CB11" s="498"/>
      <c r="CC11" s="498"/>
      <c r="CD11" s="498"/>
      <c r="CE11" s="498"/>
      <c r="CF11" s="498"/>
      <c r="CG11" s="498"/>
      <c r="CH11" s="498"/>
      <c r="CI11" s="498"/>
      <c r="CJ11" s="498"/>
      <c r="CK11" s="498"/>
      <c r="CL11" s="498"/>
      <c r="CM11" s="498"/>
      <c r="CN11" s="498"/>
      <c r="CO11" s="498"/>
      <c r="CP11" s="498"/>
      <c r="CQ11" s="498"/>
      <c r="CR11" s="498"/>
      <c r="CS11" s="498"/>
      <c r="CT11" s="498"/>
      <c r="CU11" s="498"/>
      <c r="CV11" s="498"/>
      <c r="CW11" s="498"/>
      <c r="CX11" s="498"/>
      <c r="CY11" s="498"/>
      <c r="CZ11" s="498"/>
      <c r="DA11" s="498"/>
      <c r="DB11" s="498"/>
      <c r="DC11" s="498"/>
      <c r="DD11" s="498"/>
      <c r="DE11" s="498"/>
      <c r="DF11" s="498"/>
      <c r="DG11" s="498"/>
      <c r="DH11" s="498"/>
      <c r="DI11" s="498"/>
      <c r="DJ11" s="498"/>
      <c r="DK11" s="498"/>
      <c r="DL11" s="498"/>
      <c r="DM11" s="498"/>
      <c r="DN11" s="498"/>
      <c r="DO11" s="498"/>
      <c r="DP11" s="498"/>
      <c r="DQ11" s="498"/>
      <c r="DR11" s="498"/>
      <c r="DS11" s="498"/>
      <c r="DT11" s="498"/>
      <c r="DU11" s="498"/>
      <c r="DV11" s="498"/>
      <c r="DW11" s="498"/>
      <c r="DX11" s="498"/>
      <c r="DY11" s="498"/>
      <c r="DZ11" s="498"/>
      <c r="EA11" s="498"/>
      <c r="EB11" s="498"/>
      <c r="EC11" s="498"/>
      <c r="ED11" s="498"/>
      <c r="EE11" s="498"/>
      <c r="EF11" s="498"/>
      <c r="EG11" s="498"/>
      <c r="EH11" s="498"/>
      <c r="EI11" s="498"/>
      <c r="EJ11" s="498"/>
      <c r="EK11" s="498"/>
      <c r="EL11" s="498"/>
      <c r="EM11" s="498"/>
    </row>
    <row r="12" spans="1:143" s="499" customFormat="1" ht="15" customHeight="1" x14ac:dyDescent="0.35">
      <c r="A12" s="496"/>
      <c r="B12" s="43"/>
      <c r="C12" s="43"/>
      <c r="D12" s="43"/>
      <c r="E12" s="43"/>
      <c r="F12" s="43"/>
      <c r="G12" s="43"/>
      <c r="H12" s="43"/>
      <c r="I12" s="43"/>
      <c r="J12" s="43"/>
      <c r="K12" s="43"/>
      <c r="L12" s="43"/>
      <c r="M12" s="496"/>
      <c r="N12" s="496"/>
      <c r="O12" s="498"/>
      <c r="P12" s="498"/>
      <c r="Q12" s="498"/>
      <c r="R12" s="498"/>
      <c r="S12" s="498"/>
      <c r="T12" s="498"/>
      <c r="U12" s="498"/>
      <c r="V12" s="498"/>
      <c r="W12" s="498"/>
      <c r="X12" s="498"/>
      <c r="Y12" s="498"/>
      <c r="Z12" s="498"/>
      <c r="AA12" s="498"/>
      <c r="AB12" s="498"/>
      <c r="AC12" s="498"/>
      <c r="AD12" s="498"/>
      <c r="AE12" s="498"/>
      <c r="AF12" s="498"/>
      <c r="AG12" s="498"/>
      <c r="AH12" s="498"/>
      <c r="AI12" s="498"/>
      <c r="AJ12" s="498"/>
      <c r="AK12" s="498"/>
      <c r="AL12" s="498"/>
      <c r="AM12" s="498"/>
      <c r="AN12" s="498"/>
      <c r="AO12" s="498"/>
      <c r="AP12" s="498"/>
      <c r="AQ12" s="498"/>
      <c r="AR12" s="498"/>
      <c r="AS12" s="498"/>
      <c r="AT12" s="498"/>
      <c r="AU12" s="498"/>
      <c r="AV12" s="498"/>
      <c r="AW12" s="498"/>
      <c r="AX12" s="498"/>
      <c r="AY12" s="498"/>
      <c r="AZ12" s="498"/>
      <c r="BA12" s="498"/>
      <c r="BB12" s="498"/>
      <c r="BC12" s="498"/>
      <c r="BD12" s="498"/>
      <c r="BE12" s="498"/>
      <c r="BF12" s="498"/>
      <c r="BG12" s="498"/>
      <c r="BH12" s="498"/>
      <c r="BI12" s="498"/>
      <c r="BJ12" s="498"/>
      <c r="BK12" s="498"/>
      <c r="BL12" s="498"/>
      <c r="BM12" s="498"/>
      <c r="BN12" s="498"/>
      <c r="BO12" s="498"/>
      <c r="BP12" s="498"/>
      <c r="BQ12" s="498"/>
      <c r="BR12" s="498"/>
      <c r="BS12" s="498"/>
      <c r="BT12" s="498"/>
      <c r="BU12" s="498"/>
      <c r="BV12" s="498"/>
      <c r="BW12" s="498"/>
      <c r="BX12" s="498"/>
      <c r="BY12" s="498"/>
      <c r="BZ12" s="498"/>
      <c r="CA12" s="498"/>
      <c r="CB12" s="498"/>
      <c r="CC12" s="498"/>
      <c r="CD12" s="498"/>
      <c r="CE12" s="498"/>
      <c r="CF12" s="498"/>
      <c r="CG12" s="498"/>
      <c r="CH12" s="498"/>
      <c r="CI12" s="498"/>
      <c r="CJ12" s="498"/>
      <c r="CK12" s="498"/>
      <c r="CL12" s="498"/>
      <c r="CM12" s="498"/>
      <c r="CN12" s="498"/>
      <c r="CO12" s="498"/>
      <c r="CP12" s="498"/>
      <c r="CQ12" s="498"/>
      <c r="CR12" s="498"/>
      <c r="CS12" s="498"/>
      <c r="CT12" s="498"/>
      <c r="CU12" s="498"/>
      <c r="CV12" s="498"/>
      <c r="CW12" s="498"/>
      <c r="CX12" s="498"/>
      <c r="CY12" s="498"/>
      <c r="CZ12" s="498"/>
      <c r="DA12" s="498"/>
      <c r="DB12" s="498"/>
      <c r="DC12" s="498"/>
      <c r="DD12" s="498"/>
      <c r="DE12" s="498"/>
      <c r="DF12" s="498"/>
      <c r="DG12" s="498"/>
      <c r="DH12" s="498"/>
      <c r="DI12" s="498"/>
      <c r="DJ12" s="498"/>
      <c r="DK12" s="498"/>
      <c r="DL12" s="498"/>
      <c r="DM12" s="498"/>
      <c r="DN12" s="498"/>
      <c r="DO12" s="498"/>
      <c r="DP12" s="498"/>
      <c r="DQ12" s="498"/>
      <c r="DR12" s="498"/>
      <c r="DS12" s="498"/>
      <c r="DT12" s="498"/>
      <c r="DU12" s="498"/>
      <c r="DV12" s="498"/>
      <c r="DW12" s="498"/>
      <c r="DX12" s="498"/>
      <c r="DY12" s="498"/>
      <c r="DZ12" s="498"/>
      <c r="EA12" s="498"/>
      <c r="EB12" s="498"/>
      <c r="EC12" s="498"/>
      <c r="ED12" s="498"/>
      <c r="EE12" s="498"/>
      <c r="EF12" s="498"/>
      <c r="EG12" s="498"/>
      <c r="EH12" s="498"/>
      <c r="EI12" s="498"/>
      <c r="EJ12" s="498"/>
      <c r="EK12" s="498"/>
      <c r="EL12" s="498"/>
      <c r="EM12" s="498"/>
    </row>
    <row r="13" spans="1:143" s="499" customFormat="1" ht="15" customHeight="1" thickBot="1" x14ac:dyDescent="0.4">
      <c r="A13" s="496"/>
      <c r="B13" s="43"/>
      <c r="C13" s="43"/>
      <c r="D13" s="43"/>
      <c r="E13" s="43"/>
      <c r="F13" s="43"/>
      <c r="G13" s="43"/>
      <c r="H13" s="43"/>
      <c r="I13" s="43"/>
      <c r="J13" s="43"/>
      <c r="K13" s="43"/>
      <c r="L13" s="43"/>
      <c r="M13" s="496"/>
      <c r="N13" s="496"/>
      <c r="O13" s="498"/>
      <c r="P13" s="498"/>
      <c r="Q13" s="498"/>
      <c r="R13" s="498"/>
      <c r="S13" s="498"/>
      <c r="T13" s="498"/>
      <c r="U13" s="498"/>
      <c r="V13" s="498"/>
      <c r="W13" s="498"/>
      <c r="X13" s="498"/>
      <c r="Y13" s="498"/>
      <c r="Z13" s="498"/>
      <c r="AA13" s="498"/>
      <c r="AB13" s="498"/>
      <c r="AC13" s="498"/>
      <c r="AD13" s="498"/>
      <c r="AE13" s="498"/>
      <c r="AF13" s="498"/>
      <c r="AG13" s="498"/>
      <c r="AH13" s="498"/>
      <c r="AI13" s="498"/>
      <c r="AJ13" s="498"/>
      <c r="AK13" s="498"/>
      <c r="AL13" s="498"/>
      <c r="AM13" s="498"/>
      <c r="AN13" s="498"/>
      <c r="AO13" s="498"/>
      <c r="AP13" s="498"/>
      <c r="AQ13" s="498"/>
      <c r="AR13" s="498"/>
      <c r="AS13" s="498"/>
      <c r="AT13" s="498"/>
      <c r="AU13" s="498"/>
      <c r="AV13" s="498"/>
      <c r="AW13" s="498"/>
      <c r="AX13" s="498"/>
      <c r="AY13" s="498"/>
      <c r="AZ13" s="498"/>
      <c r="BA13" s="498"/>
      <c r="BB13" s="498"/>
      <c r="BC13" s="498"/>
      <c r="BD13" s="498"/>
      <c r="BE13" s="498"/>
      <c r="BF13" s="498"/>
      <c r="BG13" s="498"/>
      <c r="BH13" s="498"/>
      <c r="BI13" s="498"/>
      <c r="BJ13" s="498"/>
      <c r="BK13" s="498"/>
      <c r="BL13" s="498"/>
      <c r="BM13" s="498"/>
      <c r="BN13" s="498"/>
      <c r="BO13" s="498"/>
      <c r="BP13" s="498"/>
      <c r="BQ13" s="498"/>
      <c r="BR13" s="498"/>
      <c r="BS13" s="498"/>
      <c r="BT13" s="498"/>
      <c r="BU13" s="498"/>
      <c r="BV13" s="498"/>
      <c r="BW13" s="498"/>
      <c r="BX13" s="498"/>
      <c r="BY13" s="498"/>
      <c r="BZ13" s="498"/>
      <c r="CA13" s="498"/>
      <c r="CB13" s="498"/>
      <c r="CC13" s="498"/>
      <c r="CD13" s="498"/>
      <c r="CE13" s="498"/>
      <c r="CF13" s="498"/>
      <c r="CG13" s="498"/>
      <c r="CH13" s="498"/>
      <c r="CI13" s="498"/>
      <c r="CJ13" s="498"/>
      <c r="CK13" s="498"/>
      <c r="CL13" s="498"/>
      <c r="CM13" s="498"/>
      <c r="CN13" s="498"/>
      <c r="CO13" s="498"/>
      <c r="CP13" s="498"/>
      <c r="CQ13" s="498"/>
      <c r="CR13" s="498"/>
      <c r="CS13" s="498"/>
      <c r="CT13" s="498"/>
      <c r="CU13" s="498"/>
      <c r="CV13" s="498"/>
      <c r="CW13" s="498"/>
      <c r="CX13" s="498"/>
      <c r="CY13" s="498"/>
      <c r="CZ13" s="498"/>
      <c r="DA13" s="498"/>
      <c r="DB13" s="498"/>
      <c r="DC13" s="498"/>
      <c r="DD13" s="498"/>
      <c r="DE13" s="498"/>
      <c r="DF13" s="498"/>
      <c r="DG13" s="498"/>
      <c r="DH13" s="498"/>
      <c r="DI13" s="498"/>
      <c r="DJ13" s="498"/>
      <c r="DK13" s="498"/>
      <c r="DL13" s="498"/>
      <c r="DM13" s="498"/>
      <c r="DN13" s="498"/>
      <c r="DO13" s="498"/>
      <c r="DP13" s="498"/>
      <c r="DQ13" s="498"/>
      <c r="DR13" s="498"/>
      <c r="DS13" s="498"/>
      <c r="DT13" s="498"/>
      <c r="DU13" s="498"/>
      <c r="DV13" s="498"/>
      <c r="DW13" s="498"/>
      <c r="DX13" s="498"/>
      <c r="DY13" s="498"/>
      <c r="DZ13" s="498"/>
      <c r="EA13" s="498"/>
      <c r="EB13" s="498"/>
      <c r="EC13" s="498"/>
      <c r="ED13" s="498"/>
      <c r="EE13" s="498"/>
      <c r="EF13" s="498"/>
      <c r="EG13" s="498"/>
      <c r="EH13" s="498"/>
      <c r="EI13" s="498"/>
      <c r="EJ13" s="498"/>
      <c r="EK13" s="498"/>
      <c r="EL13" s="498"/>
      <c r="EM13" s="498"/>
    </row>
    <row r="14" spans="1:143" s="499" customFormat="1" ht="18" customHeight="1" x14ac:dyDescent="0.35">
      <c r="A14" s="496"/>
      <c r="B14" s="854" t="s">
        <v>874</v>
      </c>
      <c r="C14" s="1721"/>
      <c r="D14" s="1721"/>
      <c r="E14" s="1722"/>
      <c r="F14" s="43"/>
      <c r="G14" s="1719" t="s">
        <v>875</v>
      </c>
      <c r="H14" s="1719"/>
      <c r="I14" s="1719"/>
      <c r="J14" s="1719"/>
      <c r="K14" s="1719"/>
      <c r="L14" s="497"/>
      <c r="M14" s="496"/>
      <c r="N14" s="496"/>
      <c r="O14" s="498"/>
      <c r="P14" s="498"/>
      <c r="Q14" s="498"/>
      <c r="R14" s="498"/>
      <c r="S14" s="498"/>
      <c r="T14" s="498"/>
      <c r="U14" s="498"/>
      <c r="V14" s="498"/>
      <c r="W14" s="498"/>
      <c r="X14" s="498"/>
      <c r="Y14" s="498"/>
      <c r="Z14" s="498"/>
      <c r="AA14" s="498"/>
      <c r="AB14" s="498"/>
      <c r="AC14" s="498"/>
      <c r="AD14" s="498"/>
      <c r="AE14" s="498"/>
      <c r="AF14" s="498"/>
      <c r="AG14" s="498"/>
      <c r="AH14" s="498"/>
      <c r="AI14" s="498"/>
      <c r="AJ14" s="498"/>
      <c r="AK14" s="498"/>
      <c r="AL14" s="498"/>
      <c r="AM14" s="498"/>
      <c r="AN14" s="498"/>
      <c r="AO14" s="498"/>
      <c r="AP14" s="498"/>
      <c r="AQ14" s="498"/>
      <c r="AR14" s="498"/>
      <c r="AS14" s="498"/>
      <c r="AT14" s="498"/>
      <c r="AU14" s="498"/>
      <c r="AV14" s="498"/>
      <c r="AW14" s="498"/>
      <c r="AX14" s="498"/>
      <c r="AY14" s="498"/>
      <c r="AZ14" s="498"/>
      <c r="BA14" s="498"/>
      <c r="BB14" s="498"/>
      <c r="BC14" s="498"/>
      <c r="BD14" s="498"/>
      <c r="BE14" s="498"/>
      <c r="BF14" s="498"/>
      <c r="BG14" s="498"/>
      <c r="BH14" s="498"/>
      <c r="BI14" s="498"/>
      <c r="BJ14" s="498"/>
      <c r="BK14" s="498"/>
      <c r="BL14" s="498"/>
      <c r="BM14" s="498"/>
      <c r="BN14" s="498"/>
      <c r="BO14" s="498"/>
      <c r="BP14" s="498"/>
      <c r="BQ14" s="498"/>
      <c r="BR14" s="498"/>
      <c r="BS14" s="498"/>
      <c r="BT14" s="498"/>
      <c r="BU14" s="498"/>
      <c r="BV14" s="498"/>
      <c r="BW14" s="498"/>
      <c r="BX14" s="498"/>
      <c r="BY14" s="498"/>
      <c r="BZ14" s="498"/>
      <c r="CA14" s="498"/>
      <c r="CB14" s="498"/>
      <c r="CC14" s="498"/>
      <c r="CD14" s="498"/>
      <c r="CE14" s="498"/>
      <c r="CF14" s="498"/>
      <c r="CG14" s="498"/>
      <c r="CH14" s="498"/>
      <c r="CI14" s="498"/>
      <c r="CJ14" s="498"/>
      <c r="CK14" s="498"/>
      <c r="CL14" s="498"/>
      <c r="CM14" s="498"/>
      <c r="CN14" s="498"/>
      <c r="CO14" s="498"/>
      <c r="CP14" s="498"/>
      <c r="CQ14" s="498"/>
      <c r="CR14" s="498"/>
      <c r="CS14" s="498"/>
      <c r="CT14" s="498"/>
      <c r="CU14" s="498"/>
      <c r="CV14" s="498"/>
      <c r="CW14" s="498"/>
      <c r="CX14" s="498"/>
      <c r="CY14" s="498"/>
      <c r="CZ14" s="498"/>
      <c r="DA14" s="498"/>
      <c r="DB14" s="498"/>
      <c r="DC14" s="498"/>
      <c r="DD14" s="498"/>
      <c r="DE14" s="498"/>
      <c r="DF14" s="498"/>
      <c r="DG14" s="498"/>
      <c r="DH14" s="498"/>
      <c r="DI14" s="498"/>
      <c r="DJ14" s="498"/>
      <c r="DK14" s="498"/>
      <c r="DL14" s="498"/>
      <c r="DM14" s="498"/>
      <c r="DN14" s="498"/>
      <c r="DO14" s="498"/>
      <c r="DP14" s="498"/>
      <c r="DQ14" s="498"/>
      <c r="DR14" s="498"/>
      <c r="DS14" s="498"/>
      <c r="DT14" s="498"/>
      <c r="DU14" s="498"/>
      <c r="DV14" s="498"/>
      <c r="DW14" s="498"/>
      <c r="DX14" s="498"/>
      <c r="DY14" s="498"/>
      <c r="DZ14" s="498"/>
      <c r="EA14" s="498"/>
      <c r="EB14" s="498"/>
      <c r="EC14" s="498"/>
      <c r="ED14" s="498"/>
      <c r="EE14" s="498"/>
      <c r="EF14" s="498"/>
      <c r="EG14" s="498"/>
      <c r="EH14" s="498"/>
      <c r="EI14" s="498"/>
      <c r="EJ14" s="498"/>
      <c r="EK14" s="498"/>
      <c r="EL14" s="498"/>
      <c r="EM14" s="498"/>
    </row>
    <row r="15" spans="1:143" s="499" customFormat="1" ht="6" customHeight="1" x14ac:dyDescent="0.35">
      <c r="A15" s="496"/>
      <c r="B15" s="1723"/>
      <c r="C15" s="812"/>
      <c r="D15" s="812"/>
      <c r="E15" s="1724"/>
      <c r="F15" s="43"/>
      <c r="G15" s="500"/>
      <c r="H15" s="501"/>
      <c r="I15" s="501"/>
      <c r="J15" s="501"/>
      <c r="K15" s="502"/>
      <c r="L15" s="497"/>
      <c r="M15" s="496"/>
      <c r="N15" s="496"/>
      <c r="O15" s="498"/>
      <c r="P15" s="498"/>
      <c r="Q15" s="498"/>
      <c r="R15" s="498"/>
      <c r="S15" s="498"/>
      <c r="T15" s="498"/>
      <c r="U15" s="498"/>
      <c r="V15" s="498"/>
      <c r="W15" s="498"/>
      <c r="X15" s="498"/>
      <c r="Y15" s="498"/>
      <c r="Z15" s="498"/>
      <c r="AA15" s="498"/>
      <c r="AB15" s="498"/>
      <c r="AC15" s="498"/>
      <c r="AD15" s="498"/>
      <c r="AE15" s="498"/>
      <c r="AF15" s="498"/>
      <c r="AG15" s="498"/>
      <c r="AH15" s="498"/>
      <c r="AI15" s="498"/>
      <c r="AJ15" s="498"/>
      <c r="AK15" s="498"/>
      <c r="AL15" s="498"/>
      <c r="AM15" s="498"/>
      <c r="AN15" s="498"/>
      <c r="AO15" s="498"/>
      <c r="AP15" s="498"/>
      <c r="AQ15" s="498"/>
      <c r="AR15" s="498"/>
      <c r="AS15" s="498"/>
      <c r="AT15" s="498"/>
      <c r="AU15" s="498"/>
      <c r="AV15" s="498"/>
      <c r="AW15" s="498"/>
      <c r="AX15" s="498"/>
      <c r="AY15" s="498"/>
      <c r="AZ15" s="498"/>
      <c r="BA15" s="498"/>
      <c r="BB15" s="498"/>
      <c r="BC15" s="498"/>
      <c r="BD15" s="498"/>
      <c r="BE15" s="498"/>
      <c r="BF15" s="498"/>
      <c r="BG15" s="498"/>
      <c r="BH15" s="498"/>
      <c r="BI15" s="498"/>
      <c r="BJ15" s="498"/>
      <c r="BK15" s="498"/>
      <c r="BL15" s="498"/>
      <c r="BM15" s="498"/>
      <c r="BN15" s="498"/>
      <c r="BO15" s="498"/>
      <c r="BP15" s="498"/>
      <c r="BQ15" s="498"/>
      <c r="BR15" s="498"/>
      <c r="BS15" s="498"/>
      <c r="BT15" s="498"/>
      <c r="BU15" s="498"/>
      <c r="BV15" s="498"/>
      <c r="BW15" s="498"/>
      <c r="BX15" s="498"/>
      <c r="BY15" s="498"/>
      <c r="BZ15" s="498"/>
      <c r="CA15" s="498"/>
      <c r="CB15" s="498"/>
      <c r="CC15" s="498"/>
      <c r="CD15" s="498"/>
      <c r="CE15" s="498"/>
      <c r="CF15" s="498"/>
      <c r="CG15" s="498"/>
      <c r="CH15" s="498"/>
      <c r="CI15" s="498"/>
      <c r="CJ15" s="498"/>
      <c r="CK15" s="498"/>
      <c r="CL15" s="498"/>
      <c r="CM15" s="498"/>
      <c r="CN15" s="498"/>
      <c r="CO15" s="498"/>
      <c r="CP15" s="498"/>
      <c r="CQ15" s="498"/>
      <c r="CR15" s="498"/>
      <c r="CS15" s="498"/>
      <c r="CT15" s="498"/>
      <c r="CU15" s="498"/>
      <c r="CV15" s="498"/>
      <c r="CW15" s="498"/>
      <c r="CX15" s="498"/>
      <c r="CY15" s="498"/>
      <c r="CZ15" s="498"/>
      <c r="DA15" s="498"/>
      <c r="DB15" s="498"/>
      <c r="DC15" s="498"/>
      <c r="DD15" s="498"/>
      <c r="DE15" s="498"/>
      <c r="DF15" s="498"/>
      <c r="DG15" s="498"/>
      <c r="DH15" s="498"/>
      <c r="DI15" s="498"/>
      <c r="DJ15" s="498"/>
      <c r="DK15" s="498"/>
      <c r="DL15" s="498"/>
      <c r="DM15" s="498"/>
      <c r="DN15" s="498"/>
      <c r="DO15" s="498"/>
      <c r="DP15" s="498"/>
      <c r="DQ15" s="498"/>
      <c r="DR15" s="498"/>
      <c r="DS15" s="498"/>
      <c r="DT15" s="498"/>
      <c r="DU15" s="498"/>
      <c r="DV15" s="498"/>
      <c r="DW15" s="498"/>
      <c r="DX15" s="498"/>
      <c r="DY15" s="498"/>
      <c r="DZ15" s="498"/>
      <c r="EA15" s="498"/>
      <c r="EB15" s="498"/>
      <c r="EC15" s="498"/>
      <c r="ED15" s="498"/>
      <c r="EE15" s="498"/>
      <c r="EF15" s="498"/>
      <c r="EG15" s="498"/>
      <c r="EH15" s="498"/>
      <c r="EI15" s="498"/>
      <c r="EJ15" s="498"/>
      <c r="EK15" s="498"/>
      <c r="EL15" s="498"/>
      <c r="EM15" s="498"/>
    </row>
    <row r="16" spans="1:143" s="499" customFormat="1" x14ac:dyDescent="0.35">
      <c r="A16" s="496"/>
      <c r="B16" s="1723"/>
      <c r="C16" s="812"/>
      <c r="D16" s="812"/>
      <c r="E16" s="1724"/>
      <c r="F16" s="43"/>
      <c r="G16" s="1719" t="s">
        <v>876</v>
      </c>
      <c r="H16" s="1719"/>
      <c r="I16" s="1719"/>
      <c r="J16" s="1719"/>
      <c r="K16" s="1719"/>
      <c r="L16" s="497"/>
      <c r="M16" s="496"/>
      <c r="N16" s="496"/>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c r="AL16" s="498"/>
      <c r="AM16" s="498"/>
      <c r="AN16" s="498"/>
      <c r="AO16" s="498"/>
      <c r="AP16" s="498"/>
      <c r="AQ16" s="498"/>
      <c r="AR16" s="498"/>
      <c r="AS16" s="498"/>
      <c r="AT16" s="498"/>
      <c r="AU16" s="498"/>
      <c r="AV16" s="498"/>
      <c r="AW16" s="498"/>
      <c r="AX16" s="498"/>
      <c r="AY16" s="498"/>
      <c r="AZ16" s="498"/>
      <c r="BA16" s="498"/>
      <c r="BB16" s="498"/>
      <c r="BC16" s="498"/>
      <c r="BD16" s="498"/>
      <c r="BE16" s="498"/>
      <c r="BF16" s="498"/>
      <c r="BG16" s="498"/>
      <c r="BH16" s="498"/>
      <c r="BI16" s="498"/>
      <c r="BJ16" s="498"/>
      <c r="BK16" s="498"/>
      <c r="BL16" s="498"/>
      <c r="BM16" s="498"/>
      <c r="BN16" s="498"/>
      <c r="BO16" s="498"/>
      <c r="BP16" s="498"/>
      <c r="BQ16" s="498"/>
      <c r="BR16" s="498"/>
      <c r="BS16" s="498"/>
      <c r="BT16" s="498"/>
      <c r="BU16" s="498"/>
      <c r="BV16" s="498"/>
      <c r="BW16" s="498"/>
      <c r="BX16" s="498"/>
      <c r="BY16" s="498"/>
      <c r="BZ16" s="498"/>
      <c r="CA16" s="498"/>
      <c r="CB16" s="498"/>
      <c r="CC16" s="498"/>
      <c r="CD16" s="498"/>
      <c r="CE16" s="498"/>
      <c r="CF16" s="498"/>
      <c r="CG16" s="498"/>
      <c r="CH16" s="498"/>
      <c r="CI16" s="498"/>
      <c r="CJ16" s="498"/>
      <c r="CK16" s="498"/>
      <c r="CL16" s="498"/>
      <c r="CM16" s="498"/>
      <c r="CN16" s="498"/>
      <c r="CO16" s="498"/>
      <c r="CP16" s="498"/>
      <c r="CQ16" s="498"/>
      <c r="CR16" s="498"/>
      <c r="CS16" s="498"/>
      <c r="CT16" s="498"/>
      <c r="CU16" s="498"/>
      <c r="CV16" s="498"/>
      <c r="CW16" s="498"/>
      <c r="CX16" s="498"/>
      <c r="CY16" s="498"/>
      <c r="CZ16" s="498"/>
      <c r="DA16" s="498"/>
      <c r="DB16" s="498"/>
      <c r="DC16" s="498"/>
      <c r="DD16" s="498"/>
      <c r="DE16" s="498"/>
      <c r="DF16" s="498"/>
      <c r="DG16" s="498"/>
      <c r="DH16" s="498"/>
      <c r="DI16" s="498"/>
      <c r="DJ16" s="498"/>
      <c r="DK16" s="498"/>
      <c r="DL16" s="498"/>
      <c r="DM16" s="498"/>
      <c r="DN16" s="498"/>
      <c r="DO16" s="498"/>
      <c r="DP16" s="498"/>
      <c r="DQ16" s="498"/>
      <c r="DR16" s="498"/>
      <c r="DS16" s="498"/>
      <c r="DT16" s="498"/>
      <c r="DU16" s="498"/>
      <c r="DV16" s="498"/>
      <c r="DW16" s="498"/>
      <c r="DX16" s="498"/>
      <c r="DY16" s="498"/>
      <c r="DZ16" s="498"/>
      <c r="EA16" s="498"/>
      <c r="EB16" s="498"/>
      <c r="EC16" s="498"/>
      <c r="ED16" s="498"/>
      <c r="EE16" s="498"/>
      <c r="EF16" s="498"/>
      <c r="EG16" s="498"/>
      <c r="EH16" s="498"/>
      <c r="EI16" s="498"/>
      <c r="EJ16" s="498"/>
      <c r="EK16" s="498"/>
      <c r="EL16" s="498"/>
      <c r="EM16" s="498"/>
    </row>
    <row r="17" spans="1:143" s="499" customFormat="1" ht="6.75" customHeight="1" x14ac:dyDescent="0.35">
      <c r="A17" s="496"/>
      <c r="B17" s="1725"/>
      <c r="C17" s="812"/>
      <c r="D17" s="812"/>
      <c r="E17" s="1724"/>
      <c r="F17" s="43"/>
      <c r="G17" s="500"/>
      <c r="H17" s="501"/>
      <c r="I17" s="501"/>
      <c r="J17" s="501"/>
      <c r="K17" s="502"/>
      <c r="L17" s="497"/>
      <c r="M17" s="496"/>
      <c r="N17" s="496"/>
      <c r="O17" s="498"/>
      <c r="P17" s="498"/>
      <c r="Q17" s="498"/>
      <c r="R17" s="498"/>
      <c r="S17" s="498"/>
      <c r="T17" s="498"/>
      <c r="U17" s="498"/>
      <c r="V17" s="498"/>
      <c r="W17" s="498"/>
      <c r="X17" s="498"/>
      <c r="Y17" s="498"/>
      <c r="Z17" s="498"/>
      <c r="AA17" s="498"/>
      <c r="AB17" s="498"/>
      <c r="AC17" s="498"/>
      <c r="AD17" s="498"/>
      <c r="AE17" s="498"/>
      <c r="AF17" s="498"/>
      <c r="AG17" s="498"/>
      <c r="AH17" s="498"/>
      <c r="AI17" s="498"/>
      <c r="AJ17" s="498"/>
      <c r="AK17" s="498"/>
      <c r="AL17" s="498"/>
      <c r="AM17" s="498"/>
      <c r="AN17" s="498"/>
      <c r="AO17" s="498"/>
      <c r="AP17" s="498"/>
      <c r="AQ17" s="498"/>
      <c r="AR17" s="498"/>
      <c r="AS17" s="498"/>
      <c r="AT17" s="498"/>
      <c r="AU17" s="498"/>
      <c r="AV17" s="498"/>
      <c r="AW17" s="498"/>
      <c r="AX17" s="498"/>
      <c r="AY17" s="498"/>
      <c r="AZ17" s="498"/>
      <c r="BA17" s="498"/>
      <c r="BB17" s="498"/>
      <c r="BC17" s="498"/>
      <c r="BD17" s="498"/>
      <c r="BE17" s="498"/>
      <c r="BF17" s="498"/>
      <c r="BG17" s="498"/>
      <c r="BH17" s="498"/>
      <c r="BI17" s="498"/>
      <c r="BJ17" s="498"/>
      <c r="BK17" s="498"/>
      <c r="BL17" s="498"/>
      <c r="BM17" s="498"/>
      <c r="BN17" s="498"/>
      <c r="BO17" s="498"/>
      <c r="BP17" s="498"/>
      <c r="BQ17" s="498"/>
      <c r="BR17" s="498"/>
      <c r="BS17" s="498"/>
      <c r="BT17" s="498"/>
      <c r="BU17" s="498"/>
      <c r="BV17" s="498"/>
      <c r="BW17" s="498"/>
      <c r="BX17" s="498"/>
      <c r="BY17" s="498"/>
      <c r="BZ17" s="498"/>
      <c r="CA17" s="498"/>
      <c r="CB17" s="498"/>
      <c r="CC17" s="498"/>
      <c r="CD17" s="498"/>
      <c r="CE17" s="498"/>
      <c r="CF17" s="498"/>
      <c r="CG17" s="498"/>
      <c r="CH17" s="498"/>
      <c r="CI17" s="498"/>
      <c r="CJ17" s="498"/>
      <c r="CK17" s="498"/>
      <c r="CL17" s="498"/>
      <c r="CM17" s="498"/>
      <c r="CN17" s="498"/>
      <c r="CO17" s="498"/>
      <c r="CP17" s="498"/>
      <c r="CQ17" s="498"/>
      <c r="CR17" s="498"/>
      <c r="CS17" s="498"/>
      <c r="CT17" s="498"/>
      <c r="CU17" s="498"/>
      <c r="CV17" s="498"/>
      <c r="CW17" s="498"/>
      <c r="CX17" s="498"/>
      <c r="CY17" s="498"/>
      <c r="CZ17" s="498"/>
      <c r="DA17" s="498"/>
      <c r="DB17" s="498"/>
      <c r="DC17" s="498"/>
      <c r="DD17" s="498"/>
      <c r="DE17" s="498"/>
      <c r="DF17" s="498"/>
      <c r="DG17" s="498"/>
      <c r="DH17" s="498"/>
      <c r="DI17" s="498"/>
      <c r="DJ17" s="498"/>
      <c r="DK17" s="498"/>
      <c r="DL17" s="498"/>
      <c r="DM17" s="498"/>
      <c r="DN17" s="498"/>
      <c r="DO17" s="498"/>
      <c r="DP17" s="498"/>
      <c r="DQ17" s="498"/>
      <c r="DR17" s="498"/>
      <c r="DS17" s="498"/>
      <c r="DT17" s="498"/>
      <c r="DU17" s="498"/>
      <c r="DV17" s="498"/>
      <c r="DW17" s="498"/>
      <c r="DX17" s="498"/>
      <c r="DY17" s="498"/>
      <c r="DZ17" s="498"/>
      <c r="EA17" s="498"/>
      <c r="EB17" s="498"/>
      <c r="EC17" s="498"/>
      <c r="ED17" s="498"/>
      <c r="EE17" s="498"/>
      <c r="EF17" s="498"/>
      <c r="EG17" s="498"/>
      <c r="EH17" s="498"/>
      <c r="EI17" s="498"/>
      <c r="EJ17" s="498"/>
      <c r="EK17" s="498"/>
      <c r="EL17" s="498"/>
      <c r="EM17" s="498"/>
    </row>
    <row r="18" spans="1:143" s="499" customFormat="1" ht="16" thickBot="1" x14ac:dyDescent="0.4">
      <c r="A18" s="496"/>
      <c r="B18" s="1726"/>
      <c r="C18" s="1727"/>
      <c r="D18" s="1727"/>
      <c r="E18" s="1728"/>
      <c r="F18" s="43"/>
      <c r="G18" s="1719" t="s">
        <v>877</v>
      </c>
      <c r="H18" s="1719"/>
      <c r="I18" s="1719"/>
      <c r="J18" s="1719"/>
      <c r="K18" s="1719"/>
      <c r="L18" s="478" t="s">
        <v>178</v>
      </c>
      <c r="M18" s="496"/>
      <c r="N18" s="496"/>
      <c r="O18" s="498"/>
      <c r="P18" s="498"/>
      <c r="Q18" s="498"/>
      <c r="R18" s="498"/>
      <c r="S18" s="498"/>
      <c r="T18" s="498"/>
      <c r="U18" s="498"/>
      <c r="V18" s="498"/>
      <c r="W18" s="498"/>
      <c r="X18" s="498"/>
      <c r="Y18" s="498"/>
      <c r="Z18" s="498"/>
      <c r="AA18" s="498"/>
      <c r="AB18" s="498"/>
      <c r="AC18" s="498"/>
      <c r="AD18" s="498"/>
      <c r="AE18" s="498"/>
      <c r="AF18" s="498"/>
      <c r="AG18" s="498"/>
      <c r="AH18" s="498"/>
      <c r="AI18" s="498"/>
      <c r="AJ18" s="498"/>
      <c r="AK18" s="498"/>
      <c r="AL18" s="498"/>
      <c r="AM18" s="498"/>
      <c r="AN18" s="498"/>
      <c r="AO18" s="498"/>
      <c r="AP18" s="498"/>
      <c r="AQ18" s="498"/>
      <c r="AR18" s="498"/>
      <c r="AS18" s="498"/>
      <c r="AT18" s="498"/>
      <c r="AU18" s="498"/>
      <c r="AV18" s="498"/>
      <c r="AW18" s="498"/>
      <c r="AX18" s="498"/>
      <c r="AY18" s="498"/>
      <c r="AZ18" s="498"/>
      <c r="BA18" s="498"/>
      <c r="BB18" s="498"/>
      <c r="BC18" s="498"/>
      <c r="BD18" s="498"/>
      <c r="BE18" s="498"/>
      <c r="BF18" s="498"/>
      <c r="BG18" s="498"/>
      <c r="BH18" s="498"/>
      <c r="BI18" s="498"/>
      <c r="BJ18" s="498"/>
      <c r="BK18" s="498"/>
      <c r="BL18" s="498"/>
      <c r="BM18" s="498"/>
      <c r="BN18" s="498"/>
      <c r="BO18" s="498"/>
      <c r="BP18" s="498"/>
      <c r="BQ18" s="498"/>
      <c r="BR18" s="498"/>
      <c r="BS18" s="498"/>
      <c r="BT18" s="498"/>
      <c r="BU18" s="498"/>
      <c r="BV18" s="498"/>
      <c r="BW18" s="498"/>
      <c r="BX18" s="498"/>
      <c r="BY18" s="498"/>
      <c r="BZ18" s="498"/>
      <c r="CA18" s="498"/>
      <c r="CB18" s="498"/>
      <c r="CC18" s="498"/>
      <c r="CD18" s="498"/>
      <c r="CE18" s="498"/>
      <c r="CF18" s="498"/>
      <c r="CG18" s="498"/>
      <c r="CH18" s="498"/>
      <c r="CI18" s="498"/>
      <c r="CJ18" s="498"/>
      <c r="CK18" s="498"/>
      <c r="CL18" s="498"/>
      <c r="CM18" s="498"/>
      <c r="CN18" s="498"/>
      <c r="CO18" s="498"/>
      <c r="CP18" s="498"/>
      <c r="CQ18" s="498"/>
      <c r="CR18" s="498"/>
      <c r="CS18" s="498"/>
      <c r="CT18" s="498"/>
      <c r="CU18" s="498"/>
      <c r="CV18" s="498"/>
      <c r="CW18" s="498"/>
      <c r="CX18" s="498"/>
      <c r="CY18" s="498"/>
      <c r="CZ18" s="498"/>
      <c r="DA18" s="498"/>
      <c r="DB18" s="498"/>
      <c r="DC18" s="498"/>
      <c r="DD18" s="498"/>
      <c r="DE18" s="498"/>
      <c r="DF18" s="498"/>
      <c r="DG18" s="498"/>
      <c r="DH18" s="498"/>
      <c r="DI18" s="498"/>
      <c r="DJ18" s="498"/>
      <c r="DK18" s="498"/>
      <c r="DL18" s="498"/>
      <c r="DM18" s="498"/>
      <c r="DN18" s="498"/>
      <c r="DO18" s="498"/>
      <c r="DP18" s="498"/>
      <c r="DQ18" s="498"/>
      <c r="DR18" s="498"/>
      <c r="DS18" s="498"/>
      <c r="DT18" s="498"/>
      <c r="DU18" s="498"/>
      <c r="DV18" s="498"/>
      <c r="DW18" s="498"/>
      <c r="DX18" s="498"/>
      <c r="DY18" s="498"/>
      <c r="DZ18" s="498"/>
      <c r="EA18" s="498"/>
      <c r="EB18" s="498"/>
      <c r="EC18" s="498"/>
      <c r="ED18" s="498"/>
      <c r="EE18" s="498"/>
      <c r="EF18" s="498"/>
      <c r="EG18" s="498"/>
      <c r="EH18" s="498"/>
      <c r="EI18" s="498"/>
      <c r="EJ18" s="498"/>
      <c r="EK18" s="498"/>
      <c r="EL18" s="498"/>
      <c r="EM18" s="498"/>
    </row>
    <row r="19" spans="1:143" s="499" customFormat="1" ht="15" customHeight="1" x14ac:dyDescent="0.35">
      <c r="A19" s="496"/>
      <c r="B19" s="43"/>
      <c r="C19" s="43"/>
      <c r="D19" s="43"/>
      <c r="E19" s="43"/>
      <c r="F19" s="43"/>
      <c r="G19" s="43"/>
      <c r="H19" s="43"/>
      <c r="I19" s="43"/>
      <c r="J19" s="43"/>
      <c r="K19" s="43"/>
      <c r="L19" s="43"/>
      <c r="M19" s="496"/>
      <c r="N19" s="496"/>
      <c r="O19" s="498"/>
      <c r="P19" s="498"/>
      <c r="Q19" s="498"/>
      <c r="R19" s="498"/>
      <c r="S19" s="498"/>
      <c r="T19" s="498"/>
      <c r="U19" s="498"/>
      <c r="V19" s="498"/>
      <c r="W19" s="498"/>
      <c r="X19" s="498"/>
      <c r="Y19" s="498"/>
      <c r="Z19" s="498"/>
      <c r="AA19" s="498"/>
      <c r="AB19" s="498"/>
      <c r="AC19" s="498"/>
      <c r="AD19" s="498"/>
      <c r="AE19" s="498"/>
      <c r="AF19" s="498"/>
      <c r="AG19" s="498"/>
      <c r="AH19" s="498"/>
      <c r="AI19" s="498"/>
      <c r="AJ19" s="498"/>
      <c r="AK19" s="498"/>
      <c r="AL19" s="498"/>
      <c r="AM19" s="498"/>
      <c r="AN19" s="498"/>
      <c r="AO19" s="498"/>
      <c r="AP19" s="498"/>
      <c r="AQ19" s="498"/>
      <c r="AR19" s="498"/>
      <c r="AS19" s="498"/>
      <c r="AT19" s="498"/>
      <c r="AU19" s="498"/>
      <c r="AV19" s="498"/>
      <c r="AW19" s="498"/>
      <c r="AX19" s="498"/>
      <c r="AY19" s="498"/>
      <c r="AZ19" s="498"/>
      <c r="BA19" s="498"/>
      <c r="BB19" s="498"/>
      <c r="BC19" s="498"/>
      <c r="BD19" s="498"/>
      <c r="BE19" s="498"/>
      <c r="BF19" s="498"/>
      <c r="BG19" s="498"/>
      <c r="BH19" s="498"/>
      <c r="BI19" s="498"/>
      <c r="BJ19" s="498"/>
      <c r="BK19" s="498"/>
      <c r="BL19" s="498"/>
      <c r="BM19" s="498"/>
      <c r="BN19" s="498"/>
      <c r="BO19" s="498"/>
      <c r="BP19" s="498"/>
      <c r="BQ19" s="498"/>
      <c r="BR19" s="498"/>
      <c r="BS19" s="498"/>
      <c r="BT19" s="498"/>
      <c r="BU19" s="498"/>
      <c r="BV19" s="498"/>
      <c r="BW19" s="498"/>
      <c r="BX19" s="498"/>
      <c r="BY19" s="498"/>
      <c r="BZ19" s="498"/>
      <c r="CA19" s="498"/>
      <c r="CB19" s="498"/>
      <c r="CC19" s="498"/>
      <c r="CD19" s="498"/>
      <c r="CE19" s="498"/>
      <c r="CF19" s="498"/>
      <c r="CG19" s="498"/>
      <c r="CH19" s="498"/>
      <c r="CI19" s="498"/>
      <c r="CJ19" s="498"/>
      <c r="CK19" s="498"/>
      <c r="CL19" s="498"/>
      <c r="CM19" s="498"/>
      <c r="CN19" s="498"/>
      <c r="CO19" s="498"/>
      <c r="CP19" s="498"/>
      <c r="CQ19" s="498"/>
      <c r="CR19" s="498"/>
      <c r="CS19" s="498"/>
      <c r="CT19" s="498"/>
      <c r="CU19" s="498"/>
      <c r="CV19" s="498"/>
      <c r="CW19" s="498"/>
      <c r="CX19" s="498"/>
      <c r="CY19" s="498"/>
      <c r="CZ19" s="498"/>
      <c r="DA19" s="498"/>
      <c r="DB19" s="498"/>
      <c r="DC19" s="498"/>
      <c r="DD19" s="498"/>
      <c r="DE19" s="498"/>
      <c r="DF19" s="498"/>
      <c r="DG19" s="498"/>
      <c r="DH19" s="498"/>
      <c r="DI19" s="498"/>
      <c r="DJ19" s="498"/>
      <c r="DK19" s="498"/>
      <c r="DL19" s="498"/>
      <c r="DM19" s="498"/>
      <c r="DN19" s="498"/>
      <c r="DO19" s="498"/>
      <c r="DP19" s="498"/>
      <c r="DQ19" s="498"/>
      <c r="DR19" s="498"/>
      <c r="DS19" s="498"/>
      <c r="DT19" s="498"/>
      <c r="DU19" s="498"/>
      <c r="DV19" s="498"/>
      <c r="DW19" s="498"/>
      <c r="DX19" s="498"/>
      <c r="DY19" s="498"/>
      <c r="DZ19" s="498"/>
      <c r="EA19" s="498"/>
      <c r="EB19" s="498"/>
      <c r="EC19" s="498"/>
      <c r="ED19" s="498"/>
      <c r="EE19" s="498"/>
      <c r="EF19" s="498"/>
      <c r="EG19" s="498"/>
      <c r="EH19" s="498"/>
      <c r="EI19" s="498"/>
      <c r="EJ19" s="498"/>
      <c r="EK19" s="498"/>
      <c r="EL19" s="498"/>
      <c r="EM19" s="498"/>
    </row>
    <row r="20" spans="1:143" s="499" customFormat="1" ht="15" customHeight="1" thickBot="1" x14ac:dyDescent="0.4">
      <c r="A20" s="496"/>
      <c r="B20" s="43"/>
      <c r="C20" s="43"/>
      <c r="D20" s="43"/>
      <c r="E20" s="43"/>
      <c r="F20" s="43"/>
      <c r="G20" s="43"/>
      <c r="H20" s="43"/>
      <c r="I20" s="43"/>
      <c r="J20" s="43"/>
      <c r="K20" s="43"/>
      <c r="L20" s="43"/>
      <c r="M20" s="496"/>
      <c r="N20" s="496"/>
      <c r="O20" s="498"/>
      <c r="P20" s="498"/>
      <c r="Q20" s="498"/>
      <c r="R20" s="498"/>
      <c r="S20" s="498"/>
      <c r="T20" s="498"/>
      <c r="U20" s="498"/>
      <c r="V20" s="498"/>
      <c r="W20" s="498"/>
      <c r="X20" s="498"/>
      <c r="Y20" s="498"/>
      <c r="Z20" s="498"/>
      <c r="AA20" s="498"/>
      <c r="AB20" s="498"/>
      <c r="AC20" s="498"/>
      <c r="AD20" s="498"/>
      <c r="AE20" s="498"/>
      <c r="AF20" s="498"/>
      <c r="AG20" s="498"/>
      <c r="AH20" s="498"/>
      <c r="AI20" s="498"/>
      <c r="AJ20" s="498"/>
      <c r="AK20" s="498"/>
      <c r="AL20" s="498"/>
      <c r="AM20" s="498"/>
      <c r="AN20" s="498"/>
      <c r="AO20" s="498"/>
      <c r="AP20" s="498"/>
      <c r="AQ20" s="498"/>
      <c r="AR20" s="498"/>
      <c r="AS20" s="498"/>
      <c r="AT20" s="498"/>
      <c r="AU20" s="498"/>
      <c r="AV20" s="498"/>
      <c r="AW20" s="498"/>
      <c r="AX20" s="498"/>
      <c r="AY20" s="498"/>
      <c r="AZ20" s="498"/>
      <c r="BA20" s="498"/>
      <c r="BB20" s="498"/>
      <c r="BC20" s="498"/>
      <c r="BD20" s="498"/>
      <c r="BE20" s="498"/>
      <c r="BF20" s="498"/>
      <c r="BG20" s="498"/>
      <c r="BH20" s="498"/>
      <c r="BI20" s="498"/>
      <c r="BJ20" s="498"/>
      <c r="BK20" s="498"/>
      <c r="BL20" s="498"/>
      <c r="BM20" s="498"/>
      <c r="BN20" s="498"/>
      <c r="BO20" s="498"/>
      <c r="BP20" s="498"/>
      <c r="BQ20" s="498"/>
      <c r="BR20" s="498"/>
      <c r="BS20" s="498"/>
      <c r="BT20" s="498"/>
      <c r="BU20" s="498"/>
      <c r="BV20" s="498"/>
      <c r="BW20" s="498"/>
      <c r="BX20" s="498"/>
      <c r="BY20" s="498"/>
      <c r="BZ20" s="498"/>
      <c r="CA20" s="498"/>
      <c r="CB20" s="498"/>
      <c r="CC20" s="498"/>
      <c r="CD20" s="498"/>
      <c r="CE20" s="498"/>
      <c r="CF20" s="498"/>
      <c r="CG20" s="498"/>
      <c r="CH20" s="498"/>
      <c r="CI20" s="498"/>
      <c r="CJ20" s="498"/>
      <c r="CK20" s="498"/>
      <c r="CL20" s="498"/>
      <c r="CM20" s="498"/>
      <c r="CN20" s="498"/>
      <c r="CO20" s="498"/>
      <c r="CP20" s="498"/>
      <c r="CQ20" s="498"/>
      <c r="CR20" s="498"/>
      <c r="CS20" s="498"/>
      <c r="CT20" s="498"/>
      <c r="CU20" s="498"/>
      <c r="CV20" s="498"/>
      <c r="CW20" s="498"/>
      <c r="CX20" s="498"/>
      <c r="CY20" s="498"/>
      <c r="CZ20" s="498"/>
      <c r="DA20" s="498"/>
      <c r="DB20" s="498"/>
      <c r="DC20" s="498"/>
      <c r="DD20" s="498"/>
      <c r="DE20" s="498"/>
      <c r="DF20" s="498"/>
      <c r="DG20" s="498"/>
      <c r="DH20" s="498"/>
      <c r="DI20" s="498"/>
      <c r="DJ20" s="498"/>
      <c r="DK20" s="498"/>
      <c r="DL20" s="498"/>
      <c r="DM20" s="498"/>
      <c r="DN20" s="498"/>
      <c r="DO20" s="498"/>
      <c r="DP20" s="498"/>
      <c r="DQ20" s="498"/>
      <c r="DR20" s="498"/>
      <c r="DS20" s="498"/>
      <c r="DT20" s="498"/>
      <c r="DU20" s="498"/>
      <c r="DV20" s="498"/>
      <c r="DW20" s="498"/>
      <c r="DX20" s="498"/>
      <c r="DY20" s="498"/>
      <c r="DZ20" s="498"/>
      <c r="EA20" s="498"/>
      <c r="EB20" s="498"/>
      <c r="EC20" s="498"/>
      <c r="ED20" s="498"/>
      <c r="EE20" s="498"/>
      <c r="EF20" s="498"/>
      <c r="EG20" s="498"/>
      <c r="EH20" s="498"/>
      <c r="EI20" s="498"/>
      <c r="EJ20" s="498"/>
      <c r="EK20" s="498"/>
      <c r="EL20" s="498"/>
      <c r="EM20" s="498"/>
    </row>
    <row r="21" spans="1:143" s="499" customFormat="1" ht="24" customHeight="1" x14ac:dyDescent="0.35">
      <c r="A21" s="496"/>
      <c r="B21" s="1720" t="s">
        <v>878</v>
      </c>
      <c r="C21" s="1721"/>
      <c r="D21" s="1721"/>
      <c r="E21" s="1722"/>
      <c r="F21" s="43"/>
      <c r="G21" s="1719" t="s">
        <v>879</v>
      </c>
      <c r="H21" s="1719"/>
      <c r="I21" s="1719"/>
      <c r="J21" s="1719"/>
      <c r="K21" s="1719"/>
      <c r="L21" s="478">
        <v>1</v>
      </c>
      <c r="M21" s="496"/>
      <c r="N21" s="496"/>
      <c r="O21" s="498"/>
      <c r="P21" s="498"/>
      <c r="Q21" s="498"/>
      <c r="R21" s="498"/>
      <c r="S21" s="498"/>
      <c r="T21" s="498"/>
      <c r="U21" s="498"/>
      <c r="V21" s="498"/>
      <c r="W21" s="498"/>
      <c r="X21" s="498"/>
      <c r="Y21" s="498"/>
      <c r="Z21" s="498"/>
      <c r="AA21" s="498"/>
      <c r="AB21" s="498"/>
      <c r="AC21" s="498"/>
      <c r="AD21" s="498"/>
      <c r="AE21" s="498"/>
      <c r="AF21" s="498"/>
      <c r="AG21" s="498"/>
      <c r="AH21" s="498"/>
      <c r="AI21" s="498"/>
      <c r="AJ21" s="498"/>
      <c r="AK21" s="498"/>
      <c r="AL21" s="498"/>
      <c r="AM21" s="498"/>
      <c r="AN21" s="498"/>
      <c r="AO21" s="498"/>
      <c r="AP21" s="498"/>
      <c r="AQ21" s="498"/>
      <c r="AR21" s="498"/>
      <c r="AS21" s="498"/>
      <c r="AT21" s="498"/>
      <c r="AU21" s="498"/>
      <c r="AV21" s="498"/>
      <c r="AW21" s="498"/>
      <c r="AX21" s="498"/>
      <c r="AY21" s="498"/>
      <c r="AZ21" s="498"/>
      <c r="BA21" s="498"/>
      <c r="BB21" s="498"/>
      <c r="BC21" s="498"/>
      <c r="BD21" s="498"/>
      <c r="BE21" s="498"/>
      <c r="BF21" s="498"/>
      <c r="BG21" s="498"/>
      <c r="BH21" s="498"/>
      <c r="BI21" s="498"/>
      <c r="BJ21" s="498"/>
      <c r="BK21" s="498"/>
      <c r="BL21" s="498"/>
      <c r="BM21" s="498"/>
      <c r="BN21" s="498"/>
      <c r="BO21" s="498"/>
      <c r="BP21" s="498"/>
      <c r="BQ21" s="498"/>
      <c r="BR21" s="498"/>
      <c r="BS21" s="498"/>
      <c r="BT21" s="498"/>
      <c r="BU21" s="498"/>
      <c r="BV21" s="498"/>
      <c r="BW21" s="498"/>
      <c r="BX21" s="498"/>
      <c r="BY21" s="498"/>
      <c r="BZ21" s="498"/>
      <c r="CA21" s="498"/>
      <c r="CB21" s="498"/>
      <c r="CC21" s="498"/>
      <c r="CD21" s="498"/>
      <c r="CE21" s="498"/>
      <c r="CF21" s="498"/>
      <c r="CG21" s="498"/>
      <c r="CH21" s="498"/>
      <c r="CI21" s="498"/>
      <c r="CJ21" s="498"/>
      <c r="CK21" s="498"/>
      <c r="CL21" s="498"/>
      <c r="CM21" s="498"/>
      <c r="CN21" s="498"/>
      <c r="CO21" s="498"/>
      <c r="CP21" s="498"/>
      <c r="CQ21" s="498"/>
      <c r="CR21" s="498"/>
      <c r="CS21" s="498"/>
      <c r="CT21" s="498"/>
      <c r="CU21" s="498"/>
      <c r="CV21" s="498"/>
      <c r="CW21" s="498"/>
      <c r="CX21" s="498"/>
      <c r="CY21" s="498"/>
      <c r="CZ21" s="498"/>
      <c r="DA21" s="498"/>
      <c r="DB21" s="498"/>
      <c r="DC21" s="498"/>
      <c r="DD21" s="498"/>
      <c r="DE21" s="498"/>
      <c r="DF21" s="498"/>
      <c r="DG21" s="498"/>
      <c r="DH21" s="498"/>
      <c r="DI21" s="498"/>
      <c r="DJ21" s="498"/>
      <c r="DK21" s="498"/>
      <c r="DL21" s="498"/>
      <c r="DM21" s="498"/>
      <c r="DN21" s="498"/>
      <c r="DO21" s="498"/>
      <c r="DP21" s="498"/>
      <c r="DQ21" s="498"/>
      <c r="DR21" s="498"/>
      <c r="DS21" s="498"/>
      <c r="DT21" s="498"/>
      <c r="DU21" s="498"/>
      <c r="DV21" s="498"/>
      <c r="DW21" s="498"/>
      <c r="DX21" s="498"/>
      <c r="DY21" s="498"/>
      <c r="DZ21" s="498"/>
      <c r="EA21" s="498"/>
      <c r="EB21" s="498"/>
      <c r="EC21" s="498"/>
      <c r="ED21" s="498"/>
      <c r="EE21" s="498"/>
      <c r="EF21" s="498"/>
      <c r="EG21" s="498"/>
      <c r="EH21" s="498"/>
      <c r="EI21" s="498"/>
      <c r="EJ21" s="498"/>
      <c r="EK21" s="498"/>
      <c r="EL21" s="498"/>
      <c r="EM21" s="498"/>
    </row>
    <row r="22" spans="1:143" s="499" customFormat="1" ht="5.25" customHeight="1" x14ac:dyDescent="0.35">
      <c r="A22" s="496"/>
      <c r="B22" s="1723"/>
      <c r="C22" s="812"/>
      <c r="D22" s="812"/>
      <c r="E22" s="1724"/>
      <c r="F22" s="43"/>
      <c r="G22" s="500"/>
      <c r="H22" s="501"/>
      <c r="I22" s="501"/>
      <c r="J22" s="501"/>
      <c r="K22" s="502"/>
      <c r="L22" s="478"/>
      <c r="M22" s="496"/>
      <c r="N22" s="496"/>
      <c r="O22" s="498"/>
      <c r="P22" s="498"/>
      <c r="Q22" s="498"/>
      <c r="R22" s="498"/>
      <c r="S22" s="498"/>
      <c r="T22" s="498"/>
      <c r="U22" s="498"/>
      <c r="V22" s="498"/>
      <c r="W22" s="498"/>
      <c r="X22" s="498"/>
      <c r="Y22" s="498"/>
      <c r="Z22" s="498"/>
      <c r="AA22" s="498"/>
      <c r="AB22" s="498"/>
      <c r="AC22" s="498"/>
      <c r="AD22" s="498"/>
      <c r="AE22" s="498"/>
      <c r="AF22" s="498"/>
      <c r="AG22" s="498"/>
      <c r="AH22" s="498"/>
      <c r="AI22" s="498"/>
      <c r="AJ22" s="498"/>
      <c r="AK22" s="498"/>
      <c r="AL22" s="498"/>
      <c r="AM22" s="498"/>
      <c r="AN22" s="498"/>
      <c r="AO22" s="498"/>
      <c r="AP22" s="498"/>
      <c r="AQ22" s="498"/>
      <c r="AR22" s="498"/>
      <c r="AS22" s="498"/>
      <c r="AT22" s="498"/>
      <c r="AU22" s="498"/>
      <c r="AV22" s="498"/>
      <c r="AW22" s="498"/>
      <c r="AX22" s="498"/>
      <c r="AY22" s="498"/>
      <c r="AZ22" s="498"/>
      <c r="BA22" s="498"/>
      <c r="BB22" s="498"/>
      <c r="BC22" s="498"/>
      <c r="BD22" s="498"/>
      <c r="BE22" s="498"/>
      <c r="BF22" s="498"/>
      <c r="BG22" s="498"/>
      <c r="BH22" s="498"/>
      <c r="BI22" s="498"/>
      <c r="BJ22" s="498"/>
      <c r="BK22" s="498"/>
      <c r="BL22" s="498"/>
      <c r="BM22" s="498"/>
      <c r="BN22" s="498"/>
      <c r="BO22" s="498"/>
      <c r="BP22" s="498"/>
      <c r="BQ22" s="498"/>
      <c r="BR22" s="498"/>
      <c r="BS22" s="498"/>
      <c r="BT22" s="498"/>
      <c r="BU22" s="498"/>
      <c r="BV22" s="498"/>
      <c r="BW22" s="498"/>
      <c r="BX22" s="498"/>
      <c r="BY22" s="498"/>
      <c r="BZ22" s="498"/>
      <c r="CA22" s="498"/>
      <c r="CB22" s="498"/>
      <c r="CC22" s="498"/>
      <c r="CD22" s="498"/>
      <c r="CE22" s="498"/>
      <c r="CF22" s="498"/>
      <c r="CG22" s="498"/>
      <c r="CH22" s="498"/>
      <c r="CI22" s="498"/>
      <c r="CJ22" s="498"/>
      <c r="CK22" s="498"/>
      <c r="CL22" s="498"/>
      <c r="CM22" s="498"/>
      <c r="CN22" s="498"/>
      <c r="CO22" s="498"/>
      <c r="CP22" s="498"/>
      <c r="CQ22" s="498"/>
      <c r="CR22" s="498"/>
      <c r="CS22" s="498"/>
      <c r="CT22" s="498"/>
      <c r="CU22" s="498"/>
      <c r="CV22" s="498"/>
      <c r="CW22" s="498"/>
      <c r="CX22" s="498"/>
      <c r="CY22" s="498"/>
      <c r="CZ22" s="498"/>
      <c r="DA22" s="498"/>
      <c r="DB22" s="498"/>
      <c r="DC22" s="498"/>
      <c r="DD22" s="498"/>
      <c r="DE22" s="498"/>
      <c r="DF22" s="498"/>
      <c r="DG22" s="498"/>
      <c r="DH22" s="498"/>
      <c r="DI22" s="498"/>
      <c r="DJ22" s="498"/>
      <c r="DK22" s="498"/>
      <c r="DL22" s="498"/>
      <c r="DM22" s="498"/>
      <c r="DN22" s="498"/>
      <c r="DO22" s="498"/>
      <c r="DP22" s="498"/>
      <c r="DQ22" s="498"/>
      <c r="DR22" s="498"/>
      <c r="DS22" s="498"/>
      <c r="DT22" s="498"/>
      <c r="DU22" s="498"/>
      <c r="DV22" s="498"/>
      <c r="DW22" s="498"/>
      <c r="DX22" s="498"/>
      <c r="DY22" s="498"/>
      <c r="DZ22" s="498"/>
      <c r="EA22" s="498"/>
      <c r="EB22" s="498"/>
      <c r="EC22" s="498"/>
      <c r="ED22" s="498"/>
      <c r="EE22" s="498"/>
      <c r="EF22" s="498"/>
      <c r="EG22" s="498"/>
      <c r="EH22" s="498"/>
      <c r="EI22" s="498"/>
      <c r="EJ22" s="498"/>
      <c r="EK22" s="498"/>
      <c r="EL22" s="498"/>
      <c r="EM22" s="498"/>
    </row>
    <row r="23" spans="1:143" s="499" customFormat="1" ht="20.25" customHeight="1" x14ac:dyDescent="0.35">
      <c r="A23" s="496"/>
      <c r="B23" s="1723"/>
      <c r="C23" s="812"/>
      <c r="D23" s="812"/>
      <c r="E23" s="1724"/>
      <c r="F23" s="43"/>
      <c r="G23" s="1719" t="s">
        <v>880</v>
      </c>
      <c r="H23" s="1719"/>
      <c r="I23" s="1719"/>
      <c r="J23" s="1719"/>
      <c r="K23" s="1719"/>
      <c r="L23" s="478">
        <v>1</v>
      </c>
      <c r="M23" s="496"/>
      <c r="N23" s="496"/>
      <c r="O23" s="498"/>
      <c r="P23" s="498"/>
      <c r="Q23" s="498"/>
      <c r="R23" s="498"/>
      <c r="S23" s="498"/>
      <c r="T23" s="498"/>
      <c r="U23" s="498"/>
      <c r="V23" s="498"/>
      <c r="W23" s="498"/>
      <c r="X23" s="498"/>
      <c r="Y23" s="498"/>
      <c r="Z23" s="498"/>
      <c r="AA23" s="498"/>
      <c r="AB23" s="498"/>
      <c r="AC23" s="498"/>
      <c r="AD23" s="498"/>
      <c r="AE23" s="498"/>
      <c r="AF23" s="498"/>
      <c r="AG23" s="498"/>
      <c r="AH23" s="498"/>
      <c r="AI23" s="498"/>
      <c r="AJ23" s="498"/>
      <c r="AK23" s="498"/>
      <c r="AL23" s="498"/>
      <c r="AM23" s="498"/>
      <c r="AN23" s="498"/>
      <c r="AO23" s="498"/>
      <c r="AP23" s="498"/>
      <c r="AQ23" s="498"/>
      <c r="AR23" s="498"/>
      <c r="AS23" s="498"/>
      <c r="AT23" s="498"/>
      <c r="AU23" s="498"/>
      <c r="AV23" s="498"/>
      <c r="AW23" s="498"/>
      <c r="AX23" s="498"/>
      <c r="AY23" s="498"/>
      <c r="AZ23" s="498"/>
      <c r="BA23" s="498"/>
      <c r="BB23" s="498"/>
      <c r="BC23" s="498"/>
      <c r="BD23" s="498"/>
      <c r="BE23" s="498"/>
      <c r="BF23" s="498"/>
      <c r="BG23" s="498"/>
      <c r="BH23" s="498"/>
      <c r="BI23" s="498"/>
      <c r="BJ23" s="498"/>
      <c r="BK23" s="498"/>
      <c r="BL23" s="498"/>
      <c r="BM23" s="498"/>
      <c r="BN23" s="498"/>
      <c r="BO23" s="498"/>
      <c r="BP23" s="498"/>
      <c r="BQ23" s="498"/>
      <c r="BR23" s="498"/>
      <c r="BS23" s="498"/>
      <c r="BT23" s="498"/>
      <c r="BU23" s="498"/>
      <c r="BV23" s="498"/>
      <c r="BW23" s="498"/>
      <c r="BX23" s="498"/>
      <c r="BY23" s="498"/>
      <c r="BZ23" s="498"/>
      <c r="CA23" s="498"/>
      <c r="CB23" s="498"/>
      <c r="CC23" s="498"/>
      <c r="CD23" s="498"/>
      <c r="CE23" s="498"/>
      <c r="CF23" s="498"/>
      <c r="CG23" s="498"/>
      <c r="CH23" s="498"/>
      <c r="CI23" s="498"/>
      <c r="CJ23" s="498"/>
      <c r="CK23" s="498"/>
      <c r="CL23" s="498"/>
      <c r="CM23" s="498"/>
      <c r="CN23" s="498"/>
      <c r="CO23" s="498"/>
      <c r="CP23" s="498"/>
      <c r="CQ23" s="498"/>
      <c r="CR23" s="498"/>
      <c r="CS23" s="498"/>
      <c r="CT23" s="498"/>
      <c r="CU23" s="498"/>
      <c r="CV23" s="498"/>
      <c r="CW23" s="498"/>
      <c r="CX23" s="498"/>
      <c r="CY23" s="498"/>
      <c r="CZ23" s="498"/>
      <c r="DA23" s="498"/>
      <c r="DB23" s="498"/>
      <c r="DC23" s="498"/>
      <c r="DD23" s="498"/>
      <c r="DE23" s="498"/>
      <c r="DF23" s="498"/>
      <c r="DG23" s="498"/>
      <c r="DH23" s="498"/>
      <c r="DI23" s="498"/>
      <c r="DJ23" s="498"/>
      <c r="DK23" s="498"/>
      <c r="DL23" s="498"/>
      <c r="DM23" s="498"/>
      <c r="DN23" s="498"/>
      <c r="DO23" s="498"/>
      <c r="DP23" s="498"/>
      <c r="DQ23" s="498"/>
      <c r="DR23" s="498"/>
      <c r="DS23" s="498"/>
      <c r="DT23" s="498"/>
      <c r="DU23" s="498"/>
      <c r="DV23" s="498"/>
      <c r="DW23" s="498"/>
      <c r="DX23" s="498"/>
      <c r="DY23" s="498"/>
      <c r="DZ23" s="498"/>
      <c r="EA23" s="498"/>
      <c r="EB23" s="498"/>
      <c r="EC23" s="498"/>
      <c r="ED23" s="498"/>
      <c r="EE23" s="498"/>
      <c r="EF23" s="498"/>
      <c r="EG23" s="498"/>
      <c r="EH23" s="498"/>
      <c r="EI23" s="498"/>
      <c r="EJ23" s="498"/>
      <c r="EK23" s="498"/>
      <c r="EL23" s="498"/>
      <c r="EM23" s="498"/>
    </row>
    <row r="24" spans="1:143" s="499" customFormat="1" ht="4.5" customHeight="1" x14ac:dyDescent="0.35">
      <c r="A24" s="496"/>
      <c r="B24" s="1725"/>
      <c r="C24" s="812"/>
      <c r="D24" s="812"/>
      <c r="E24" s="1724"/>
      <c r="F24" s="43"/>
      <c r="G24" s="500"/>
      <c r="H24" s="501"/>
      <c r="I24" s="501"/>
      <c r="J24" s="501"/>
      <c r="K24" s="502"/>
      <c r="L24" s="478"/>
      <c r="M24" s="496"/>
      <c r="N24" s="496"/>
      <c r="O24" s="498"/>
      <c r="P24" s="498"/>
      <c r="Q24" s="498"/>
      <c r="R24" s="498"/>
      <c r="S24" s="498"/>
      <c r="T24" s="498"/>
      <c r="U24" s="498"/>
      <c r="V24" s="498"/>
      <c r="W24" s="498"/>
      <c r="X24" s="498"/>
      <c r="Y24" s="498"/>
      <c r="Z24" s="498"/>
      <c r="AA24" s="498"/>
      <c r="AB24" s="498"/>
      <c r="AC24" s="498"/>
      <c r="AD24" s="498"/>
      <c r="AE24" s="498"/>
      <c r="AF24" s="498"/>
      <c r="AG24" s="498"/>
      <c r="AH24" s="498"/>
      <c r="AI24" s="498"/>
      <c r="AJ24" s="498"/>
      <c r="AK24" s="498"/>
      <c r="AL24" s="498"/>
      <c r="AM24" s="498"/>
      <c r="AN24" s="498"/>
      <c r="AO24" s="498"/>
      <c r="AP24" s="498"/>
      <c r="AQ24" s="498"/>
      <c r="AR24" s="498"/>
      <c r="AS24" s="498"/>
      <c r="AT24" s="498"/>
      <c r="AU24" s="498"/>
      <c r="AV24" s="498"/>
      <c r="AW24" s="498"/>
      <c r="AX24" s="498"/>
      <c r="AY24" s="498"/>
      <c r="AZ24" s="498"/>
      <c r="BA24" s="498"/>
      <c r="BB24" s="498"/>
      <c r="BC24" s="498"/>
      <c r="BD24" s="498"/>
      <c r="BE24" s="498"/>
      <c r="BF24" s="498"/>
      <c r="BG24" s="498"/>
      <c r="BH24" s="498"/>
      <c r="BI24" s="498"/>
      <c r="BJ24" s="498"/>
      <c r="BK24" s="498"/>
      <c r="BL24" s="498"/>
      <c r="BM24" s="498"/>
      <c r="BN24" s="498"/>
      <c r="BO24" s="498"/>
      <c r="BP24" s="498"/>
      <c r="BQ24" s="498"/>
      <c r="BR24" s="498"/>
      <c r="BS24" s="498"/>
      <c r="BT24" s="498"/>
      <c r="BU24" s="498"/>
      <c r="BV24" s="498"/>
      <c r="BW24" s="498"/>
      <c r="BX24" s="498"/>
      <c r="BY24" s="498"/>
      <c r="BZ24" s="498"/>
      <c r="CA24" s="498"/>
      <c r="CB24" s="498"/>
      <c r="CC24" s="498"/>
      <c r="CD24" s="498"/>
      <c r="CE24" s="498"/>
      <c r="CF24" s="498"/>
      <c r="CG24" s="498"/>
      <c r="CH24" s="498"/>
      <c r="CI24" s="498"/>
      <c r="CJ24" s="498"/>
      <c r="CK24" s="498"/>
      <c r="CL24" s="498"/>
      <c r="CM24" s="498"/>
      <c r="CN24" s="498"/>
      <c r="CO24" s="498"/>
      <c r="CP24" s="498"/>
      <c r="CQ24" s="498"/>
      <c r="CR24" s="498"/>
      <c r="CS24" s="498"/>
      <c r="CT24" s="498"/>
      <c r="CU24" s="498"/>
      <c r="CV24" s="498"/>
      <c r="CW24" s="498"/>
      <c r="CX24" s="498"/>
      <c r="CY24" s="498"/>
      <c r="CZ24" s="498"/>
      <c r="DA24" s="498"/>
      <c r="DB24" s="498"/>
      <c r="DC24" s="498"/>
      <c r="DD24" s="498"/>
      <c r="DE24" s="498"/>
      <c r="DF24" s="498"/>
      <c r="DG24" s="498"/>
      <c r="DH24" s="498"/>
      <c r="DI24" s="498"/>
      <c r="DJ24" s="498"/>
      <c r="DK24" s="498"/>
      <c r="DL24" s="498"/>
      <c r="DM24" s="498"/>
      <c r="DN24" s="498"/>
      <c r="DO24" s="498"/>
      <c r="DP24" s="498"/>
      <c r="DQ24" s="498"/>
      <c r="DR24" s="498"/>
      <c r="DS24" s="498"/>
      <c r="DT24" s="498"/>
      <c r="DU24" s="498"/>
      <c r="DV24" s="498"/>
      <c r="DW24" s="498"/>
      <c r="DX24" s="498"/>
      <c r="DY24" s="498"/>
      <c r="DZ24" s="498"/>
      <c r="EA24" s="498"/>
      <c r="EB24" s="498"/>
      <c r="EC24" s="498"/>
      <c r="ED24" s="498"/>
      <c r="EE24" s="498"/>
      <c r="EF24" s="498"/>
      <c r="EG24" s="498"/>
      <c r="EH24" s="498"/>
      <c r="EI24" s="498"/>
      <c r="EJ24" s="498"/>
      <c r="EK24" s="498"/>
      <c r="EL24" s="498"/>
      <c r="EM24" s="498"/>
    </row>
    <row r="25" spans="1:143" s="499" customFormat="1" ht="24.75" customHeight="1" thickBot="1" x14ac:dyDescent="0.4">
      <c r="A25" s="496"/>
      <c r="B25" s="1726"/>
      <c r="C25" s="1727"/>
      <c r="D25" s="1727"/>
      <c r="E25" s="1728"/>
      <c r="F25" s="43"/>
      <c r="G25" s="1719" t="s">
        <v>881</v>
      </c>
      <c r="H25" s="1719"/>
      <c r="I25" s="1719"/>
      <c r="J25" s="1719"/>
      <c r="K25" s="1719"/>
      <c r="L25" s="478">
        <v>1</v>
      </c>
      <c r="M25" s="496"/>
      <c r="N25" s="496"/>
      <c r="O25" s="498"/>
      <c r="P25" s="498"/>
      <c r="Q25" s="498"/>
      <c r="R25" s="498"/>
      <c r="S25" s="498"/>
      <c r="T25" s="498"/>
      <c r="U25" s="498"/>
      <c r="V25" s="498"/>
      <c r="W25" s="498"/>
      <c r="X25" s="498"/>
      <c r="Y25" s="498"/>
      <c r="Z25" s="498"/>
      <c r="AA25" s="498"/>
      <c r="AB25" s="498"/>
      <c r="AC25" s="498"/>
      <c r="AD25" s="498"/>
      <c r="AE25" s="498"/>
      <c r="AF25" s="498"/>
      <c r="AG25" s="498"/>
      <c r="AH25" s="498"/>
      <c r="AI25" s="498"/>
      <c r="AJ25" s="498"/>
      <c r="AK25" s="498"/>
      <c r="AL25" s="498"/>
      <c r="AM25" s="498"/>
      <c r="AN25" s="498"/>
      <c r="AO25" s="498"/>
      <c r="AP25" s="498"/>
      <c r="AQ25" s="498"/>
      <c r="AR25" s="498"/>
      <c r="AS25" s="498"/>
      <c r="AT25" s="498"/>
      <c r="AU25" s="498"/>
      <c r="AV25" s="498"/>
      <c r="AW25" s="498"/>
      <c r="AX25" s="498"/>
      <c r="AY25" s="498"/>
      <c r="AZ25" s="498"/>
      <c r="BA25" s="498"/>
      <c r="BB25" s="498"/>
      <c r="BC25" s="498"/>
      <c r="BD25" s="498"/>
      <c r="BE25" s="498"/>
      <c r="BF25" s="498"/>
      <c r="BG25" s="498"/>
      <c r="BH25" s="498"/>
      <c r="BI25" s="498"/>
      <c r="BJ25" s="498"/>
      <c r="BK25" s="498"/>
      <c r="BL25" s="498"/>
      <c r="BM25" s="498"/>
      <c r="BN25" s="498"/>
      <c r="BO25" s="498"/>
      <c r="BP25" s="498"/>
      <c r="BQ25" s="498"/>
      <c r="BR25" s="498"/>
      <c r="BS25" s="498"/>
      <c r="BT25" s="498"/>
      <c r="BU25" s="498"/>
      <c r="BV25" s="498"/>
      <c r="BW25" s="498"/>
      <c r="BX25" s="498"/>
      <c r="BY25" s="498"/>
      <c r="BZ25" s="498"/>
      <c r="CA25" s="498"/>
      <c r="CB25" s="498"/>
      <c r="CC25" s="498"/>
      <c r="CD25" s="498"/>
      <c r="CE25" s="498"/>
      <c r="CF25" s="498"/>
      <c r="CG25" s="498"/>
      <c r="CH25" s="498"/>
      <c r="CI25" s="498"/>
      <c r="CJ25" s="498"/>
      <c r="CK25" s="498"/>
      <c r="CL25" s="498"/>
      <c r="CM25" s="498"/>
      <c r="CN25" s="498"/>
      <c r="CO25" s="498"/>
      <c r="CP25" s="498"/>
      <c r="CQ25" s="498"/>
      <c r="CR25" s="498"/>
      <c r="CS25" s="498"/>
      <c r="CT25" s="498"/>
      <c r="CU25" s="498"/>
      <c r="CV25" s="498"/>
      <c r="CW25" s="498"/>
      <c r="CX25" s="498"/>
      <c r="CY25" s="498"/>
      <c r="CZ25" s="498"/>
      <c r="DA25" s="498"/>
      <c r="DB25" s="498"/>
      <c r="DC25" s="498"/>
      <c r="DD25" s="498"/>
      <c r="DE25" s="498"/>
      <c r="DF25" s="498"/>
      <c r="DG25" s="498"/>
      <c r="DH25" s="498"/>
      <c r="DI25" s="498"/>
      <c r="DJ25" s="498"/>
      <c r="DK25" s="498"/>
      <c r="DL25" s="498"/>
      <c r="DM25" s="498"/>
      <c r="DN25" s="498"/>
      <c r="DO25" s="498"/>
      <c r="DP25" s="498"/>
      <c r="DQ25" s="498"/>
      <c r="DR25" s="498"/>
      <c r="DS25" s="498"/>
      <c r="DT25" s="498"/>
      <c r="DU25" s="498"/>
      <c r="DV25" s="498"/>
      <c r="DW25" s="498"/>
      <c r="DX25" s="498"/>
      <c r="DY25" s="498"/>
      <c r="DZ25" s="498"/>
      <c r="EA25" s="498"/>
      <c r="EB25" s="498"/>
      <c r="EC25" s="498"/>
      <c r="ED25" s="498"/>
      <c r="EE25" s="498"/>
      <c r="EF25" s="498"/>
      <c r="EG25" s="498"/>
      <c r="EH25" s="498"/>
      <c r="EI25" s="498"/>
      <c r="EJ25" s="498"/>
      <c r="EK25" s="498"/>
      <c r="EL25" s="498"/>
      <c r="EM25" s="498"/>
    </row>
    <row r="26" spans="1:143" s="499" customFormat="1" ht="15" customHeight="1" x14ac:dyDescent="0.35">
      <c r="A26" s="496"/>
      <c r="B26" s="43"/>
      <c r="C26" s="43"/>
      <c r="D26" s="43"/>
      <c r="E26" s="43"/>
      <c r="F26" s="43"/>
      <c r="G26" s="43"/>
      <c r="H26" s="43"/>
      <c r="I26" s="43"/>
      <c r="J26" s="43"/>
      <c r="K26" s="43"/>
      <c r="L26" s="43"/>
      <c r="M26" s="496"/>
      <c r="N26" s="496"/>
      <c r="O26" s="498"/>
      <c r="P26" s="498"/>
      <c r="Q26" s="498"/>
      <c r="R26" s="498"/>
      <c r="S26" s="498"/>
      <c r="T26" s="498"/>
      <c r="U26" s="498"/>
      <c r="V26" s="498"/>
      <c r="W26" s="498"/>
      <c r="X26" s="498"/>
      <c r="Y26" s="498"/>
      <c r="Z26" s="498"/>
      <c r="AA26" s="498"/>
      <c r="AB26" s="498"/>
      <c r="AC26" s="498"/>
      <c r="AD26" s="498"/>
      <c r="AE26" s="498"/>
      <c r="AF26" s="498"/>
      <c r="AG26" s="498"/>
      <c r="AH26" s="498"/>
      <c r="AI26" s="498"/>
      <c r="AJ26" s="498"/>
      <c r="AK26" s="498"/>
      <c r="AL26" s="498"/>
      <c r="AM26" s="498"/>
      <c r="AN26" s="498"/>
      <c r="AO26" s="498"/>
      <c r="AP26" s="498"/>
      <c r="AQ26" s="498"/>
      <c r="AR26" s="498"/>
      <c r="AS26" s="498"/>
      <c r="AT26" s="498"/>
      <c r="AU26" s="498"/>
      <c r="AV26" s="498"/>
      <c r="AW26" s="498"/>
      <c r="AX26" s="498"/>
      <c r="AY26" s="498"/>
      <c r="AZ26" s="498"/>
      <c r="BA26" s="498"/>
      <c r="BB26" s="498"/>
      <c r="BC26" s="498"/>
      <c r="BD26" s="498"/>
      <c r="BE26" s="498"/>
      <c r="BF26" s="498"/>
      <c r="BG26" s="498"/>
      <c r="BH26" s="498"/>
      <c r="BI26" s="498"/>
      <c r="BJ26" s="498"/>
      <c r="BK26" s="498"/>
      <c r="BL26" s="498"/>
      <c r="BM26" s="498"/>
      <c r="BN26" s="498"/>
      <c r="BO26" s="498"/>
      <c r="BP26" s="498"/>
      <c r="BQ26" s="498"/>
      <c r="BR26" s="498"/>
      <c r="BS26" s="498"/>
      <c r="BT26" s="498"/>
      <c r="BU26" s="498"/>
      <c r="BV26" s="498"/>
      <c r="BW26" s="498"/>
      <c r="BX26" s="498"/>
      <c r="BY26" s="498"/>
      <c r="BZ26" s="498"/>
      <c r="CA26" s="498"/>
      <c r="CB26" s="498"/>
      <c r="CC26" s="498"/>
      <c r="CD26" s="498"/>
      <c r="CE26" s="498"/>
      <c r="CF26" s="498"/>
      <c r="CG26" s="498"/>
      <c r="CH26" s="498"/>
      <c r="CI26" s="498"/>
      <c r="CJ26" s="498"/>
      <c r="CK26" s="498"/>
      <c r="CL26" s="498"/>
      <c r="CM26" s="498"/>
      <c r="CN26" s="498"/>
      <c r="CO26" s="498"/>
      <c r="CP26" s="498"/>
      <c r="CQ26" s="498"/>
      <c r="CR26" s="498"/>
      <c r="CS26" s="498"/>
      <c r="CT26" s="498"/>
      <c r="CU26" s="498"/>
      <c r="CV26" s="498"/>
      <c r="CW26" s="498"/>
      <c r="CX26" s="498"/>
      <c r="CY26" s="498"/>
      <c r="CZ26" s="498"/>
      <c r="DA26" s="498"/>
      <c r="DB26" s="498"/>
      <c r="DC26" s="498"/>
      <c r="DD26" s="498"/>
      <c r="DE26" s="498"/>
      <c r="DF26" s="498"/>
      <c r="DG26" s="498"/>
      <c r="DH26" s="498"/>
      <c r="DI26" s="498"/>
      <c r="DJ26" s="498"/>
      <c r="DK26" s="498"/>
      <c r="DL26" s="498"/>
      <c r="DM26" s="498"/>
      <c r="DN26" s="498"/>
      <c r="DO26" s="498"/>
      <c r="DP26" s="498"/>
      <c r="DQ26" s="498"/>
      <c r="DR26" s="498"/>
      <c r="DS26" s="498"/>
      <c r="DT26" s="498"/>
      <c r="DU26" s="498"/>
      <c r="DV26" s="498"/>
      <c r="DW26" s="498"/>
      <c r="DX26" s="498"/>
      <c r="DY26" s="498"/>
      <c r="DZ26" s="498"/>
      <c r="EA26" s="498"/>
      <c r="EB26" s="498"/>
      <c r="EC26" s="498"/>
      <c r="ED26" s="498"/>
      <c r="EE26" s="498"/>
      <c r="EF26" s="498"/>
      <c r="EG26" s="498"/>
      <c r="EH26" s="498"/>
      <c r="EI26" s="498"/>
      <c r="EJ26" s="498"/>
      <c r="EK26" s="498"/>
      <c r="EL26" s="498"/>
      <c r="EM26" s="498"/>
    </row>
    <row r="27" spans="1:143" s="499" customFormat="1" ht="15" customHeight="1" thickBot="1" x14ac:dyDescent="0.4">
      <c r="A27" s="496"/>
      <c r="B27" s="43"/>
      <c r="C27" s="43"/>
      <c r="D27" s="43"/>
      <c r="E27" s="43"/>
      <c r="F27" s="43"/>
      <c r="G27" s="43"/>
      <c r="H27" s="43"/>
      <c r="I27" s="43"/>
      <c r="J27" s="43"/>
      <c r="K27" s="43"/>
      <c r="L27" s="43"/>
      <c r="M27" s="496"/>
      <c r="N27" s="496"/>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c r="AL27" s="498"/>
      <c r="AM27" s="498"/>
      <c r="AN27" s="498"/>
      <c r="AO27" s="498"/>
      <c r="AP27" s="498"/>
      <c r="AQ27" s="498"/>
      <c r="AR27" s="498"/>
      <c r="AS27" s="498"/>
      <c r="AT27" s="498"/>
      <c r="AU27" s="498"/>
      <c r="AV27" s="498"/>
      <c r="AW27" s="498"/>
      <c r="AX27" s="498"/>
      <c r="AY27" s="498"/>
      <c r="AZ27" s="498"/>
      <c r="BA27" s="498"/>
      <c r="BB27" s="498"/>
      <c r="BC27" s="498"/>
      <c r="BD27" s="498"/>
      <c r="BE27" s="498"/>
      <c r="BF27" s="498"/>
      <c r="BG27" s="498"/>
      <c r="BH27" s="498"/>
      <c r="BI27" s="498"/>
      <c r="BJ27" s="498"/>
      <c r="BK27" s="498"/>
      <c r="BL27" s="498"/>
      <c r="BM27" s="498"/>
      <c r="BN27" s="498"/>
      <c r="BO27" s="498"/>
      <c r="BP27" s="498"/>
      <c r="BQ27" s="498"/>
      <c r="BR27" s="498"/>
      <c r="BS27" s="498"/>
      <c r="BT27" s="498"/>
      <c r="BU27" s="498"/>
      <c r="BV27" s="498"/>
      <c r="BW27" s="498"/>
      <c r="BX27" s="498"/>
      <c r="BY27" s="498"/>
      <c r="BZ27" s="498"/>
      <c r="CA27" s="498"/>
      <c r="CB27" s="498"/>
      <c r="CC27" s="498"/>
      <c r="CD27" s="498"/>
      <c r="CE27" s="498"/>
      <c r="CF27" s="498"/>
      <c r="CG27" s="498"/>
      <c r="CH27" s="498"/>
      <c r="CI27" s="498"/>
      <c r="CJ27" s="498"/>
      <c r="CK27" s="498"/>
      <c r="CL27" s="498"/>
      <c r="CM27" s="498"/>
      <c r="CN27" s="498"/>
      <c r="CO27" s="498"/>
      <c r="CP27" s="498"/>
      <c r="CQ27" s="498"/>
      <c r="CR27" s="498"/>
      <c r="CS27" s="498"/>
      <c r="CT27" s="498"/>
      <c r="CU27" s="498"/>
      <c r="CV27" s="498"/>
      <c r="CW27" s="498"/>
      <c r="CX27" s="498"/>
      <c r="CY27" s="498"/>
      <c r="CZ27" s="498"/>
      <c r="DA27" s="498"/>
      <c r="DB27" s="498"/>
      <c r="DC27" s="498"/>
      <c r="DD27" s="498"/>
      <c r="DE27" s="498"/>
      <c r="DF27" s="498"/>
      <c r="DG27" s="498"/>
      <c r="DH27" s="498"/>
      <c r="DI27" s="498"/>
      <c r="DJ27" s="498"/>
      <c r="DK27" s="498"/>
      <c r="DL27" s="498"/>
      <c r="DM27" s="498"/>
      <c r="DN27" s="498"/>
      <c r="DO27" s="498"/>
      <c r="DP27" s="498"/>
      <c r="DQ27" s="498"/>
      <c r="DR27" s="498"/>
      <c r="DS27" s="498"/>
      <c r="DT27" s="498"/>
      <c r="DU27" s="498"/>
      <c r="DV27" s="498"/>
      <c r="DW27" s="498"/>
      <c r="DX27" s="498"/>
      <c r="DY27" s="498"/>
      <c r="DZ27" s="498"/>
      <c r="EA27" s="498"/>
      <c r="EB27" s="498"/>
      <c r="EC27" s="498"/>
      <c r="ED27" s="498"/>
      <c r="EE27" s="498"/>
      <c r="EF27" s="498"/>
      <c r="EG27" s="498"/>
      <c r="EH27" s="498"/>
      <c r="EI27" s="498"/>
      <c r="EJ27" s="498"/>
      <c r="EK27" s="498"/>
      <c r="EL27" s="498"/>
      <c r="EM27" s="498"/>
    </row>
    <row r="28" spans="1:143" s="499" customFormat="1" x14ac:dyDescent="0.35">
      <c r="A28" s="496"/>
      <c r="B28" s="1720" t="s">
        <v>882</v>
      </c>
      <c r="C28" s="1721"/>
      <c r="D28" s="1721"/>
      <c r="E28" s="1722"/>
      <c r="F28" s="43"/>
      <c r="G28" s="1719" t="s">
        <v>883</v>
      </c>
      <c r="H28" s="1719"/>
      <c r="I28" s="1719"/>
      <c r="J28" s="1719"/>
      <c r="K28" s="1719"/>
      <c r="L28" s="599" t="s">
        <v>178</v>
      </c>
      <c r="M28" s="496"/>
      <c r="N28" s="496"/>
      <c r="O28" s="498"/>
      <c r="P28" s="498"/>
      <c r="Q28" s="498"/>
      <c r="R28" s="498"/>
      <c r="S28" s="498"/>
      <c r="T28" s="498"/>
      <c r="U28" s="498"/>
      <c r="V28" s="498"/>
      <c r="W28" s="498"/>
      <c r="X28" s="498"/>
      <c r="Y28" s="498"/>
      <c r="Z28" s="498"/>
      <c r="AA28" s="498"/>
      <c r="AB28" s="498"/>
      <c r="AC28" s="498"/>
      <c r="AD28" s="498"/>
      <c r="AE28" s="498"/>
      <c r="AF28" s="498"/>
      <c r="AG28" s="498"/>
      <c r="AH28" s="498"/>
      <c r="AI28" s="498"/>
      <c r="AJ28" s="498"/>
      <c r="AK28" s="498"/>
      <c r="AL28" s="498"/>
      <c r="AM28" s="498"/>
      <c r="AN28" s="498"/>
      <c r="AO28" s="498"/>
      <c r="AP28" s="498"/>
      <c r="AQ28" s="498"/>
      <c r="AR28" s="498"/>
      <c r="AS28" s="498"/>
      <c r="AT28" s="498"/>
      <c r="AU28" s="498"/>
      <c r="AV28" s="498"/>
      <c r="AW28" s="498"/>
      <c r="AX28" s="498"/>
      <c r="AY28" s="498"/>
      <c r="AZ28" s="498"/>
      <c r="BA28" s="498"/>
      <c r="BB28" s="498"/>
      <c r="BC28" s="498"/>
      <c r="BD28" s="498"/>
      <c r="BE28" s="498"/>
      <c r="BF28" s="498"/>
      <c r="BG28" s="498"/>
      <c r="BH28" s="498"/>
      <c r="BI28" s="498"/>
      <c r="BJ28" s="498"/>
      <c r="BK28" s="498"/>
      <c r="BL28" s="498"/>
      <c r="BM28" s="498"/>
      <c r="BN28" s="498"/>
      <c r="BO28" s="498"/>
      <c r="BP28" s="498"/>
      <c r="BQ28" s="498"/>
      <c r="BR28" s="498"/>
      <c r="BS28" s="498"/>
      <c r="BT28" s="498"/>
      <c r="BU28" s="498"/>
      <c r="BV28" s="498"/>
      <c r="BW28" s="498"/>
      <c r="BX28" s="498"/>
      <c r="BY28" s="498"/>
      <c r="BZ28" s="498"/>
      <c r="CA28" s="498"/>
      <c r="CB28" s="498"/>
      <c r="CC28" s="498"/>
      <c r="CD28" s="498"/>
      <c r="CE28" s="498"/>
      <c r="CF28" s="498"/>
      <c r="CG28" s="498"/>
      <c r="CH28" s="498"/>
      <c r="CI28" s="498"/>
      <c r="CJ28" s="498"/>
      <c r="CK28" s="498"/>
      <c r="CL28" s="498"/>
      <c r="CM28" s="498"/>
      <c r="CN28" s="498"/>
      <c r="CO28" s="498"/>
      <c r="CP28" s="498"/>
      <c r="CQ28" s="498"/>
      <c r="CR28" s="498"/>
      <c r="CS28" s="498"/>
      <c r="CT28" s="498"/>
      <c r="CU28" s="498"/>
      <c r="CV28" s="498"/>
      <c r="CW28" s="498"/>
      <c r="CX28" s="498"/>
      <c r="CY28" s="498"/>
      <c r="CZ28" s="498"/>
      <c r="DA28" s="498"/>
      <c r="DB28" s="498"/>
      <c r="DC28" s="498"/>
      <c r="DD28" s="498"/>
      <c r="DE28" s="498"/>
      <c r="DF28" s="498"/>
      <c r="DG28" s="498"/>
      <c r="DH28" s="498"/>
      <c r="DI28" s="498"/>
      <c r="DJ28" s="498"/>
      <c r="DK28" s="498"/>
      <c r="DL28" s="498"/>
      <c r="DM28" s="498"/>
      <c r="DN28" s="498"/>
      <c r="DO28" s="498"/>
      <c r="DP28" s="498"/>
      <c r="DQ28" s="498"/>
      <c r="DR28" s="498"/>
      <c r="DS28" s="498"/>
      <c r="DT28" s="498"/>
      <c r="DU28" s="498"/>
      <c r="DV28" s="498"/>
      <c r="DW28" s="498"/>
      <c r="DX28" s="498"/>
      <c r="DY28" s="498"/>
      <c r="DZ28" s="498"/>
      <c r="EA28" s="498"/>
      <c r="EB28" s="498"/>
      <c r="EC28" s="498"/>
      <c r="ED28" s="498"/>
      <c r="EE28" s="498"/>
      <c r="EF28" s="498"/>
      <c r="EG28" s="498"/>
      <c r="EH28" s="498"/>
      <c r="EI28" s="498"/>
      <c r="EJ28" s="498"/>
      <c r="EK28" s="498"/>
      <c r="EL28" s="498"/>
      <c r="EM28" s="498"/>
    </row>
    <row r="29" spans="1:143" s="499" customFormat="1" ht="5.25" customHeight="1" x14ac:dyDescent="0.35">
      <c r="A29" s="496"/>
      <c r="B29" s="1723"/>
      <c r="C29" s="812"/>
      <c r="D29" s="812"/>
      <c r="E29" s="1724"/>
      <c r="F29" s="43"/>
      <c r="G29" s="500"/>
      <c r="H29" s="501"/>
      <c r="I29" s="501"/>
      <c r="J29" s="501"/>
      <c r="K29" s="502"/>
      <c r="L29" s="497"/>
      <c r="M29" s="496"/>
      <c r="N29" s="496"/>
      <c r="O29" s="498"/>
      <c r="P29" s="498"/>
      <c r="Q29" s="498"/>
      <c r="R29" s="498"/>
      <c r="S29" s="498"/>
      <c r="T29" s="498"/>
      <c r="U29" s="498"/>
      <c r="V29" s="498"/>
      <c r="W29" s="498"/>
      <c r="X29" s="498"/>
      <c r="Y29" s="498"/>
      <c r="Z29" s="498"/>
      <c r="AA29" s="498"/>
      <c r="AB29" s="498"/>
      <c r="AC29" s="498"/>
      <c r="AD29" s="498"/>
      <c r="AE29" s="498"/>
      <c r="AF29" s="498"/>
      <c r="AG29" s="498"/>
      <c r="AH29" s="498"/>
      <c r="AI29" s="498"/>
      <c r="AJ29" s="498"/>
      <c r="AK29" s="498"/>
      <c r="AL29" s="498"/>
      <c r="AM29" s="498"/>
      <c r="AN29" s="498"/>
      <c r="AO29" s="498"/>
      <c r="AP29" s="498"/>
      <c r="AQ29" s="498"/>
      <c r="AR29" s="498"/>
      <c r="AS29" s="498"/>
      <c r="AT29" s="498"/>
      <c r="AU29" s="498"/>
      <c r="AV29" s="498"/>
      <c r="AW29" s="498"/>
      <c r="AX29" s="498"/>
      <c r="AY29" s="498"/>
      <c r="AZ29" s="498"/>
      <c r="BA29" s="498"/>
      <c r="BB29" s="498"/>
      <c r="BC29" s="498"/>
      <c r="BD29" s="498"/>
      <c r="BE29" s="498"/>
      <c r="BF29" s="498"/>
      <c r="BG29" s="498"/>
      <c r="BH29" s="498"/>
      <c r="BI29" s="498"/>
      <c r="BJ29" s="498"/>
      <c r="BK29" s="498"/>
      <c r="BL29" s="498"/>
      <c r="BM29" s="498"/>
      <c r="BN29" s="498"/>
      <c r="BO29" s="498"/>
      <c r="BP29" s="498"/>
      <c r="BQ29" s="498"/>
      <c r="BR29" s="498"/>
      <c r="BS29" s="498"/>
      <c r="BT29" s="498"/>
      <c r="BU29" s="498"/>
      <c r="BV29" s="498"/>
      <c r="BW29" s="498"/>
      <c r="BX29" s="498"/>
      <c r="BY29" s="498"/>
      <c r="BZ29" s="498"/>
      <c r="CA29" s="498"/>
      <c r="CB29" s="498"/>
      <c r="CC29" s="498"/>
      <c r="CD29" s="498"/>
      <c r="CE29" s="498"/>
      <c r="CF29" s="498"/>
      <c r="CG29" s="498"/>
      <c r="CH29" s="498"/>
      <c r="CI29" s="498"/>
      <c r="CJ29" s="498"/>
      <c r="CK29" s="498"/>
      <c r="CL29" s="498"/>
      <c r="CM29" s="498"/>
      <c r="CN29" s="498"/>
      <c r="CO29" s="498"/>
      <c r="CP29" s="498"/>
      <c r="CQ29" s="498"/>
      <c r="CR29" s="498"/>
      <c r="CS29" s="498"/>
      <c r="CT29" s="498"/>
      <c r="CU29" s="498"/>
      <c r="CV29" s="498"/>
      <c r="CW29" s="498"/>
      <c r="CX29" s="498"/>
      <c r="CY29" s="498"/>
      <c r="CZ29" s="498"/>
      <c r="DA29" s="498"/>
      <c r="DB29" s="498"/>
      <c r="DC29" s="498"/>
      <c r="DD29" s="498"/>
      <c r="DE29" s="498"/>
      <c r="DF29" s="498"/>
      <c r="DG29" s="498"/>
      <c r="DH29" s="498"/>
      <c r="DI29" s="498"/>
      <c r="DJ29" s="498"/>
      <c r="DK29" s="498"/>
      <c r="DL29" s="498"/>
      <c r="DM29" s="498"/>
      <c r="DN29" s="498"/>
      <c r="DO29" s="498"/>
      <c r="DP29" s="498"/>
      <c r="DQ29" s="498"/>
      <c r="DR29" s="498"/>
      <c r="DS29" s="498"/>
      <c r="DT29" s="498"/>
      <c r="DU29" s="498"/>
      <c r="DV29" s="498"/>
      <c r="DW29" s="498"/>
      <c r="DX29" s="498"/>
      <c r="DY29" s="498"/>
      <c r="DZ29" s="498"/>
      <c r="EA29" s="498"/>
      <c r="EB29" s="498"/>
      <c r="EC29" s="498"/>
      <c r="ED29" s="498"/>
      <c r="EE29" s="498"/>
      <c r="EF29" s="498"/>
      <c r="EG29" s="498"/>
      <c r="EH29" s="498"/>
      <c r="EI29" s="498"/>
      <c r="EJ29" s="498"/>
      <c r="EK29" s="498"/>
      <c r="EL29" s="498"/>
      <c r="EM29" s="498"/>
    </row>
    <row r="30" spans="1:143" s="499" customFormat="1" x14ac:dyDescent="0.35">
      <c r="A30" s="496"/>
      <c r="B30" s="1723"/>
      <c r="C30" s="812"/>
      <c r="D30" s="812"/>
      <c r="E30" s="1724"/>
      <c r="F30" s="43"/>
      <c r="G30" s="1719" t="s">
        <v>884</v>
      </c>
      <c r="H30" s="1719"/>
      <c r="I30" s="1719"/>
      <c r="J30" s="1719"/>
      <c r="K30" s="1719"/>
      <c r="L30" s="497"/>
      <c r="M30" s="496"/>
      <c r="N30" s="496"/>
      <c r="O30" s="498"/>
      <c r="P30" s="498"/>
      <c r="Q30" s="498"/>
      <c r="R30" s="498"/>
      <c r="S30" s="498"/>
      <c r="T30" s="498"/>
      <c r="U30" s="498"/>
      <c r="V30" s="498"/>
      <c r="W30" s="498"/>
      <c r="X30" s="498"/>
      <c r="Y30" s="498"/>
      <c r="Z30" s="498"/>
      <c r="AA30" s="498"/>
      <c r="AB30" s="498"/>
      <c r="AC30" s="498"/>
      <c r="AD30" s="498"/>
      <c r="AE30" s="498"/>
      <c r="AF30" s="498"/>
      <c r="AG30" s="498"/>
      <c r="AH30" s="498"/>
      <c r="AI30" s="498"/>
      <c r="AJ30" s="498"/>
      <c r="AK30" s="498"/>
      <c r="AL30" s="498"/>
      <c r="AM30" s="498"/>
      <c r="AN30" s="498"/>
      <c r="AO30" s="498"/>
      <c r="AP30" s="498"/>
      <c r="AQ30" s="498"/>
      <c r="AR30" s="498"/>
      <c r="AS30" s="498"/>
      <c r="AT30" s="498"/>
      <c r="AU30" s="498"/>
      <c r="AV30" s="498"/>
      <c r="AW30" s="498"/>
      <c r="AX30" s="498"/>
      <c r="AY30" s="498"/>
      <c r="AZ30" s="498"/>
      <c r="BA30" s="498"/>
      <c r="BB30" s="498"/>
      <c r="BC30" s="498"/>
      <c r="BD30" s="498"/>
      <c r="BE30" s="498"/>
      <c r="BF30" s="498"/>
      <c r="BG30" s="498"/>
      <c r="BH30" s="498"/>
      <c r="BI30" s="498"/>
      <c r="BJ30" s="498"/>
      <c r="BK30" s="498"/>
      <c r="BL30" s="498"/>
      <c r="BM30" s="498"/>
      <c r="BN30" s="498"/>
      <c r="BO30" s="498"/>
      <c r="BP30" s="498"/>
      <c r="BQ30" s="498"/>
      <c r="BR30" s="498"/>
      <c r="BS30" s="498"/>
      <c r="BT30" s="498"/>
      <c r="BU30" s="498"/>
      <c r="BV30" s="498"/>
      <c r="BW30" s="498"/>
      <c r="BX30" s="498"/>
      <c r="BY30" s="498"/>
      <c r="BZ30" s="498"/>
      <c r="CA30" s="498"/>
      <c r="CB30" s="498"/>
      <c r="CC30" s="498"/>
      <c r="CD30" s="498"/>
      <c r="CE30" s="498"/>
      <c r="CF30" s="498"/>
      <c r="CG30" s="498"/>
      <c r="CH30" s="498"/>
      <c r="CI30" s="498"/>
      <c r="CJ30" s="498"/>
      <c r="CK30" s="498"/>
      <c r="CL30" s="498"/>
      <c r="CM30" s="498"/>
      <c r="CN30" s="498"/>
      <c r="CO30" s="498"/>
      <c r="CP30" s="498"/>
      <c r="CQ30" s="498"/>
      <c r="CR30" s="498"/>
      <c r="CS30" s="498"/>
      <c r="CT30" s="498"/>
      <c r="CU30" s="498"/>
      <c r="CV30" s="498"/>
      <c r="CW30" s="498"/>
      <c r="CX30" s="498"/>
      <c r="CY30" s="498"/>
      <c r="CZ30" s="498"/>
      <c r="DA30" s="498"/>
      <c r="DB30" s="498"/>
      <c r="DC30" s="498"/>
      <c r="DD30" s="498"/>
      <c r="DE30" s="498"/>
      <c r="DF30" s="498"/>
      <c r="DG30" s="498"/>
      <c r="DH30" s="498"/>
      <c r="DI30" s="498"/>
      <c r="DJ30" s="498"/>
      <c r="DK30" s="498"/>
      <c r="DL30" s="498"/>
      <c r="DM30" s="498"/>
      <c r="DN30" s="498"/>
      <c r="DO30" s="498"/>
      <c r="DP30" s="498"/>
      <c r="DQ30" s="498"/>
      <c r="DR30" s="498"/>
      <c r="DS30" s="498"/>
      <c r="DT30" s="498"/>
      <c r="DU30" s="498"/>
      <c r="DV30" s="498"/>
      <c r="DW30" s="498"/>
      <c r="DX30" s="498"/>
      <c r="DY30" s="498"/>
      <c r="DZ30" s="498"/>
      <c r="EA30" s="498"/>
      <c r="EB30" s="498"/>
      <c r="EC30" s="498"/>
      <c r="ED30" s="498"/>
      <c r="EE30" s="498"/>
      <c r="EF30" s="498"/>
      <c r="EG30" s="498"/>
      <c r="EH30" s="498"/>
      <c r="EI30" s="498"/>
      <c r="EJ30" s="498"/>
      <c r="EK30" s="498"/>
      <c r="EL30" s="498"/>
      <c r="EM30" s="498"/>
    </row>
    <row r="31" spans="1:143" s="499" customFormat="1" ht="4.5" customHeight="1" x14ac:dyDescent="0.35">
      <c r="A31" s="496"/>
      <c r="B31" s="1725"/>
      <c r="C31" s="812"/>
      <c r="D31" s="812"/>
      <c r="E31" s="1724"/>
      <c r="F31" s="43"/>
      <c r="G31" s="500"/>
      <c r="H31" s="501"/>
      <c r="I31" s="501"/>
      <c r="J31" s="501"/>
      <c r="K31" s="502"/>
      <c r="L31" s="497"/>
      <c r="M31" s="496"/>
      <c r="N31" s="496"/>
      <c r="O31" s="498"/>
      <c r="P31" s="498"/>
      <c r="Q31" s="498"/>
      <c r="R31" s="498"/>
      <c r="S31" s="498"/>
      <c r="T31" s="498"/>
      <c r="U31" s="498"/>
      <c r="V31" s="498"/>
      <c r="W31" s="498"/>
      <c r="X31" s="498"/>
      <c r="Y31" s="498"/>
      <c r="Z31" s="498"/>
      <c r="AA31" s="498"/>
      <c r="AB31" s="498"/>
      <c r="AC31" s="498"/>
      <c r="AD31" s="498"/>
      <c r="AE31" s="498"/>
      <c r="AF31" s="498"/>
      <c r="AG31" s="498"/>
      <c r="AH31" s="498"/>
      <c r="AI31" s="498"/>
      <c r="AJ31" s="498"/>
      <c r="AK31" s="498"/>
      <c r="AL31" s="498"/>
      <c r="AM31" s="498"/>
      <c r="AN31" s="498"/>
      <c r="AO31" s="498"/>
      <c r="AP31" s="498"/>
      <c r="AQ31" s="498"/>
      <c r="AR31" s="498"/>
      <c r="AS31" s="498"/>
      <c r="AT31" s="498"/>
      <c r="AU31" s="498"/>
      <c r="AV31" s="498"/>
      <c r="AW31" s="498"/>
      <c r="AX31" s="498"/>
      <c r="AY31" s="498"/>
      <c r="AZ31" s="498"/>
      <c r="BA31" s="498"/>
      <c r="BB31" s="498"/>
      <c r="BC31" s="498"/>
      <c r="BD31" s="498"/>
      <c r="BE31" s="498"/>
      <c r="BF31" s="498"/>
      <c r="BG31" s="498"/>
      <c r="BH31" s="498"/>
      <c r="BI31" s="498"/>
      <c r="BJ31" s="498"/>
      <c r="BK31" s="498"/>
      <c r="BL31" s="498"/>
      <c r="BM31" s="498"/>
      <c r="BN31" s="498"/>
      <c r="BO31" s="498"/>
      <c r="BP31" s="498"/>
      <c r="BQ31" s="498"/>
      <c r="BR31" s="498"/>
      <c r="BS31" s="498"/>
      <c r="BT31" s="498"/>
      <c r="BU31" s="498"/>
      <c r="BV31" s="498"/>
      <c r="BW31" s="498"/>
      <c r="BX31" s="498"/>
      <c r="BY31" s="498"/>
      <c r="BZ31" s="498"/>
      <c r="CA31" s="498"/>
      <c r="CB31" s="498"/>
      <c r="CC31" s="498"/>
      <c r="CD31" s="498"/>
      <c r="CE31" s="498"/>
      <c r="CF31" s="498"/>
      <c r="CG31" s="498"/>
      <c r="CH31" s="498"/>
      <c r="CI31" s="498"/>
      <c r="CJ31" s="498"/>
      <c r="CK31" s="498"/>
      <c r="CL31" s="498"/>
      <c r="CM31" s="498"/>
      <c r="CN31" s="498"/>
      <c r="CO31" s="498"/>
      <c r="CP31" s="498"/>
      <c r="CQ31" s="498"/>
      <c r="CR31" s="498"/>
      <c r="CS31" s="498"/>
      <c r="CT31" s="498"/>
      <c r="CU31" s="498"/>
      <c r="CV31" s="498"/>
      <c r="CW31" s="498"/>
      <c r="CX31" s="498"/>
      <c r="CY31" s="498"/>
      <c r="CZ31" s="498"/>
      <c r="DA31" s="498"/>
      <c r="DB31" s="498"/>
      <c r="DC31" s="498"/>
      <c r="DD31" s="498"/>
      <c r="DE31" s="498"/>
      <c r="DF31" s="498"/>
      <c r="DG31" s="498"/>
      <c r="DH31" s="498"/>
      <c r="DI31" s="498"/>
      <c r="DJ31" s="498"/>
      <c r="DK31" s="498"/>
      <c r="DL31" s="498"/>
      <c r="DM31" s="498"/>
      <c r="DN31" s="498"/>
      <c r="DO31" s="498"/>
      <c r="DP31" s="498"/>
      <c r="DQ31" s="498"/>
      <c r="DR31" s="498"/>
      <c r="DS31" s="498"/>
      <c r="DT31" s="498"/>
      <c r="DU31" s="498"/>
      <c r="DV31" s="498"/>
      <c r="DW31" s="498"/>
      <c r="DX31" s="498"/>
      <c r="DY31" s="498"/>
      <c r="DZ31" s="498"/>
      <c r="EA31" s="498"/>
      <c r="EB31" s="498"/>
      <c r="EC31" s="498"/>
      <c r="ED31" s="498"/>
      <c r="EE31" s="498"/>
      <c r="EF31" s="498"/>
      <c r="EG31" s="498"/>
      <c r="EH31" s="498"/>
      <c r="EI31" s="498"/>
      <c r="EJ31" s="498"/>
      <c r="EK31" s="498"/>
      <c r="EL31" s="498"/>
      <c r="EM31" s="498"/>
    </row>
    <row r="32" spans="1:143" s="499" customFormat="1" ht="16" thickBot="1" x14ac:dyDescent="0.4">
      <c r="A32" s="496"/>
      <c r="B32" s="1726"/>
      <c r="C32" s="1727"/>
      <c r="D32" s="1727"/>
      <c r="E32" s="1728"/>
      <c r="F32" s="43"/>
      <c r="G32" s="1719" t="s">
        <v>885</v>
      </c>
      <c r="H32" s="1719"/>
      <c r="I32" s="1719"/>
      <c r="J32" s="1719"/>
      <c r="K32" s="1719"/>
      <c r="L32" s="497"/>
      <c r="M32" s="496"/>
      <c r="N32" s="496"/>
      <c r="O32" s="498"/>
      <c r="P32" s="498"/>
      <c r="Q32" s="498"/>
      <c r="R32" s="498"/>
      <c r="S32" s="498"/>
      <c r="T32" s="498"/>
      <c r="U32" s="498"/>
      <c r="V32" s="498"/>
      <c r="W32" s="498"/>
      <c r="X32" s="498"/>
      <c r="Y32" s="498"/>
      <c r="Z32" s="498"/>
      <c r="AA32" s="498"/>
      <c r="AB32" s="498"/>
      <c r="AC32" s="498"/>
      <c r="AD32" s="498"/>
      <c r="AE32" s="498"/>
      <c r="AF32" s="498"/>
      <c r="AG32" s="498"/>
      <c r="AH32" s="498"/>
      <c r="AI32" s="498"/>
      <c r="AJ32" s="498"/>
      <c r="AK32" s="498"/>
      <c r="AL32" s="498"/>
      <c r="AM32" s="498"/>
      <c r="AN32" s="498"/>
      <c r="AO32" s="498"/>
      <c r="AP32" s="498"/>
      <c r="AQ32" s="498"/>
      <c r="AR32" s="498"/>
      <c r="AS32" s="498"/>
      <c r="AT32" s="498"/>
      <c r="AU32" s="498"/>
      <c r="AV32" s="498"/>
      <c r="AW32" s="498"/>
      <c r="AX32" s="498"/>
      <c r="AY32" s="498"/>
      <c r="AZ32" s="498"/>
      <c r="BA32" s="498"/>
      <c r="BB32" s="498"/>
      <c r="BC32" s="498"/>
      <c r="BD32" s="498"/>
      <c r="BE32" s="498"/>
      <c r="BF32" s="498"/>
      <c r="BG32" s="498"/>
      <c r="BH32" s="498"/>
      <c r="BI32" s="498"/>
      <c r="BJ32" s="498"/>
      <c r="BK32" s="498"/>
      <c r="BL32" s="498"/>
      <c r="BM32" s="498"/>
      <c r="BN32" s="498"/>
      <c r="BO32" s="498"/>
      <c r="BP32" s="498"/>
      <c r="BQ32" s="498"/>
      <c r="BR32" s="498"/>
      <c r="BS32" s="498"/>
      <c r="BT32" s="498"/>
      <c r="BU32" s="498"/>
      <c r="BV32" s="498"/>
      <c r="BW32" s="498"/>
      <c r="BX32" s="498"/>
      <c r="BY32" s="498"/>
      <c r="BZ32" s="498"/>
      <c r="CA32" s="498"/>
      <c r="CB32" s="498"/>
      <c r="CC32" s="498"/>
      <c r="CD32" s="498"/>
      <c r="CE32" s="498"/>
      <c r="CF32" s="498"/>
      <c r="CG32" s="498"/>
      <c r="CH32" s="498"/>
      <c r="CI32" s="498"/>
      <c r="CJ32" s="498"/>
      <c r="CK32" s="498"/>
      <c r="CL32" s="498"/>
      <c r="CM32" s="498"/>
      <c r="CN32" s="498"/>
      <c r="CO32" s="498"/>
      <c r="CP32" s="498"/>
      <c r="CQ32" s="498"/>
      <c r="CR32" s="498"/>
      <c r="CS32" s="498"/>
      <c r="CT32" s="498"/>
      <c r="CU32" s="498"/>
      <c r="CV32" s="498"/>
      <c r="CW32" s="498"/>
      <c r="CX32" s="498"/>
      <c r="CY32" s="498"/>
      <c r="CZ32" s="498"/>
      <c r="DA32" s="498"/>
      <c r="DB32" s="498"/>
      <c r="DC32" s="498"/>
      <c r="DD32" s="498"/>
      <c r="DE32" s="498"/>
      <c r="DF32" s="498"/>
      <c r="DG32" s="498"/>
      <c r="DH32" s="498"/>
      <c r="DI32" s="498"/>
      <c r="DJ32" s="498"/>
      <c r="DK32" s="498"/>
      <c r="DL32" s="498"/>
      <c r="DM32" s="498"/>
      <c r="DN32" s="498"/>
      <c r="DO32" s="498"/>
      <c r="DP32" s="498"/>
      <c r="DQ32" s="498"/>
      <c r="DR32" s="498"/>
      <c r="DS32" s="498"/>
      <c r="DT32" s="498"/>
      <c r="DU32" s="498"/>
      <c r="DV32" s="498"/>
      <c r="DW32" s="498"/>
      <c r="DX32" s="498"/>
      <c r="DY32" s="498"/>
      <c r="DZ32" s="498"/>
      <c r="EA32" s="498"/>
      <c r="EB32" s="498"/>
      <c r="EC32" s="498"/>
      <c r="ED32" s="498"/>
      <c r="EE32" s="498"/>
      <c r="EF32" s="498"/>
      <c r="EG32" s="498"/>
      <c r="EH32" s="498"/>
      <c r="EI32" s="498"/>
      <c r="EJ32" s="498"/>
      <c r="EK32" s="498"/>
      <c r="EL32" s="498"/>
      <c r="EM32" s="498"/>
    </row>
    <row r="33" spans="1:143" s="499" customFormat="1" ht="15" customHeight="1" x14ac:dyDescent="0.35">
      <c r="A33" s="496"/>
      <c r="B33" s="43"/>
      <c r="C33" s="43"/>
      <c r="D33" s="43"/>
      <c r="E33" s="43"/>
      <c r="F33" s="43"/>
      <c r="G33" s="43"/>
      <c r="H33" s="43"/>
      <c r="I33" s="43"/>
      <c r="J33" s="43"/>
      <c r="K33" s="43"/>
      <c r="L33" s="43"/>
      <c r="M33" s="496"/>
      <c r="N33" s="496"/>
      <c r="O33" s="498"/>
      <c r="P33" s="498"/>
      <c r="Q33" s="498"/>
      <c r="R33" s="498"/>
      <c r="S33" s="498"/>
      <c r="T33" s="498"/>
      <c r="U33" s="498"/>
      <c r="V33" s="498"/>
      <c r="W33" s="498"/>
      <c r="X33" s="498"/>
      <c r="Y33" s="498"/>
      <c r="Z33" s="498"/>
      <c r="AA33" s="498"/>
      <c r="AB33" s="498"/>
      <c r="AC33" s="498"/>
      <c r="AD33" s="498"/>
      <c r="AE33" s="498"/>
      <c r="AF33" s="498"/>
      <c r="AG33" s="498"/>
      <c r="AH33" s="498"/>
      <c r="AI33" s="498"/>
      <c r="AJ33" s="498"/>
      <c r="AK33" s="498"/>
      <c r="AL33" s="498"/>
      <c r="AM33" s="498"/>
      <c r="AN33" s="498"/>
      <c r="AO33" s="498"/>
      <c r="AP33" s="498"/>
      <c r="AQ33" s="498"/>
      <c r="AR33" s="498"/>
      <c r="AS33" s="498"/>
      <c r="AT33" s="498"/>
      <c r="AU33" s="498"/>
      <c r="AV33" s="498"/>
      <c r="AW33" s="498"/>
      <c r="AX33" s="498"/>
      <c r="AY33" s="498"/>
      <c r="AZ33" s="498"/>
      <c r="BA33" s="498"/>
      <c r="BB33" s="498"/>
      <c r="BC33" s="498"/>
      <c r="BD33" s="498"/>
      <c r="BE33" s="498"/>
      <c r="BF33" s="498"/>
      <c r="BG33" s="498"/>
      <c r="BH33" s="498"/>
      <c r="BI33" s="498"/>
      <c r="BJ33" s="498"/>
      <c r="BK33" s="498"/>
      <c r="BL33" s="498"/>
      <c r="BM33" s="498"/>
      <c r="BN33" s="498"/>
      <c r="BO33" s="498"/>
      <c r="BP33" s="498"/>
      <c r="BQ33" s="498"/>
      <c r="BR33" s="498"/>
      <c r="BS33" s="498"/>
      <c r="BT33" s="498"/>
      <c r="BU33" s="498"/>
      <c r="BV33" s="498"/>
      <c r="BW33" s="498"/>
      <c r="BX33" s="498"/>
      <c r="BY33" s="498"/>
      <c r="BZ33" s="498"/>
      <c r="CA33" s="498"/>
      <c r="CB33" s="498"/>
      <c r="CC33" s="498"/>
      <c r="CD33" s="498"/>
      <c r="CE33" s="498"/>
      <c r="CF33" s="498"/>
      <c r="CG33" s="498"/>
      <c r="CH33" s="498"/>
      <c r="CI33" s="498"/>
      <c r="CJ33" s="498"/>
      <c r="CK33" s="498"/>
      <c r="CL33" s="498"/>
      <c r="CM33" s="498"/>
      <c r="CN33" s="498"/>
      <c r="CO33" s="498"/>
      <c r="CP33" s="498"/>
      <c r="CQ33" s="498"/>
      <c r="CR33" s="498"/>
      <c r="CS33" s="498"/>
      <c r="CT33" s="498"/>
      <c r="CU33" s="498"/>
      <c r="CV33" s="498"/>
      <c r="CW33" s="498"/>
      <c r="CX33" s="498"/>
      <c r="CY33" s="498"/>
      <c r="CZ33" s="498"/>
      <c r="DA33" s="498"/>
      <c r="DB33" s="498"/>
      <c r="DC33" s="498"/>
      <c r="DD33" s="498"/>
      <c r="DE33" s="498"/>
      <c r="DF33" s="498"/>
      <c r="DG33" s="498"/>
      <c r="DH33" s="498"/>
      <c r="DI33" s="498"/>
      <c r="DJ33" s="498"/>
      <c r="DK33" s="498"/>
      <c r="DL33" s="498"/>
      <c r="DM33" s="498"/>
      <c r="DN33" s="498"/>
      <c r="DO33" s="498"/>
      <c r="DP33" s="498"/>
      <c r="DQ33" s="498"/>
      <c r="DR33" s="498"/>
      <c r="DS33" s="498"/>
      <c r="DT33" s="498"/>
      <c r="DU33" s="498"/>
      <c r="DV33" s="498"/>
      <c r="DW33" s="498"/>
      <c r="DX33" s="498"/>
      <c r="DY33" s="498"/>
      <c r="DZ33" s="498"/>
      <c r="EA33" s="498"/>
      <c r="EB33" s="498"/>
      <c r="EC33" s="498"/>
      <c r="ED33" s="498"/>
      <c r="EE33" s="498"/>
      <c r="EF33" s="498"/>
      <c r="EG33" s="498"/>
      <c r="EH33" s="498"/>
      <c r="EI33" s="498"/>
      <c r="EJ33" s="498"/>
      <c r="EK33" s="498"/>
      <c r="EL33" s="498"/>
      <c r="EM33" s="498"/>
    </row>
    <row r="34" spans="1:143" s="499" customFormat="1" ht="15" customHeight="1" thickBot="1" x14ac:dyDescent="0.4">
      <c r="A34" s="496"/>
      <c r="B34" s="43"/>
      <c r="C34" s="43"/>
      <c r="D34" s="43"/>
      <c r="E34" s="43"/>
      <c r="F34" s="43"/>
      <c r="G34" s="43"/>
      <c r="H34" s="43"/>
      <c r="I34" s="43"/>
      <c r="J34" s="43"/>
      <c r="K34" s="43"/>
      <c r="L34" s="43"/>
      <c r="M34" s="496"/>
      <c r="N34" s="496"/>
      <c r="O34" s="498"/>
      <c r="P34" s="498"/>
      <c r="Q34" s="498"/>
      <c r="R34" s="498"/>
      <c r="S34" s="498"/>
      <c r="T34" s="498"/>
      <c r="U34" s="498"/>
      <c r="V34" s="498"/>
      <c r="W34" s="498"/>
      <c r="X34" s="498"/>
      <c r="Y34" s="498"/>
      <c r="Z34" s="498"/>
      <c r="AA34" s="498"/>
      <c r="AB34" s="498"/>
      <c r="AC34" s="498"/>
      <c r="AD34" s="498"/>
      <c r="AE34" s="498"/>
      <c r="AF34" s="498"/>
      <c r="AG34" s="498"/>
      <c r="AH34" s="498"/>
      <c r="AI34" s="498"/>
      <c r="AJ34" s="498"/>
      <c r="AK34" s="498"/>
      <c r="AL34" s="498"/>
      <c r="AM34" s="498"/>
      <c r="AN34" s="498"/>
      <c r="AO34" s="498"/>
      <c r="AP34" s="498"/>
      <c r="AQ34" s="498"/>
      <c r="AR34" s="498"/>
      <c r="AS34" s="498"/>
      <c r="AT34" s="498"/>
      <c r="AU34" s="498"/>
      <c r="AV34" s="498"/>
      <c r="AW34" s="498"/>
      <c r="AX34" s="498"/>
      <c r="AY34" s="498"/>
      <c r="AZ34" s="498"/>
      <c r="BA34" s="498"/>
      <c r="BB34" s="498"/>
      <c r="BC34" s="498"/>
      <c r="BD34" s="498"/>
      <c r="BE34" s="498"/>
      <c r="BF34" s="498"/>
      <c r="BG34" s="498"/>
      <c r="BH34" s="498"/>
      <c r="BI34" s="498"/>
      <c r="BJ34" s="498"/>
      <c r="BK34" s="498"/>
      <c r="BL34" s="498"/>
      <c r="BM34" s="498"/>
      <c r="BN34" s="498"/>
      <c r="BO34" s="498"/>
      <c r="BP34" s="498"/>
      <c r="BQ34" s="498"/>
      <c r="BR34" s="498"/>
      <c r="BS34" s="498"/>
      <c r="BT34" s="498"/>
      <c r="BU34" s="498"/>
      <c r="BV34" s="498"/>
      <c r="BW34" s="498"/>
      <c r="BX34" s="498"/>
      <c r="BY34" s="498"/>
      <c r="BZ34" s="498"/>
      <c r="CA34" s="498"/>
      <c r="CB34" s="498"/>
      <c r="CC34" s="498"/>
      <c r="CD34" s="498"/>
      <c r="CE34" s="498"/>
      <c r="CF34" s="498"/>
      <c r="CG34" s="498"/>
      <c r="CH34" s="498"/>
      <c r="CI34" s="498"/>
      <c r="CJ34" s="498"/>
      <c r="CK34" s="498"/>
      <c r="CL34" s="498"/>
      <c r="CM34" s="498"/>
      <c r="CN34" s="498"/>
      <c r="CO34" s="498"/>
      <c r="CP34" s="498"/>
      <c r="CQ34" s="498"/>
      <c r="CR34" s="498"/>
      <c r="CS34" s="498"/>
      <c r="CT34" s="498"/>
      <c r="CU34" s="498"/>
      <c r="CV34" s="498"/>
      <c r="CW34" s="498"/>
      <c r="CX34" s="498"/>
      <c r="CY34" s="498"/>
      <c r="CZ34" s="498"/>
      <c r="DA34" s="498"/>
      <c r="DB34" s="498"/>
      <c r="DC34" s="498"/>
      <c r="DD34" s="498"/>
      <c r="DE34" s="498"/>
      <c r="DF34" s="498"/>
      <c r="DG34" s="498"/>
      <c r="DH34" s="498"/>
      <c r="DI34" s="498"/>
      <c r="DJ34" s="498"/>
      <c r="DK34" s="498"/>
      <c r="DL34" s="498"/>
      <c r="DM34" s="498"/>
      <c r="DN34" s="498"/>
      <c r="DO34" s="498"/>
      <c r="DP34" s="498"/>
      <c r="DQ34" s="498"/>
      <c r="DR34" s="498"/>
      <c r="DS34" s="498"/>
      <c r="DT34" s="498"/>
      <c r="DU34" s="498"/>
      <c r="DV34" s="498"/>
      <c r="DW34" s="498"/>
      <c r="DX34" s="498"/>
      <c r="DY34" s="498"/>
      <c r="DZ34" s="498"/>
      <c r="EA34" s="498"/>
      <c r="EB34" s="498"/>
      <c r="EC34" s="498"/>
      <c r="ED34" s="498"/>
      <c r="EE34" s="498"/>
      <c r="EF34" s="498"/>
      <c r="EG34" s="498"/>
      <c r="EH34" s="498"/>
      <c r="EI34" s="498"/>
      <c r="EJ34" s="498"/>
      <c r="EK34" s="498"/>
      <c r="EL34" s="498"/>
      <c r="EM34" s="498"/>
    </row>
    <row r="35" spans="1:143" s="499" customFormat="1" x14ac:dyDescent="0.35">
      <c r="A35" s="496"/>
      <c r="B35" s="1720" t="s">
        <v>886</v>
      </c>
      <c r="C35" s="1721"/>
      <c r="D35" s="1721"/>
      <c r="E35" s="1722"/>
      <c r="F35" s="43"/>
      <c r="G35" s="1719" t="s">
        <v>887</v>
      </c>
      <c r="H35" s="1719"/>
      <c r="I35" s="1719"/>
      <c r="J35" s="1719"/>
      <c r="K35" s="1719"/>
      <c r="L35" s="478" t="s">
        <v>178</v>
      </c>
      <c r="M35" s="496"/>
      <c r="N35" s="496"/>
      <c r="O35" s="498"/>
      <c r="P35" s="498"/>
      <c r="Q35" s="498"/>
      <c r="R35" s="498"/>
      <c r="S35" s="498"/>
      <c r="T35" s="498"/>
      <c r="U35" s="498"/>
      <c r="V35" s="498"/>
      <c r="W35" s="498"/>
      <c r="X35" s="498"/>
      <c r="Y35" s="498"/>
      <c r="Z35" s="498"/>
      <c r="AA35" s="498"/>
      <c r="AB35" s="498"/>
      <c r="AC35" s="498"/>
      <c r="AD35" s="498"/>
      <c r="AE35" s="498"/>
      <c r="AF35" s="498"/>
      <c r="AG35" s="498"/>
      <c r="AH35" s="498"/>
      <c r="AI35" s="498"/>
      <c r="AJ35" s="498"/>
      <c r="AK35" s="498"/>
      <c r="AL35" s="498"/>
      <c r="AM35" s="498"/>
      <c r="AN35" s="498"/>
      <c r="AO35" s="498"/>
      <c r="AP35" s="498"/>
      <c r="AQ35" s="498"/>
      <c r="AR35" s="498"/>
      <c r="AS35" s="498"/>
      <c r="AT35" s="498"/>
      <c r="AU35" s="498"/>
      <c r="AV35" s="498"/>
      <c r="AW35" s="498"/>
      <c r="AX35" s="498"/>
      <c r="AY35" s="498"/>
      <c r="AZ35" s="498"/>
      <c r="BA35" s="498"/>
      <c r="BB35" s="498"/>
      <c r="BC35" s="498"/>
      <c r="BD35" s="498"/>
      <c r="BE35" s="498"/>
      <c r="BF35" s="498"/>
      <c r="BG35" s="498"/>
      <c r="BH35" s="498"/>
      <c r="BI35" s="498"/>
      <c r="BJ35" s="498"/>
      <c r="BK35" s="498"/>
      <c r="BL35" s="498"/>
      <c r="BM35" s="498"/>
      <c r="BN35" s="498"/>
      <c r="BO35" s="498"/>
      <c r="BP35" s="498"/>
      <c r="BQ35" s="498"/>
      <c r="BR35" s="498"/>
      <c r="BS35" s="498"/>
      <c r="BT35" s="498"/>
      <c r="BU35" s="498"/>
      <c r="BV35" s="498"/>
      <c r="BW35" s="498"/>
      <c r="BX35" s="498"/>
      <c r="BY35" s="498"/>
      <c r="BZ35" s="498"/>
      <c r="CA35" s="498"/>
      <c r="CB35" s="498"/>
      <c r="CC35" s="498"/>
      <c r="CD35" s="498"/>
      <c r="CE35" s="498"/>
      <c r="CF35" s="498"/>
      <c r="CG35" s="498"/>
      <c r="CH35" s="498"/>
      <c r="CI35" s="498"/>
      <c r="CJ35" s="498"/>
      <c r="CK35" s="498"/>
      <c r="CL35" s="498"/>
      <c r="CM35" s="498"/>
      <c r="CN35" s="498"/>
      <c r="CO35" s="498"/>
      <c r="CP35" s="498"/>
      <c r="CQ35" s="498"/>
      <c r="CR35" s="498"/>
      <c r="CS35" s="498"/>
      <c r="CT35" s="498"/>
      <c r="CU35" s="498"/>
      <c r="CV35" s="498"/>
      <c r="CW35" s="498"/>
      <c r="CX35" s="498"/>
      <c r="CY35" s="498"/>
      <c r="CZ35" s="498"/>
      <c r="DA35" s="498"/>
      <c r="DB35" s="498"/>
      <c r="DC35" s="498"/>
      <c r="DD35" s="498"/>
      <c r="DE35" s="498"/>
      <c r="DF35" s="498"/>
      <c r="DG35" s="498"/>
      <c r="DH35" s="498"/>
      <c r="DI35" s="498"/>
      <c r="DJ35" s="498"/>
      <c r="DK35" s="498"/>
      <c r="DL35" s="498"/>
      <c r="DM35" s="498"/>
      <c r="DN35" s="498"/>
      <c r="DO35" s="498"/>
      <c r="DP35" s="498"/>
      <c r="DQ35" s="498"/>
      <c r="DR35" s="498"/>
      <c r="DS35" s="498"/>
      <c r="DT35" s="498"/>
      <c r="DU35" s="498"/>
      <c r="DV35" s="498"/>
      <c r="DW35" s="498"/>
      <c r="DX35" s="498"/>
      <c r="DY35" s="498"/>
      <c r="DZ35" s="498"/>
      <c r="EA35" s="498"/>
      <c r="EB35" s="498"/>
      <c r="EC35" s="498"/>
      <c r="ED35" s="498"/>
      <c r="EE35" s="498"/>
      <c r="EF35" s="498"/>
      <c r="EG35" s="498"/>
      <c r="EH35" s="498"/>
      <c r="EI35" s="498"/>
      <c r="EJ35" s="498"/>
      <c r="EK35" s="498"/>
      <c r="EL35" s="498"/>
      <c r="EM35" s="498"/>
    </row>
    <row r="36" spans="1:143" s="499" customFormat="1" ht="5.25" customHeight="1" x14ac:dyDescent="0.35">
      <c r="A36" s="496"/>
      <c r="B36" s="1723"/>
      <c r="C36" s="812"/>
      <c r="D36" s="812"/>
      <c r="E36" s="1724"/>
      <c r="F36" s="43"/>
      <c r="G36" s="500"/>
      <c r="H36" s="501"/>
      <c r="I36" s="501"/>
      <c r="J36" s="501"/>
      <c r="K36" s="502"/>
      <c r="L36" s="497"/>
      <c r="M36" s="496"/>
      <c r="N36" s="496"/>
      <c r="O36" s="498"/>
      <c r="P36" s="498"/>
      <c r="Q36" s="498"/>
      <c r="R36" s="498"/>
      <c r="S36" s="498"/>
      <c r="T36" s="498"/>
      <c r="U36" s="498"/>
      <c r="V36" s="498"/>
      <c r="W36" s="498"/>
      <c r="X36" s="498"/>
      <c r="Y36" s="498"/>
      <c r="Z36" s="498"/>
      <c r="AA36" s="498"/>
      <c r="AB36" s="498"/>
      <c r="AC36" s="498"/>
      <c r="AD36" s="498"/>
      <c r="AE36" s="498"/>
      <c r="AF36" s="498"/>
      <c r="AG36" s="498"/>
      <c r="AH36" s="498"/>
      <c r="AI36" s="498"/>
      <c r="AJ36" s="498"/>
      <c r="AK36" s="498"/>
      <c r="AL36" s="498"/>
      <c r="AM36" s="498"/>
      <c r="AN36" s="498"/>
      <c r="AO36" s="498"/>
      <c r="AP36" s="498"/>
      <c r="AQ36" s="498"/>
      <c r="AR36" s="498"/>
      <c r="AS36" s="498"/>
      <c r="AT36" s="498"/>
      <c r="AU36" s="498"/>
      <c r="AV36" s="498"/>
      <c r="AW36" s="498"/>
      <c r="AX36" s="498"/>
      <c r="AY36" s="498"/>
      <c r="AZ36" s="498"/>
      <c r="BA36" s="498"/>
      <c r="BB36" s="498"/>
      <c r="BC36" s="498"/>
      <c r="BD36" s="498"/>
      <c r="BE36" s="498"/>
      <c r="BF36" s="498"/>
      <c r="BG36" s="498"/>
      <c r="BH36" s="498"/>
      <c r="BI36" s="498"/>
      <c r="BJ36" s="498"/>
      <c r="BK36" s="498"/>
      <c r="BL36" s="498"/>
      <c r="BM36" s="498"/>
      <c r="BN36" s="498"/>
      <c r="BO36" s="498"/>
      <c r="BP36" s="498"/>
      <c r="BQ36" s="498"/>
      <c r="BR36" s="498"/>
      <c r="BS36" s="498"/>
      <c r="BT36" s="498"/>
      <c r="BU36" s="498"/>
      <c r="BV36" s="498"/>
      <c r="BW36" s="498"/>
      <c r="BX36" s="498"/>
      <c r="BY36" s="498"/>
      <c r="BZ36" s="498"/>
      <c r="CA36" s="498"/>
      <c r="CB36" s="498"/>
      <c r="CC36" s="498"/>
      <c r="CD36" s="498"/>
      <c r="CE36" s="498"/>
      <c r="CF36" s="498"/>
      <c r="CG36" s="498"/>
      <c r="CH36" s="498"/>
      <c r="CI36" s="498"/>
      <c r="CJ36" s="498"/>
      <c r="CK36" s="498"/>
      <c r="CL36" s="498"/>
      <c r="CM36" s="498"/>
      <c r="CN36" s="498"/>
      <c r="CO36" s="498"/>
      <c r="CP36" s="498"/>
      <c r="CQ36" s="498"/>
      <c r="CR36" s="498"/>
      <c r="CS36" s="498"/>
      <c r="CT36" s="498"/>
      <c r="CU36" s="498"/>
      <c r="CV36" s="498"/>
      <c r="CW36" s="498"/>
      <c r="CX36" s="498"/>
      <c r="CY36" s="498"/>
      <c r="CZ36" s="498"/>
      <c r="DA36" s="498"/>
      <c r="DB36" s="498"/>
      <c r="DC36" s="498"/>
      <c r="DD36" s="498"/>
      <c r="DE36" s="498"/>
      <c r="DF36" s="498"/>
      <c r="DG36" s="498"/>
      <c r="DH36" s="498"/>
      <c r="DI36" s="498"/>
      <c r="DJ36" s="498"/>
      <c r="DK36" s="498"/>
      <c r="DL36" s="498"/>
      <c r="DM36" s="498"/>
      <c r="DN36" s="498"/>
      <c r="DO36" s="498"/>
      <c r="DP36" s="498"/>
      <c r="DQ36" s="498"/>
      <c r="DR36" s="498"/>
      <c r="DS36" s="498"/>
      <c r="DT36" s="498"/>
      <c r="DU36" s="498"/>
      <c r="DV36" s="498"/>
      <c r="DW36" s="498"/>
      <c r="DX36" s="498"/>
      <c r="DY36" s="498"/>
      <c r="DZ36" s="498"/>
      <c r="EA36" s="498"/>
      <c r="EB36" s="498"/>
      <c r="EC36" s="498"/>
      <c r="ED36" s="498"/>
      <c r="EE36" s="498"/>
      <c r="EF36" s="498"/>
      <c r="EG36" s="498"/>
      <c r="EH36" s="498"/>
      <c r="EI36" s="498"/>
      <c r="EJ36" s="498"/>
      <c r="EK36" s="498"/>
      <c r="EL36" s="498"/>
      <c r="EM36" s="498"/>
    </row>
    <row r="37" spans="1:143" s="499" customFormat="1" x14ac:dyDescent="0.35">
      <c r="A37" s="496"/>
      <c r="B37" s="1723"/>
      <c r="C37" s="812"/>
      <c r="D37" s="812"/>
      <c r="E37" s="1724"/>
      <c r="F37" s="43"/>
      <c r="G37" s="1719" t="s">
        <v>888</v>
      </c>
      <c r="H37" s="1719"/>
      <c r="I37" s="1719"/>
      <c r="J37" s="1719"/>
      <c r="K37" s="1719"/>
      <c r="L37" s="497"/>
      <c r="M37" s="496"/>
      <c r="N37" s="496"/>
      <c r="O37" s="498"/>
      <c r="P37" s="498"/>
      <c r="Q37" s="498"/>
      <c r="R37" s="498"/>
      <c r="S37" s="498"/>
      <c r="T37" s="498"/>
      <c r="U37" s="498"/>
      <c r="V37" s="498"/>
      <c r="W37" s="498"/>
      <c r="X37" s="498"/>
      <c r="Y37" s="498"/>
      <c r="Z37" s="498"/>
      <c r="AA37" s="498"/>
      <c r="AB37" s="498"/>
      <c r="AC37" s="498"/>
      <c r="AD37" s="498"/>
      <c r="AE37" s="498"/>
      <c r="AF37" s="498"/>
      <c r="AG37" s="498"/>
      <c r="AH37" s="498"/>
      <c r="AI37" s="498"/>
      <c r="AJ37" s="498"/>
      <c r="AK37" s="498"/>
      <c r="AL37" s="498"/>
      <c r="AM37" s="498"/>
      <c r="AN37" s="498"/>
      <c r="AO37" s="498"/>
      <c r="AP37" s="498"/>
      <c r="AQ37" s="498"/>
      <c r="AR37" s="498"/>
      <c r="AS37" s="498"/>
      <c r="AT37" s="498"/>
      <c r="AU37" s="498"/>
      <c r="AV37" s="498"/>
      <c r="AW37" s="498"/>
      <c r="AX37" s="498"/>
      <c r="AY37" s="498"/>
      <c r="AZ37" s="498"/>
      <c r="BA37" s="498"/>
      <c r="BB37" s="498"/>
      <c r="BC37" s="498"/>
      <c r="BD37" s="498"/>
      <c r="BE37" s="498"/>
      <c r="BF37" s="498"/>
      <c r="BG37" s="498"/>
      <c r="BH37" s="498"/>
      <c r="BI37" s="498"/>
      <c r="BJ37" s="498"/>
      <c r="BK37" s="498"/>
      <c r="BL37" s="498"/>
      <c r="BM37" s="498"/>
      <c r="BN37" s="498"/>
      <c r="BO37" s="498"/>
      <c r="BP37" s="498"/>
      <c r="BQ37" s="498"/>
      <c r="BR37" s="498"/>
      <c r="BS37" s="498"/>
      <c r="BT37" s="498"/>
      <c r="BU37" s="498"/>
      <c r="BV37" s="498"/>
      <c r="BW37" s="498"/>
      <c r="BX37" s="498"/>
      <c r="BY37" s="498"/>
      <c r="BZ37" s="498"/>
      <c r="CA37" s="498"/>
      <c r="CB37" s="498"/>
      <c r="CC37" s="498"/>
      <c r="CD37" s="498"/>
      <c r="CE37" s="498"/>
      <c r="CF37" s="498"/>
      <c r="CG37" s="498"/>
      <c r="CH37" s="498"/>
      <c r="CI37" s="498"/>
      <c r="CJ37" s="498"/>
      <c r="CK37" s="498"/>
      <c r="CL37" s="498"/>
      <c r="CM37" s="498"/>
      <c r="CN37" s="498"/>
      <c r="CO37" s="498"/>
      <c r="CP37" s="498"/>
      <c r="CQ37" s="498"/>
      <c r="CR37" s="498"/>
      <c r="CS37" s="498"/>
      <c r="CT37" s="498"/>
      <c r="CU37" s="498"/>
      <c r="CV37" s="498"/>
      <c r="CW37" s="498"/>
      <c r="CX37" s="498"/>
      <c r="CY37" s="498"/>
      <c r="CZ37" s="498"/>
      <c r="DA37" s="498"/>
      <c r="DB37" s="498"/>
      <c r="DC37" s="498"/>
      <c r="DD37" s="498"/>
      <c r="DE37" s="498"/>
      <c r="DF37" s="498"/>
      <c r="DG37" s="498"/>
      <c r="DH37" s="498"/>
      <c r="DI37" s="498"/>
      <c r="DJ37" s="498"/>
      <c r="DK37" s="498"/>
      <c r="DL37" s="498"/>
      <c r="DM37" s="498"/>
      <c r="DN37" s="498"/>
      <c r="DO37" s="498"/>
      <c r="DP37" s="498"/>
      <c r="DQ37" s="498"/>
      <c r="DR37" s="498"/>
      <c r="DS37" s="498"/>
      <c r="DT37" s="498"/>
      <c r="DU37" s="498"/>
      <c r="DV37" s="498"/>
      <c r="DW37" s="498"/>
      <c r="DX37" s="498"/>
      <c r="DY37" s="498"/>
      <c r="DZ37" s="498"/>
      <c r="EA37" s="498"/>
      <c r="EB37" s="498"/>
      <c r="EC37" s="498"/>
      <c r="ED37" s="498"/>
      <c r="EE37" s="498"/>
      <c r="EF37" s="498"/>
      <c r="EG37" s="498"/>
      <c r="EH37" s="498"/>
      <c r="EI37" s="498"/>
      <c r="EJ37" s="498"/>
      <c r="EK37" s="498"/>
      <c r="EL37" s="498"/>
      <c r="EM37" s="498"/>
    </row>
    <row r="38" spans="1:143" s="499" customFormat="1" ht="4.5" customHeight="1" x14ac:dyDescent="0.35">
      <c r="A38" s="496"/>
      <c r="B38" s="1725"/>
      <c r="C38" s="812"/>
      <c r="D38" s="812"/>
      <c r="E38" s="1724"/>
      <c r="F38" s="43"/>
      <c r="G38" s="500"/>
      <c r="H38" s="501"/>
      <c r="I38" s="501"/>
      <c r="J38" s="501"/>
      <c r="K38" s="502"/>
      <c r="L38" s="497"/>
      <c r="M38" s="496"/>
      <c r="N38" s="496"/>
      <c r="O38" s="498"/>
      <c r="P38" s="498"/>
      <c r="Q38" s="498"/>
      <c r="R38" s="498"/>
      <c r="S38" s="498"/>
      <c r="T38" s="498"/>
      <c r="U38" s="498"/>
      <c r="V38" s="498"/>
      <c r="W38" s="498"/>
      <c r="X38" s="498"/>
      <c r="Y38" s="498"/>
      <c r="Z38" s="498"/>
      <c r="AA38" s="498"/>
      <c r="AB38" s="498"/>
      <c r="AC38" s="498"/>
      <c r="AD38" s="498"/>
      <c r="AE38" s="498"/>
      <c r="AF38" s="498"/>
      <c r="AG38" s="498"/>
      <c r="AH38" s="498"/>
      <c r="AI38" s="498"/>
      <c r="AJ38" s="498"/>
      <c r="AK38" s="498"/>
      <c r="AL38" s="498"/>
      <c r="AM38" s="498"/>
      <c r="AN38" s="498"/>
      <c r="AO38" s="498"/>
      <c r="AP38" s="498"/>
      <c r="AQ38" s="498"/>
      <c r="AR38" s="498"/>
      <c r="AS38" s="498"/>
      <c r="AT38" s="498"/>
      <c r="AU38" s="498"/>
      <c r="AV38" s="498"/>
      <c r="AW38" s="498"/>
      <c r="AX38" s="498"/>
      <c r="AY38" s="498"/>
      <c r="AZ38" s="498"/>
      <c r="BA38" s="498"/>
      <c r="BB38" s="498"/>
      <c r="BC38" s="498"/>
      <c r="BD38" s="498"/>
      <c r="BE38" s="498"/>
      <c r="BF38" s="498"/>
      <c r="BG38" s="498"/>
      <c r="BH38" s="498"/>
      <c r="BI38" s="498"/>
      <c r="BJ38" s="498"/>
      <c r="BK38" s="498"/>
      <c r="BL38" s="498"/>
      <c r="BM38" s="498"/>
      <c r="BN38" s="498"/>
      <c r="BO38" s="498"/>
      <c r="BP38" s="498"/>
      <c r="BQ38" s="498"/>
      <c r="BR38" s="498"/>
      <c r="BS38" s="498"/>
      <c r="BT38" s="498"/>
      <c r="BU38" s="498"/>
      <c r="BV38" s="498"/>
      <c r="BW38" s="498"/>
      <c r="BX38" s="498"/>
      <c r="BY38" s="498"/>
      <c r="BZ38" s="498"/>
      <c r="CA38" s="498"/>
      <c r="CB38" s="498"/>
      <c r="CC38" s="498"/>
      <c r="CD38" s="498"/>
      <c r="CE38" s="498"/>
      <c r="CF38" s="498"/>
      <c r="CG38" s="498"/>
      <c r="CH38" s="498"/>
      <c r="CI38" s="498"/>
      <c r="CJ38" s="498"/>
      <c r="CK38" s="498"/>
      <c r="CL38" s="498"/>
      <c r="CM38" s="498"/>
      <c r="CN38" s="498"/>
      <c r="CO38" s="498"/>
      <c r="CP38" s="498"/>
      <c r="CQ38" s="498"/>
      <c r="CR38" s="498"/>
      <c r="CS38" s="498"/>
      <c r="CT38" s="498"/>
      <c r="CU38" s="498"/>
      <c r="CV38" s="498"/>
      <c r="CW38" s="498"/>
      <c r="CX38" s="498"/>
      <c r="CY38" s="498"/>
      <c r="CZ38" s="498"/>
      <c r="DA38" s="498"/>
      <c r="DB38" s="498"/>
      <c r="DC38" s="498"/>
      <c r="DD38" s="498"/>
      <c r="DE38" s="498"/>
      <c r="DF38" s="498"/>
      <c r="DG38" s="498"/>
      <c r="DH38" s="498"/>
      <c r="DI38" s="498"/>
      <c r="DJ38" s="498"/>
      <c r="DK38" s="498"/>
      <c r="DL38" s="498"/>
      <c r="DM38" s="498"/>
      <c r="DN38" s="498"/>
      <c r="DO38" s="498"/>
      <c r="DP38" s="498"/>
      <c r="DQ38" s="498"/>
      <c r="DR38" s="498"/>
      <c r="DS38" s="498"/>
      <c r="DT38" s="498"/>
      <c r="DU38" s="498"/>
      <c r="DV38" s="498"/>
      <c r="DW38" s="498"/>
      <c r="DX38" s="498"/>
      <c r="DY38" s="498"/>
      <c r="DZ38" s="498"/>
      <c r="EA38" s="498"/>
      <c r="EB38" s="498"/>
      <c r="EC38" s="498"/>
      <c r="ED38" s="498"/>
      <c r="EE38" s="498"/>
      <c r="EF38" s="498"/>
      <c r="EG38" s="498"/>
      <c r="EH38" s="498"/>
      <c r="EI38" s="498"/>
      <c r="EJ38" s="498"/>
      <c r="EK38" s="498"/>
      <c r="EL38" s="498"/>
      <c r="EM38" s="498"/>
    </row>
    <row r="39" spans="1:143" s="499" customFormat="1" ht="16" thickBot="1" x14ac:dyDescent="0.4">
      <c r="A39" s="496"/>
      <c r="B39" s="1726"/>
      <c r="C39" s="1727"/>
      <c r="D39" s="1727"/>
      <c r="E39" s="1728"/>
      <c r="F39" s="43"/>
      <c r="G39" s="1719" t="s">
        <v>889</v>
      </c>
      <c r="H39" s="1719"/>
      <c r="I39" s="1719"/>
      <c r="J39" s="1719"/>
      <c r="K39" s="1719"/>
      <c r="L39" s="497"/>
      <c r="M39" s="496"/>
      <c r="N39" s="496"/>
      <c r="O39" s="498"/>
      <c r="P39" s="498"/>
      <c r="Q39" s="498"/>
      <c r="R39" s="498"/>
      <c r="S39" s="498"/>
      <c r="T39" s="498"/>
      <c r="U39" s="498"/>
      <c r="V39" s="498"/>
      <c r="W39" s="498"/>
      <c r="X39" s="498"/>
      <c r="Y39" s="498"/>
      <c r="Z39" s="498"/>
      <c r="AA39" s="498"/>
      <c r="AB39" s="498"/>
      <c r="AC39" s="498"/>
      <c r="AD39" s="498"/>
      <c r="AE39" s="498"/>
      <c r="AF39" s="498"/>
      <c r="AG39" s="498"/>
      <c r="AH39" s="498"/>
      <c r="AI39" s="498"/>
      <c r="AJ39" s="498"/>
      <c r="AK39" s="498"/>
      <c r="AL39" s="498"/>
      <c r="AM39" s="498"/>
      <c r="AN39" s="498"/>
      <c r="AO39" s="498"/>
      <c r="AP39" s="498"/>
      <c r="AQ39" s="498"/>
      <c r="AR39" s="498"/>
      <c r="AS39" s="498"/>
      <c r="AT39" s="498"/>
      <c r="AU39" s="498"/>
      <c r="AV39" s="498"/>
      <c r="AW39" s="498"/>
      <c r="AX39" s="498"/>
      <c r="AY39" s="498"/>
      <c r="AZ39" s="498"/>
      <c r="BA39" s="498"/>
      <c r="BB39" s="498"/>
      <c r="BC39" s="498"/>
      <c r="BD39" s="498"/>
      <c r="BE39" s="498"/>
      <c r="BF39" s="498"/>
      <c r="BG39" s="498"/>
      <c r="BH39" s="498"/>
      <c r="BI39" s="498"/>
      <c r="BJ39" s="498"/>
      <c r="BK39" s="498"/>
      <c r="BL39" s="498"/>
      <c r="BM39" s="498"/>
      <c r="BN39" s="498"/>
      <c r="BO39" s="498"/>
      <c r="BP39" s="498"/>
      <c r="BQ39" s="498"/>
      <c r="BR39" s="498"/>
      <c r="BS39" s="498"/>
      <c r="BT39" s="498"/>
      <c r="BU39" s="498"/>
      <c r="BV39" s="498"/>
      <c r="BW39" s="498"/>
      <c r="BX39" s="498"/>
      <c r="BY39" s="498"/>
      <c r="BZ39" s="498"/>
      <c r="CA39" s="498"/>
      <c r="CB39" s="498"/>
      <c r="CC39" s="498"/>
      <c r="CD39" s="498"/>
      <c r="CE39" s="498"/>
      <c r="CF39" s="498"/>
      <c r="CG39" s="498"/>
      <c r="CH39" s="498"/>
      <c r="CI39" s="498"/>
      <c r="CJ39" s="498"/>
      <c r="CK39" s="498"/>
      <c r="CL39" s="498"/>
      <c r="CM39" s="498"/>
      <c r="CN39" s="498"/>
      <c r="CO39" s="498"/>
      <c r="CP39" s="498"/>
      <c r="CQ39" s="498"/>
      <c r="CR39" s="498"/>
      <c r="CS39" s="498"/>
      <c r="CT39" s="498"/>
      <c r="CU39" s="498"/>
      <c r="CV39" s="498"/>
      <c r="CW39" s="498"/>
      <c r="CX39" s="498"/>
      <c r="CY39" s="498"/>
      <c r="CZ39" s="498"/>
      <c r="DA39" s="498"/>
      <c r="DB39" s="498"/>
      <c r="DC39" s="498"/>
      <c r="DD39" s="498"/>
      <c r="DE39" s="498"/>
      <c r="DF39" s="498"/>
      <c r="DG39" s="498"/>
      <c r="DH39" s="498"/>
      <c r="DI39" s="498"/>
      <c r="DJ39" s="498"/>
      <c r="DK39" s="498"/>
      <c r="DL39" s="498"/>
      <c r="DM39" s="498"/>
      <c r="DN39" s="498"/>
      <c r="DO39" s="498"/>
      <c r="DP39" s="498"/>
      <c r="DQ39" s="498"/>
      <c r="DR39" s="498"/>
      <c r="DS39" s="498"/>
      <c r="DT39" s="498"/>
      <c r="DU39" s="498"/>
      <c r="DV39" s="498"/>
      <c r="DW39" s="498"/>
      <c r="DX39" s="498"/>
      <c r="DY39" s="498"/>
      <c r="DZ39" s="498"/>
      <c r="EA39" s="498"/>
      <c r="EB39" s="498"/>
      <c r="EC39" s="498"/>
      <c r="ED39" s="498"/>
      <c r="EE39" s="498"/>
      <c r="EF39" s="498"/>
      <c r="EG39" s="498"/>
      <c r="EH39" s="498"/>
      <c r="EI39" s="498"/>
      <c r="EJ39" s="498"/>
      <c r="EK39" s="498"/>
      <c r="EL39" s="498"/>
      <c r="EM39" s="498"/>
    </row>
    <row r="40" spans="1:143" s="499" customFormat="1" ht="15" customHeight="1" x14ac:dyDescent="0.35">
      <c r="A40" s="496"/>
      <c r="B40" s="43"/>
      <c r="C40" s="43"/>
      <c r="D40" s="43"/>
      <c r="E40" s="43"/>
      <c r="F40" s="43"/>
      <c r="G40" s="43"/>
      <c r="H40" s="43"/>
      <c r="I40" s="43"/>
      <c r="J40" s="43"/>
      <c r="K40" s="43"/>
      <c r="L40" s="43"/>
      <c r="M40" s="496"/>
      <c r="N40" s="496"/>
      <c r="O40" s="498"/>
      <c r="P40" s="498"/>
      <c r="Q40" s="498"/>
      <c r="R40" s="498"/>
      <c r="S40" s="498"/>
      <c r="T40" s="498"/>
      <c r="U40" s="498"/>
      <c r="V40" s="498"/>
      <c r="W40" s="498"/>
      <c r="X40" s="498"/>
      <c r="Y40" s="498"/>
      <c r="Z40" s="498"/>
      <c r="AA40" s="498"/>
      <c r="AB40" s="498"/>
      <c r="AC40" s="498"/>
      <c r="AD40" s="498"/>
      <c r="AE40" s="498"/>
      <c r="AF40" s="498"/>
      <c r="AG40" s="498"/>
      <c r="AH40" s="498"/>
      <c r="AI40" s="498"/>
      <c r="AJ40" s="498"/>
      <c r="AK40" s="498"/>
      <c r="AL40" s="498"/>
      <c r="AM40" s="498"/>
      <c r="AN40" s="498"/>
      <c r="AO40" s="498"/>
      <c r="AP40" s="498"/>
      <c r="AQ40" s="498"/>
      <c r="AR40" s="498"/>
      <c r="AS40" s="498"/>
      <c r="AT40" s="498"/>
      <c r="AU40" s="498"/>
      <c r="AV40" s="498"/>
      <c r="AW40" s="498"/>
      <c r="AX40" s="498"/>
      <c r="AY40" s="498"/>
      <c r="AZ40" s="498"/>
      <c r="BA40" s="498"/>
      <c r="BB40" s="498"/>
      <c r="BC40" s="498"/>
      <c r="BD40" s="498"/>
      <c r="BE40" s="498"/>
      <c r="BF40" s="498"/>
      <c r="BG40" s="498"/>
      <c r="BH40" s="498"/>
      <c r="BI40" s="498"/>
      <c r="BJ40" s="498"/>
      <c r="BK40" s="498"/>
      <c r="BL40" s="498"/>
      <c r="BM40" s="498"/>
      <c r="BN40" s="498"/>
      <c r="BO40" s="498"/>
      <c r="BP40" s="498"/>
      <c r="BQ40" s="498"/>
      <c r="BR40" s="498"/>
      <c r="BS40" s="498"/>
      <c r="BT40" s="498"/>
      <c r="BU40" s="498"/>
      <c r="BV40" s="498"/>
      <c r="BW40" s="498"/>
      <c r="BX40" s="498"/>
      <c r="BY40" s="498"/>
      <c r="BZ40" s="498"/>
      <c r="CA40" s="498"/>
      <c r="CB40" s="498"/>
      <c r="CC40" s="498"/>
      <c r="CD40" s="498"/>
      <c r="CE40" s="498"/>
      <c r="CF40" s="498"/>
      <c r="CG40" s="498"/>
      <c r="CH40" s="498"/>
      <c r="CI40" s="498"/>
      <c r="CJ40" s="498"/>
      <c r="CK40" s="498"/>
      <c r="CL40" s="498"/>
      <c r="CM40" s="498"/>
      <c r="CN40" s="498"/>
      <c r="CO40" s="498"/>
      <c r="CP40" s="498"/>
      <c r="CQ40" s="498"/>
      <c r="CR40" s="498"/>
      <c r="CS40" s="498"/>
      <c r="CT40" s="498"/>
      <c r="CU40" s="498"/>
      <c r="CV40" s="498"/>
      <c r="CW40" s="498"/>
      <c r="CX40" s="498"/>
      <c r="CY40" s="498"/>
      <c r="CZ40" s="498"/>
      <c r="DA40" s="498"/>
      <c r="DB40" s="498"/>
      <c r="DC40" s="498"/>
      <c r="DD40" s="498"/>
      <c r="DE40" s="498"/>
      <c r="DF40" s="498"/>
      <c r="DG40" s="498"/>
      <c r="DH40" s="498"/>
      <c r="DI40" s="498"/>
      <c r="DJ40" s="498"/>
      <c r="DK40" s="498"/>
      <c r="DL40" s="498"/>
      <c r="DM40" s="498"/>
      <c r="DN40" s="498"/>
      <c r="DO40" s="498"/>
      <c r="DP40" s="498"/>
      <c r="DQ40" s="498"/>
      <c r="DR40" s="498"/>
      <c r="DS40" s="498"/>
      <c r="DT40" s="498"/>
      <c r="DU40" s="498"/>
      <c r="DV40" s="498"/>
      <c r="DW40" s="498"/>
      <c r="DX40" s="498"/>
      <c r="DY40" s="498"/>
      <c r="DZ40" s="498"/>
      <c r="EA40" s="498"/>
      <c r="EB40" s="498"/>
      <c r="EC40" s="498"/>
      <c r="ED40" s="498"/>
      <c r="EE40" s="498"/>
      <c r="EF40" s="498"/>
      <c r="EG40" s="498"/>
      <c r="EH40" s="498"/>
      <c r="EI40" s="498"/>
      <c r="EJ40" s="498"/>
      <c r="EK40" s="498"/>
      <c r="EL40" s="498"/>
      <c r="EM40" s="498"/>
    </row>
    <row r="41" spans="1:143" s="499" customFormat="1" ht="15" customHeight="1" thickBot="1" x14ac:dyDescent="0.4">
      <c r="A41" s="496"/>
      <c r="B41" s="43"/>
      <c r="C41" s="43"/>
      <c r="D41" s="43"/>
      <c r="E41" s="43"/>
      <c r="F41" s="43"/>
      <c r="G41" s="43"/>
      <c r="H41" s="43"/>
      <c r="I41" s="43"/>
      <c r="J41" s="43"/>
      <c r="K41" s="43"/>
      <c r="L41" s="43"/>
      <c r="M41" s="496"/>
      <c r="N41" s="496"/>
      <c r="O41" s="498"/>
      <c r="P41" s="498"/>
      <c r="Q41" s="498"/>
      <c r="R41" s="498"/>
      <c r="S41" s="498"/>
      <c r="T41" s="498"/>
      <c r="U41" s="498"/>
      <c r="V41" s="498"/>
      <c r="W41" s="498"/>
      <c r="X41" s="498"/>
      <c r="Y41" s="498"/>
      <c r="Z41" s="498"/>
      <c r="AA41" s="498"/>
      <c r="AB41" s="498"/>
      <c r="AC41" s="498"/>
      <c r="AD41" s="498"/>
      <c r="AE41" s="498"/>
      <c r="AF41" s="498"/>
      <c r="AG41" s="498"/>
      <c r="AH41" s="498"/>
      <c r="AI41" s="498"/>
      <c r="AJ41" s="498"/>
      <c r="AK41" s="498"/>
      <c r="AL41" s="498"/>
      <c r="AM41" s="498"/>
      <c r="AN41" s="498"/>
      <c r="AO41" s="498"/>
      <c r="AP41" s="498"/>
      <c r="AQ41" s="498"/>
      <c r="AR41" s="498"/>
      <c r="AS41" s="498"/>
      <c r="AT41" s="498"/>
      <c r="AU41" s="498"/>
      <c r="AV41" s="498"/>
      <c r="AW41" s="498"/>
      <c r="AX41" s="498"/>
      <c r="AY41" s="498"/>
      <c r="AZ41" s="498"/>
      <c r="BA41" s="498"/>
      <c r="BB41" s="498"/>
      <c r="BC41" s="498"/>
      <c r="BD41" s="498"/>
      <c r="BE41" s="498"/>
      <c r="BF41" s="498"/>
      <c r="BG41" s="498"/>
      <c r="BH41" s="498"/>
      <c r="BI41" s="498"/>
      <c r="BJ41" s="498"/>
      <c r="BK41" s="498"/>
      <c r="BL41" s="498"/>
      <c r="BM41" s="498"/>
      <c r="BN41" s="498"/>
      <c r="BO41" s="498"/>
      <c r="BP41" s="498"/>
      <c r="BQ41" s="498"/>
      <c r="BR41" s="498"/>
      <c r="BS41" s="498"/>
      <c r="BT41" s="498"/>
      <c r="BU41" s="498"/>
      <c r="BV41" s="498"/>
      <c r="BW41" s="498"/>
      <c r="BX41" s="498"/>
      <c r="BY41" s="498"/>
      <c r="BZ41" s="498"/>
      <c r="CA41" s="498"/>
      <c r="CB41" s="498"/>
      <c r="CC41" s="498"/>
      <c r="CD41" s="498"/>
      <c r="CE41" s="498"/>
      <c r="CF41" s="498"/>
      <c r="CG41" s="498"/>
      <c r="CH41" s="498"/>
      <c r="CI41" s="498"/>
      <c r="CJ41" s="498"/>
      <c r="CK41" s="498"/>
      <c r="CL41" s="498"/>
      <c r="CM41" s="498"/>
      <c r="CN41" s="498"/>
      <c r="CO41" s="498"/>
      <c r="CP41" s="498"/>
      <c r="CQ41" s="498"/>
      <c r="CR41" s="498"/>
      <c r="CS41" s="498"/>
      <c r="CT41" s="498"/>
      <c r="CU41" s="498"/>
      <c r="CV41" s="498"/>
      <c r="CW41" s="498"/>
      <c r="CX41" s="498"/>
      <c r="CY41" s="498"/>
      <c r="CZ41" s="498"/>
      <c r="DA41" s="498"/>
      <c r="DB41" s="498"/>
      <c r="DC41" s="498"/>
      <c r="DD41" s="498"/>
      <c r="DE41" s="498"/>
      <c r="DF41" s="498"/>
      <c r="DG41" s="498"/>
      <c r="DH41" s="498"/>
      <c r="DI41" s="498"/>
      <c r="DJ41" s="498"/>
      <c r="DK41" s="498"/>
      <c r="DL41" s="498"/>
      <c r="DM41" s="498"/>
      <c r="DN41" s="498"/>
      <c r="DO41" s="498"/>
      <c r="DP41" s="498"/>
      <c r="DQ41" s="498"/>
      <c r="DR41" s="498"/>
      <c r="DS41" s="498"/>
      <c r="DT41" s="498"/>
      <c r="DU41" s="498"/>
      <c r="DV41" s="498"/>
      <c r="DW41" s="498"/>
      <c r="DX41" s="498"/>
      <c r="DY41" s="498"/>
      <c r="DZ41" s="498"/>
      <c r="EA41" s="498"/>
      <c r="EB41" s="498"/>
      <c r="EC41" s="498"/>
      <c r="ED41" s="498"/>
      <c r="EE41" s="498"/>
      <c r="EF41" s="498"/>
      <c r="EG41" s="498"/>
      <c r="EH41" s="498"/>
      <c r="EI41" s="498"/>
      <c r="EJ41" s="498"/>
      <c r="EK41" s="498"/>
      <c r="EL41" s="498"/>
      <c r="EM41" s="498"/>
    </row>
    <row r="42" spans="1:143" s="499" customFormat="1" ht="18" customHeight="1" x14ac:dyDescent="0.35">
      <c r="A42" s="496"/>
      <c r="B42" s="1720" t="s">
        <v>890</v>
      </c>
      <c r="C42" s="1721"/>
      <c r="D42" s="1721"/>
      <c r="E42" s="1722"/>
      <c r="F42" s="43"/>
      <c r="G42" s="1719" t="s">
        <v>891</v>
      </c>
      <c r="H42" s="1719"/>
      <c r="I42" s="1719"/>
      <c r="J42" s="1719"/>
      <c r="K42" s="1719"/>
      <c r="L42" s="478">
        <v>10</v>
      </c>
      <c r="M42" s="496"/>
      <c r="N42" s="496"/>
      <c r="O42" s="498"/>
      <c r="P42" s="498"/>
      <c r="Q42" s="498"/>
      <c r="R42" s="498"/>
      <c r="S42" s="498"/>
      <c r="T42" s="498"/>
      <c r="U42" s="498"/>
      <c r="V42" s="498"/>
      <c r="W42" s="498"/>
      <c r="X42" s="498"/>
      <c r="Y42" s="498"/>
      <c r="Z42" s="498"/>
      <c r="AA42" s="498"/>
      <c r="AB42" s="498"/>
      <c r="AC42" s="498"/>
      <c r="AD42" s="498"/>
      <c r="AE42" s="498"/>
      <c r="AF42" s="498"/>
      <c r="AG42" s="498"/>
      <c r="AH42" s="498"/>
      <c r="AI42" s="498"/>
      <c r="AJ42" s="498"/>
      <c r="AK42" s="498"/>
      <c r="AL42" s="498"/>
      <c r="AM42" s="498"/>
      <c r="AN42" s="498"/>
      <c r="AO42" s="498"/>
      <c r="AP42" s="498"/>
      <c r="AQ42" s="498"/>
      <c r="AR42" s="498"/>
      <c r="AS42" s="498"/>
      <c r="AT42" s="498"/>
      <c r="AU42" s="498"/>
      <c r="AV42" s="498"/>
      <c r="AW42" s="498"/>
      <c r="AX42" s="498"/>
      <c r="AY42" s="498"/>
      <c r="AZ42" s="498"/>
      <c r="BA42" s="498"/>
      <c r="BB42" s="498"/>
      <c r="BC42" s="498"/>
      <c r="BD42" s="498"/>
      <c r="BE42" s="498"/>
      <c r="BF42" s="498"/>
      <c r="BG42" s="498"/>
      <c r="BH42" s="498"/>
      <c r="BI42" s="498"/>
      <c r="BJ42" s="498"/>
      <c r="BK42" s="498"/>
      <c r="BL42" s="498"/>
      <c r="BM42" s="498"/>
      <c r="BN42" s="498"/>
      <c r="BO42" s="498"/>
      <c r="BP42" s="498"/>
      <c r="BQ42" s="498"/>
      <c r="BR42" s="498"/>
      <c r="BS42" s="498"/>
      <c r="BT42" s="498"/>
      <c r="BU42" s="498"/>
      <c r="BV42" s="498"/>
      <c r="BW42" s="498"/>
      <c r="BX42" s="498"/>
      <c r="BY42" s="498"/>
      <c r="BZ42" s="498"/>
      <c r="CA42" s="498"/>
      <c r="CB42" s="498"/>
      <c r="CC42" s="498"/>
      <c r="CD42" s="498"/>
      <c r="CE42" s="498"/>
      <c r="CF42" s="498"/>
      <c r="CG42" s="498"/>
      <c r="CH42" s="498"/>
      <c r="CI42" s="498"/>
      <c r="CJ42" s="498"/>
      <c r="CK42" s="498"/>
      <c r="CL42" s="498"/>
      <c r="CM42" s="498"/>
      <c r="CN42" s="498"/>
      <c r="CO42" s="498"/>
      <c r="CP42" s="498"/>
      <c r="CQ42" s="498"/>
      <c r="CR42" s="498"/>
      <c r="CS42" s="498"/>
      <c r="CT42" s="498"/>
      <c r="CU42" s="498"/>
      <c r="CV42" s="498"/>
      <c r="CW42" s="498"/>
      <c r="CX42" s="498"/>
      <c r="CY42" s="498"/>
      <c r="CZ42" s="498"/>
      <c r="DA42" s="498"/>
      <c r="DB42" s="498"/>
      <c r="DC42" s="498"/>
      <c r="DD42" s="498"/>
      <c r="DE42" s="498"/>
      <c r="DF42" s="498"/>
      <c r="DG42" s="498"/>
      <c r="DH42" s="498"/>
      <c r="DI42" s="498"/>
      <c r="DJ42" s="498"/>
      <c r="DK42" s="498"/>
      <c r="DL42" s="498"/>
      <c r="DM42" s="498"/>
      <c r="DN42" s="498"/>
      <c r="DO42" s="498"/>
      <c r="DP42" s="498"/>
      <c r="DQ42" s="498"/>
      <c r="DR42" s="498"/>
      <c r="DS42" s="498"/>
      <c r="DT42" s="498"/>
      <c r="DU42" s="498"/>
      <c r="DV42" s="498"/>
      <c r="DW42" s="498"/>
      <c r="DX42" s="498"/>
      <c r="DY42" s="498"/>
      <c r="DZ42" s="498"/>
      <c r="EA42" s="498"/>
      <c r="EB42" s="498"/>
      <c r="EC42" s="498"/>
      <c r="ED42" s="498"/>
      <c r="EE42" s="498"/>
      <c r="EF42" s="498"/>
      <c r="EG42" s="498"/>
      <c r="EH42" s="498"/>
      <c r="EI42" s="498"/>
      <c r="EJ42" s="498"/>
      <c r="EK42" s="498"/>
      <c r="EL42" s="498"/>
      <c r="EM42" s="498"/>
    </row>
    <row r="43" spans="1:143" s="499" customFormat="1" ht="5.25" customHeight="1" x14ac:dyDescent="0.35">
      <c r="A43" s="496"/>
      <c r="B43" s="1723"/>
      <c r="C43" s="812"/>
      <c r="D43" s="812"/>
      <c r="E43" s="1724"/>
      <c r="F43" s="43"/>
      <c r="G43" s="500"/>
      <c r="H43" s="501"/>
      <c r="I43" s="501"/>
      <c r="J43" s="501"/>
      <c r="K43" s="502"/>
      <c r="L43" s="497"/>
      <c r="M43" s="496"/>
      <c r="N43" s="496"/>
      <c r="O43" s="498"/>
      <c r="P43" s="498"/>
      <c r="Q43" s="498"/>
      <c r="R43" s="498"/>
      <c r="S43" s="498"/>
      <c r="T43" s="498"/>
      <c r="U43" s="498"/>
      <c r="V43" s="498"/>
      <c r="W43" s="498"/>
      <c r="X43" s="498"/>
      <c r="Y43" s="498"/>
      <c r="Z43" s="498"/>
      <c r="AA43" s="498"/>
      <c r="AB43" s="498"/>
      <c r="AC43" s="498"/>
      <c r="AD43" s="498"/>
      <c r="AE43" s="498"/>
      <c r="AF43" s="498"/>
      <c r="AG43" s="498"/>
      <c r="AH43" s="498"/>
      <c r="AI43" s="498"/>
      <c r="AJ43" s="498"/>
      <c r="AK43" s="498"/>
      <c r="AL43" s="498"/>
      <c r="AM43" s="498"/>
      <c r="AN43" s="498"/>
      <c r="AO43" s="498"/>
      <c r="AP43" s="498"/>
      <c r="AQ43" s="498"/>
      <c r="AR43" s="498"/>
      <c r="AS43" s="498"/>
      <c r="AT43" s="498"/>
      <c r="AU43" s="498"/>
      <c r="AV43" s="498"/>
      <c r="AW43" s="498"/>
      <c r="AX43" s="498"/>
      <c r="AY43" s="498"/>
      <c r="AZ43" s="498"/>
      <c r="BA43" s="498"/>
      <c r="BB43" s="498"/>
      <c r="BC43" s="498"/>
      <c r="BD43" s="498"/>
      <c r="BE43" s="498"/>
      <c r="BF43" s="498"/>
      <c r="BG43" s="498"/>
      <c r="BH43" s="498"/>
      <c r="BI43" s="498"/>
      <c r="BJ43" s="498"/>
      <c r="BK43" s="498"/>
      <c r="BL43" s="498"/>
      <c r="BM43" s="498"/>
      <c r="BN43" s="498"/>
      <c r="BO43" s="498"/>
      <c r="BP43" s="498"/>
      <c r="BQ43" s="498"/>
      <c r="BR43" s="498"/>
      <c r="BS43" s="498"/>
      <c r="BT43" s="498"/>
      <c r="BU43" s="498"/>
      <c r="BV43" s="498"/>
      <c r="BW43" s="498"/>
      <c r="BX43" s="498"/>
      <c r="BY43" s="498"/>
      <c r="BZ43" s="498"/>
      <c r="CA43" s="498"/>
      <c r="CB43" s="498"/>
      <c r="CC43" s="498"/>
      <c r="CD43" s="498"/>
      <c r="CE43" s="498"/>
      <c r="CF43" s="498"/>
      <c r="CG43" s="498"/>
      <c r="CH43" s="498"/>
      <c r="CI43" s="498"/>
      <c r="CJ43" s="498"/>
      <c r="CK43" s="498"/>
      <c r="CL43" s="498"/>
      <c r="CM43" s="498"/>
      <c r="CN43" s="498"/>
      <c r="CO43" s="498"/>
      <c r="CP43" s="498"/>
      <c r="CQ43" s="498"/>
      <c r="CR43" s="498"/>
      <c r="CS43" s="498"/>
      <c r="CT43" s="498"/>
      <c r="CU43" s="498"/>
      <c r="CV43" s="498"/>
      <c r="CW43" s="498"/>
      <c r="CX43" s="498"/>
      <c r="CY43" s="498"/>
      <c r="CZ43" s="498"/>
      <c r="DA43" s="498"/>
      <c r="DB43" s="498"/>
      <c r="DC43" s="498"/>
      <c r="DD43" s="498"/>
      <c r="DE43" s="498"/>
      <c r="DF43" s="498"/>
      <c r="DG43" s="498"/>
      <c r="DH43" s="498"/>
      <c r="DI43" s="498"/>
      <c r="DJ43" s="498"/>
      <c r="DK43" s="498"/>
      <c r="DL43" s="498"/>
      <c r="DM43" s="498"/>
      <c r="DN43" s="498"/>
      <c r="DO43" s="498"/>
      <c r="DP43" s="498"/>
      <c r="DQ43" s="498"/>
      <c r="DR43" s="498"/>
      <c r="DS43" s="498"/>
      <c r="DT43" s="498"/>
      <c r="DU43" s="498"/>
      <c r="DV43" s="498"/>
      <c r="DW43" s="498"/>
      <c r="DX43" s="498"/>
      <c r="DY43" s="498"/>
      <c r="DZ43" s="498"/>
      <c r="EA43" s="498"/>
      <c r="EB43" s="498"/>
      <c r="EC43" s="498"/>
      <c r="ED43" s="498"/>
      <c r="EE43" s="498"/>
      <c r="EF43" s="498"/>
      <c r="EG43" s="498"/>
      <c r="EH43" s="498"/>
      <c r="EI43" s="498"/>
      <c r="EJ43" s="498"/>
      <c r="EK43" s="498"/>
      <c r="EL43" s="498"/>
      <c r="EM43" s="498"/>
    </row>
    <row r="44" spans="1:143" s="499" customFormat="1" ht="17.25" customHeight="1" x14ac:dyDescent="0.35">
      <c r="A44" s="496"/>
      <c r="B44" s="1723"/>
      <c r="C44" s="812"/>
      <c r="D44" s="812"/>
      <c r="E44" s="1724"/>
      <c r="F44" s="43"/>
      <c r="G44" s="1719" t="s">
        <v>892</v>
      </c>
      <c r="H44" s="1719"/>
      <c r="I44" s="1719"/>
      <c r="J44" s="1719"/>
      <c r="K44" s="1719"/>
      <c r="L44" s="478">
        <v>8</v>
      </c>
      <c r="M44" s="496"/>
      <c r="N44" s="496"/>
      <c r="O44" s="498"/>
      <c r="P44" s="498"/>
      <c r="Q44" s="498"/>
      <c r="R44" s="498"/>
      <c r="S44" s="498"/>
      <c r="T44" s="498"/>
      <c r="U44" s="498"/>
      <c r="V44" s="498"/>
      <c r="W44" s="498"/>
      <c r="X44" s="498"/>
      <c r="Y44" s="498"/>
      <c r="Z44" s="498"/>
      <c r="AA44" s="498"/>
      <c r="AB44" s="498"/>
      <c r="AC44" s="498"/>
      <c r="AD44" s="498"/>
      <c r="AE44" s="498"/>
      <c r="AF44" s="498"/>
      <c r="AG44" s="498"/>
      <c r="AH44" s="498"/>
      <c r="AI44" s="498"/>
      <c r="AJ44" s="498"/>
      <c r="AK44" s="498"/>
      <c r="AL44" s="498"/>
      <c r="AM44" s="498"/>
      <c r="AN44" s="498"/>
      <c r="AO44" s="498"/>
      <c r="AP44" s="498"/>
      <c r="AQ44" s="498"/>
      <c r="AR44" s="498"/>
      <c r="AS44" s="498"/>
      <c r="AT44" s="498"/>
      <c r="AU44" s="498"/>
      <c r="AV44" s="498"/>
      <c r="AW44" s="498"/>
      <c r="AX44" s="498"/>
      <c r="AY44" s="498"/>
      <c r="AZ44" s="498"/>
      <c r="BA44" s="498"/>
      <c r="BB44" s="498"/>
      <c r="BC44" s="498"/>
      <c r="BD44" s="498"/>
      <c r="BE44" s="498"/>
      <c r="BF44" s="498"/>
      <c r="BG44" s="498"/>
      <c r="BH44" s="498"/>
      <c r="BI44" s="498"/>
      <c r="BJ44" s="498"/>
      <c r="BK44" s="498"/>
      <c r="BL44" s="498"/>
      <c r="BM44" s="498"/>
      <c r="BN44" s="498"/>
      <c r="BO44" s="498"/>
      <c r="BP44" s="498"/>
      <c r="BQ44" s="498"/>
      <c r="BR44" s="498"/>
      <c r="BS44" s="498"/>
      <c r="BT44" s="498"/>
      <c r="BU44" s="498"/>
      <c r="BV44" s="498"/>
      <c r="BW44" s="498"/>
      <c r="BX44" s="498"/>
      <c r="BY44" s="498"/>
      <c r="BZ44" s="498"/>
      <c r="CA44" s="498"/>
      <c r="CB44" s="498"/>
      <c r="CC44" s="498"/>
      <c r="CD44" s="498"/>
      <c r="CE44" s="498"/>
      <c r="CF44" s="498"/>
      <c r="CG44" s="498"/>
      <c r="CH44" s="498"/>
      <c r="CI44" s="498"/>
      <c r="CJ44" s="498"/>
      <c r="CK44" s="498"/>
      <c r="CL44" s="498"/>
      <c r="CM44" s="498"/>
      <c r="CN44" s="498"/>
      <c r="CO44" s="498"/>
      <c r="CP44" s="498"/>
      <c r="CQ44" s="498"/>
      <c r="CR44" s="498"/>
      <c r="CS44" s="498"/>
      <c r="CT44" s="498"/>
      <c r="CU44" s="498"/>
      <c r="CV44" s="498"/>
      <c r="CW44" s="498"/>
      <c r="CX44" s="498"/>
      <c r="CY44" s="498"/>
      <c r="CZ44" s="498"/>
      <c r="DA44" s="498"/>
      <c r="DB44" s="498"/>
      <c r="DC44" s="498"/>
      <c r="DD44" s="498"/>
      <c r="DE44" s="498"/>
      <c r="DF44" s="498"/>
      <c r="DG44" s="498"/>
      <c r="DH44" s="498"/>
      <c r="DI44" s="498"/>
      <c r="DJ44" s="498"/>
      <c r="DK44" s="498"/>
      <c r="DL44" s="498"/>
      <c r="DM44" s="498"/>
      <c r="DN44" s="498"/>
      <c r="DO44" s="498"/>
      <c r="DP44" s="498"/>
      <c r="DQ44" s="498"/>
      <c r="DR44" s="498"/>
      <c r="DS44" s="498"/>
      <c r="DT44" s="498"/>
      <c r="DU44" s="498"/>
      <c r="DV44" s="498"/>
      <c r="DW44" s="498"/>
      <c r="DX44" s="498"/>
      <c r="DY44" s="498"/>
      <c r="DZ44" s="498"/>
      <c r="EA44" s="498"/>
      <c r="EB44" s="498"/>
      <c r="EC44" s="498"/>
      <c r="ED44" s="498"/>
      <c r="EE44" s="498"/>
      <c r="EF44" s="498"/>
      <c r="EG44" s="498"/>
      <c r="EH44" s="498"/>
      <c r="EI44" s="498"/>
      <c r="EJ44" s="498"/>
      <c r="EK44" s="498"/>
      <c r="EL44" s="498"/>
      <c r="EM44" s="498"/>
    </row>
    <row r="45" spans="1:143" s="499" customFormat="1" ht="4.5" customHeight="1" x14ac:dyDescent="0.35">
      <c r="A45" s="496"/>
      <c r="B45" s="1725"/>
      <c r="C45" s="812"/>
      <c r="D45" s="812"/>
      <c r="E45" s="1724"/>
      <c r="F45" s="43"/>
      <c r="G45" s="500"/>
      <c r="H45" s="501"/>
      <c r="I45" s="501"/>
      <c r="J45" s="501"/>
      <c r="K45" s="502"/>
      <c r="L45" s="478"/>
      <c r="M45" s="496"/>
      <c r="N45" s="496"/>
      <c r="O45" s="498"/>
      <c r="P45" s="498"/>
      <c r="Q45" s="498"/>
      <c r="R45" s="498"/>
      <c r="S45" s="498"/>
      <c r="T45" s="498"/>
      <c r="U45" s="498"/>
      <c r="V45" s="498"/>
      <c r="W45" s="498"/>
      <c r="X45" s="498"/>
      <c r="Y45" s="498"/>
      <c r="Z45" s="498"/>
      <c r="AA45" s="498"/>
      <c r="AB45" s="498"/>
      <c r="AC45" s="498"/>
      <c r="AD45" s="498"/>
      <c r="AE45" s="498"/>
      <c r="AF45" s="498"/>
      <c r="AG45" s="498"/>
      <c r="AH45" s="498"/>
      <c r="AI45" s="498"/>
      <c r="AJ45" s="498"/>
      <c r="AK45" s="498"/>
      <c r="AL45" s="498"/>
      <c r="AM45" s="498"/>
      <c r="AN45" s="498"/>
      <c r="AO45" s="498"/>
      <c r="AP45" s="498"/>
      <c r="AQ45" s="498"/>
      <c r="AR45" s="498"/>
      <c r="AS45" s="498"/>
      <c r="AT45" s="498"/>
      <c r="AU45" s="498"/>
      <c r="AV45" s="498"/>
      <c r="AW45" s="498"/>
      <c r="AX45" s="498"/>
      <c r="AY45" s="498"/>
      <c r="AZ45" s="498"/>
      <c r="BA45" s="498"/>
      <c r="BB45" s="498"/>
      <c r="BC45" s="498"/>
      <c r="BD45" s="498"/>
      <c r="BE45" s="498"/>
      <c r="BF45" s="498"/>
      <c r="BG45" s="498"/>
      <c r="BH45" s="498"/>
      <c r="BI45" s="498"/>
      <c r="BJ45" s="498"/>
      <c r="BK45" s="498"/>
      <c r="BL45" s="498"/>
      <c r="BM45" s="498"/>
      <c r="BN45" s="498"/>
      <c r="BO45" s="498"/>
      <c r="BP45" s="498"/>
      <c r="BQ45" s="498"/>
      <c r="BR45" s="498"/>
      <c r="BS45" s="498"/>
      <c r="BT45" s="498"/>
      <c r="BU45" s="498"/>
      <c r="BV45" s="498"/>
      <c r="BW45" s="498"/>
      <c r="BX45" s="498"/>
      <c r="BY45" s="498"/>
      <c r="BZ45" s="498"/>
      <c r="CA45" s="498"/>
      <c r="CB45" s="498"/>
      <c r="CC45" s="498"/>
      <c r="CD45" s="498"/>
      <c r="CE45" s="498"/>
      <c r="CF45" s="498"/>
      <c r="CG45" s="498"/>
      <c r="CH45" s="498"/>
      <c r="CI45" s="498"/>
      <c r="CJ45" s="498"/>
      <c r="CK45" s="498"/>
      <c r="CL45" s="498"/>
      <c r="CM45" s="498"/>
      <c r="CN45" s="498"/>
      <c r="CO45" s="498"/>
      <c r="CP45" s="498"/>
      <c r="CQ45" s="498"/>
      <c r="CR45" s="498"/>
      <c r="CS45" s="498"/>
      <c r="CT45" s="498"/>
      <c r="CU45" s="498"/>
      <c r="CV45" s="498"/>
      <c r="CW45" s="498"/>
      <c r="CX45" s="498"/>
      <c r="CY45" s="498"/>
      <c r="CZ45" s="498"/>
      <c r="DA45" s="498"/>
      <c r="DB45" s="498"/>
      <c r="DC45" s="498"/>
      <c r="DD45" s="498"/>
      <c r="DE45" s="498"/>
      <c r="DF45" s="498"/>
      <c r="DG45" s="498"/>
      <c r="DH45" s="498"/>
      <c r="DI45" s="498"/>
      <c r="DJ45" s="498"/>
      <c r="DK45" s="498"/>
      <c r="DL45" s="498"/>
      <c r="DM45" s="498"/>
      <c r="DN45" s="498"/>
      <c r="DO45" s="498"/>
      <c r="DP45" s="498"/>
      <c r="DQ45" s="498"/>
      <c r="DR45" s="498"/>
      <c r="DS45" s="498"/>
      <c r="DT45" s="498"/>
      <c r="DU45" s="498"/>
      <c r="DV45" s="498"/>
      <c r="DW45" s="498"/>
      <c r="DX45" s="498"/>
      <c r="DY45" s="498"/>
      <c r="DZ45" s="498"/>
      <c r="EA45" s="498"/>
      <c r="EB45" s="498"/>
      <c r="EC45" s="498"/>
      <c r="ED45" s="498"/>
      <c r="EE45" s="498"/>
      <c r="EF45" s="498"/>
      <c r="EG45" s="498"/>
      <c r="EH45" s="498"/>
      <c r="EI45" s="498"/>
      <c r="EJ45" s="498"/>
      <c r="EK45" s="498"/>
      <c r="EL45" s="498"/>
      <c r="EM45" s="498"/>
    </row>
    <row r="46" spans="1:143" s="499" customFormat="1" ht="18.75" customHeight="1" thickBot="1" x14ac:dyDescent="0.4">
      <c r="A46" s="496"/>
      <c r="B46" s="1726"/>
      <c r="C46" s="1727"/>
      <c r="D46" s="1727"/>
      <c r="E46" s="1728"/>
      <c r="F46" s="43"/>
      <c r="G46" s="1719" t="s">
        <v>893</v>
      </c>
      <c r="H46" s="1719"/>
      <c r="I46" s="1719"/>
      <c r="J46" s="1719"/>
      <c r="K46" s="1719"/>
      <c r="L46" s="478">
        <v>1</v>
      </c>
      <c r="M46" s="496"/>
      <c r="N46" s="496"/>
      <c r="O46" s="498"/>
      <c r="P46" s="498"/>
      <c r="Q46" s="498"/>
      <c r="R46" s="498"/>
      <c r="S46" s="498"/>
      <c r="T46" s="498"/>
      <c r="U46" s="498"/>
      <c r="V46" s="498"/>
      <c r="W46" s="498"/>
      <c r="X46" s="498"/>
      <c r="Y46" s="498"/>
      <c r="Z46" s="498"/>
      <c r="AA46" s="498"/>
      <c r="AB46" s="498"/>
      <c r="AC46" s="498"/>
      <c r="AD46" s="498"/>
      <c r="AE46" s="498"/>
      <c r="AF46" s="498"/>
      <c r="AG46" s="498"/>
      <c r="AH46" s="498"/>
      <c r="AI46" s="498"/>
      <c r="AJ46" s="498"/>
      <c r="AK46" s="498"/>
      <c r="AL46" s="498"/>
      <c r="AM46" s="498"/>
      <c r="AN46" s="498"/>
      <c r="AO46" s="498"/>
      <c r="AP46" s="498"/>
      <c r="AQ46" s="498"/>
      <c r="AR46" s="498"/>
      <c r="AS46" s="498"/>
      <c r="AT46" s="498"/>
      <c r="AU46" s="498"/>
      <c r="AV46" s="498"/>
      <c r="AW46" s="498"/>
      <c r="AX46" s="498"/>
      <c r="AY46" s="498"/>
      <c r="AZ46" s="498"/>
      <c r="BA46" s="498"/>
      <c r="BB46" s="498"/>
      <c r="BC46" s="498"/>
      <c r="BD46" s="498"/>
      <c r="BE46" s="498"/>
      <c r="BF46" s="498"/>
      <c r="BG46" s="498"/>
      <c r="BH46" s="498"/>
      <c r="BI46" s="498"/>
      <c r="BJ46" s="498"/>
      <c r="BK46" s="498"/>
      <c r="BL46" s="498"/>
      <c r="BM46" s="498"/>
      <c r="BN46" s="498"/>
      <c r="BO46" s="498"/>
      <c r="BP46" s="498"/>
      <c r="BQ46" s="498"/>
      <c r="BR46" s="498"/>
      <c r="BS46" s="498"/>
      <c r="BT46" s="498"/>
      <c r="BU46" s="498"/>
      <c r="BV46" s="498"/>
      <c r="BW46" s="498"/>
      <c r="BX46" s="498"/>
      <c r="BY46" s="498"/>
      <c r="BZ46" s="498"/>
      <c r="CA46" s="498"/>
      <c r="CB46" s="498"/>
      <c r="CC46" s="498"/>
      <c r="CD46" s="498"/>
      <c r="CE46" s="498"/>
      <c r="CF46" s="498"/>
      <c r="CG46" s="498"/>
      <c r="CH46" s="498"/>
      <c r="CI46" s="498"/>
      <c r="CJ46" s="498"/>
      <c r="CK46" s="498"/>
      <c r="CL46" s="498"/>
      <c r="CM46" s="498"/>
      <c r="CN46" s="498"/>
      <c r="CO46" s="498"/>
      <c r="CP46" s="498"/>
      <c r="CQ46" s="498"/>
      <c r="CR46" s="498"/>
      <c r="CS46" s="498"/>
      <c r="CT46" s="498"/>
      <c r="CU46" s="498"/>
      <c r="CV46" s="498"/>
      <c r="CW46" s="498"/>
      <c r="CX46" s="498"/>
      <c r="CY46" s="498"/>
      <c r="CZ46" s="498"/>
      <c r="DA46" s="498"/>
      <c r="DB46" s="498"/>
      <c r="DC46" s="498"/>
      <c r="DD46" s="498"/>
      <c r="DE46" s="498"/>
      <c r="DF46" s="498"/>
      <c r="DG46" s="498"/>
      <c r="DH46" s="498"/>
      <c r="DI46" s="498"/>
      <c r="DJ46" s="498"/>
      <c r="DK46" s="498"/>
      <c r="DL46" s="498"/>
      <c r="DM46" s="498"/>
      <c r="DN46" s="498"/>
      <c r="DO46" s="498"/>
      <c r="DP46" s="498"/>
      <c r="DQ46" s="498"/>
      <c r="DR46" s="498"/>
      <c r="DS46" s="498"/>
      <c r="DT46" s="498"/>
      <c r="DU46" s="498"/>
      <c r="DV46" s="498"/>
      <c r="DW46" s="498"/>
      <c r="DX46" s="498"/>
      <c r="DY46" s="498"/>
      <c r="DZ46" s="498"/>
      <c r="EA46" s="498"/>
      <c r="EB46" s="498"/>
      <c r="EC46" s="498"/>
      <c r="ED46" s="498"/>
      <c r="EE46" s="498"/>
      <c r="EF46" s="498"/>
      <c r="EG46" s="498"/>
      <c r="EH46" s="498"/>
      <c r="EI46" s="498"/>
      <c r="EJ46" s="498"/>
      <c r="EK46" s="498"/>
      <c r="EL46" s="498"/>
      <c r="EM46" s="498"/>
    </row>
    <row r="47" spans="1:143" s="499" customFormat="1" ht="15" customHeight="1" x14ac:dyDescent="0.35">
      <c r="A47" s="496"/>
      <c r="B47" s="43"/>
      <c r="C47" s="43"/>
      <c r="D47" s="43"/>
      <c r="E47" s="43"/>
      <c r="F47" s="43"/>
      <c r="G47" s="43"/>
      <c r="H47" s="43"/>
      <c r="I47" s="43"/>
      <c r="J47" s="43"/>
      <c r="K47" s="43"/>
      <c r="L47" s="43"/>
      <c r="M47" s="496"/>
      <c r="N47" s="496"/>
      <c r="O47" s="498"/>
      <c r="P47" s="498"/>
      <c r="Q47" s="498"/>
      <c r="R47" s="498"/>
      <c r="S47" s="498"/>
      <c r="T47" s="498"/>
      <c r="U47" s="498"/>
      <c r="V47" s="498"/>
      <c r="W47" s="498"/>
      <c r="X47" s="498"/>
      <c r="Y47" s="498"/>
      <c r="Z47" s="498"/>
      <c r="AA47" s="498"/>
      <c r="AB47" s="498"/>
      <c r="AC47" s="498"/>
      <c r="AD47" s="498"/>
      <c r="AE47" s="498"/>
      <c r="AF47" s="498"/>
      <c r="AG47" s="498"/>
      <c r="AH47" s="498"/>
      <c r="AI47" s="498"/>
      <c r="AJ47" s="498"/>
      <c r="AK47" s="498"/>
      <c r="AL47" s="498"/>
      <c r="AM47" s="498"/>
      <c r="AN47" s="498"/>
      <c r="AO47" s="498"/>
      <c r="AP47" s="498"/>
      <c r="AQ47" s="498"/>
      <c r="AR47" s="498"/>
      <c r="AS47" s="498"/>
      <c r="AT47" s="498"/>
      <c r="AU47" s="498"/>
      <c r="AV47" s="498"/>
      <c r="AW47" s="498"/>
      <c r="AX47" s="498"/>
      <c r="AY47" s="498"/>
      <c r="AZ47" s="498"/>
      <c r="BA47" s="498"/>
      <c r="BB47" s="498"/>
      <c r="BC47" s="498"/>
      <c r="BD47" s="498"/>
      <c r="BE47" s="498"/>
      <c r="BF47" s="498"/>
      <c r="BG47" s="498"/>
      <c r="BH47" s="498"/>
      <c r="BI47" s="498"/>
      <c r="BJ47" s="498"/>
      <c r="BK47" s="498"/>
      <c r="BL47" s="498"/>
      <c r="BM47" s="498"/>
      <c r="BN47" s="498"/>
      <c r="BO47" s="498"/>
      <c r="BP47" s="498"/>
      <c r="BQ47" s="498"/>
      <c r="BR47" s="498"/>
      <c r="BS47" s="498"/>
      <c r="BT47" s="498"/>
      <c r="BU47" s="498"/>
      <c r="BV47" s="498"/>
      <c r="BW47" s="498"/>
      <c r="BX47" s="498"/>
      <c r="BY47" s="498"/>
      <c r="BZ47" s="498"/>
      <c r="CA47" s="498"/>
      <c r="CB47" s="498"/>
      <c r="CC47" s="498"/>
      <c r="CD47" s="498"/>
      <c r="CE47" s="498"/>
      <c r="CF47" s="498"/>
      <c r="CG47" s="498"/>
      <c r="CH47" s="498"/>
      <c r="CI47" s="498"/>
      <c r="CJ47" s="498"/>
      <c r="CK47" s="498"/>
      <c r="CL47" s="498"/>
      <c r="CM47" s="498"/>
      <c r="CN47" s="498"/>
      <c r="CO47" s="498"/>
      <c r="CP47" s="498"/>
      <c r="CQ47" s="498"/>
      <c r="CR47" s="498"/>
      <c r="CS47" s="498"/>
      <c r="CT47" s="498"/>
      <c r="CU47" s="498"/>
      <c r="CV47" s="498"/>
      <c r="CW47" s="498"/>
      <c r="CX47" s="498"/>
      <c r="CY47" s="498"/>
      <c r="CZ47" s="498"/>
      <c r="DA47" s="498"/>
      <c r="DB47" s="498"/>
      <c r="DC47" s="498"/>
      <c r="DD47" s="498"/>
      <c r="DE47" s="498"/>
      <c r="DF47" s="498"/>
      <c r="DG47" s="498"/>
      <c r="DH47" s="498"/>
      <c r="DI47" s="498"/>
      <c r="DJ47" s="498"/>
      <c r="DK47" s="498"/>
      <c r="DL47" s="498"/>
      <c r="DM47" s="498"/>
      <c r="DN47" s="498"/>
      <c r="DO47" s="498"/>
      <c r="DP47" s="498"/>
      <c r="DQ47" s="498"/>
      <c r="DR47" s="498"/>
      <c r="DS47" s="498"/>
      <c r="DT47" s="498"/>
      <c r="DU47" s="498"/>
      <c r="DV47" s="498"/>
      <c r="DW47" s="498"/>
      <c r="DX47" s="498"/>
      <c r="DY47" s="498"/>
      <c r="DZ47" s="498"/>
      <c r="EA47" s="498"/>
      <c r="EB47" s="498"/>
      <c r="EC47" s="498"/>
      <c r="ED47" s="498"/>
      <c r="EE47" s="498"/>
      <c r="EF47" s="498"/>
      <c r="EG47" s="498"/>
      <c r="EH47" s="498"/>
      <c r="EI47" s="498"/>
      <c r="EJ47" s="498"/>
      <c r="EK47" s="498"/>
      <c r="EL47" s="498"/>
      <c r="EM47" s="498"/>
    </row>
    <row r="48" spans="1:143" s="499" customFormat="1" ht="15" customHeight="1" thickBot="1" x14ac:dyDescent="0.4">
      <c r="A48" s="496"/>
      <c r="B48" s="43"/>
      <c r="C48" s="43"/>
      <c r="D48" s="43"/>
      <c r="E48" s="43"/>
      <c r="F48" s="43"/>
      <c r="G48" s="43"/>
      <c r="H48" s="43"/>
      <c r="I48" s="43"/>
      <c r="J48" s="43"/>
      <c r="K48" s="43"/>
      <c r="L48" s="43"/>
      <c r="M48" s="496"/>
      <c r="N48" s="496"/>
      <c r="O48" s="498"/>
      <c r="P48" s="498"/>
      <c r="Q48" s="498"/>
      <c r="R48" s="498"/>
      <c r="S48" s="498"/>
      <c r="T48" s="498"/>
      <c r="U48" s="498"/>
      <c r="V48" s="498"/>
      <c r="W48" s="498"/>
      <c r="X48" s="498"/>
      <c r="Y48" s="498"/>
      <c r="Z48" s="498"/>
      <c r="AA48" s="498"/>
      <c r="AB48" s="498"/>
      <c r="AC48" s="498"/>
      <c r="AD48" s="498"/>
      <c r="AE48" s="498"/>
      <c r="AF48" s="498"/>
      <c r="AG48" s="498"/>
      <c r="AH48" s="498"/>
      <c r="AI48" s="498"/>
      <c r="AJ48" s="498"/>
      <c r="AK48" s="498"/>
      <c r="AL48" s="498"/>
      <c r="AM48" s="498"/>
      <c r="AN48" s="498"/>
      <c r="AO48" s="498"/>
      <c r="AP48" s="498"/>
      <c r="AQ48" s="498"/>
      <c r="AR48" s="498"/>
      <c r="AS48" s="498"/>
      <c r="AT48" s="498"/>
      <c r="AU48" s="498"/>
      <c r="AV48" s="498"/>
      <c r="AW48" s="498"/>
      <c r="AX48" s="498"/>
      <c r="AY48" s="498"/>
      <c r="AZ48" s="498"/>
      <c r="BA48" s="498"/>
      <c r="BB48" s="498"/>
      <c r="BC48" s="498"/>
      <c r="BD48" s="498"/>
      <c r="BE48" s="498"/>
      <c r="BF48" s="498"/>
      <c r="BG48" s="498"/>
      <c r="BH48" s="498"/>
      <c r="BI48" s="498"/>
      <c r="BJ48" s="498"/>
      <c r="BK48" s="498"/>
      <c r="BL48" s="498"/>
      <c r="BM48" s="498"/>
      <c r="BN48" s="498"/>
      <c r="BO48" s="498"/>
      <c r="BP48" s="498"/>
      <c r="BQ48" s="498"/>
      <c r="BR48" s="498"/>
      <c r="BS48" s="498"/>
      <c r="BT48" s="498"/>
      <c r="BU48" s="498"/>
      <c r="BV48" s="498"/>
      <c r="BW48" s="498"/>
      <c r="BX48" s="498"/>
      <c r="BY48" s="498"/>
      <c r="BZ48" s="498"/>
      <c r="CA48" s="498"/>
      <c r="CB48" s="498"/>
      <c r="CC48" s="498"/>
      <c r="CD48" s="498"/>
      <c r="CE48" s="498"/>
      <c r="CF48" s="498"/>
      <c r="CG48" s="498"/>
      <c r="CH48" s="498"/>
      <c r="CI48" s="498"/>
      <c r="CJ48" s="498"/>
      <c r="CK48" s="498"/>
      <c r="CL48" s="498"/>
      <c r="CM48" s="498"/>
      <c r="CN48" s="498"/>
      <c r="CO48" s="498"/>
      <c r="CP48" s="498"/>
      <c r="CQ48" s="498"/>
      <c r="CR48" s="498"/>
      <c r="CS48" s="498"/>
      <c r="CT48" s="498"/>
      <c r="CU48" s="498"/>
      <c r="CV48" s="498"/>
      <c r="CW48" s="498"/>
      <c r="CX48" s="498"/>
      <c r="CY48" s="498"/>
      <c r="CZ48" s="498"/>
      <c r="DA48" s="498"/>
      <c r="DB48" s="498"/>
      <c r="DC48" s="498"/>
      <c r="DD48" s="498"/>
      <c r="DE48" s="498"/>
      <c r="DF48" s="498"/>
      <c r="DG48" s="498"/>
      <c r="DH48" s="498"/>
      <c r="DI48" s="498"/>
      <c r="DJ48" s="498"/>
      <c r="DK48" s="498"/>
      <c r="DL48" s="498"/>
      <c r="DM48" s="498"/>
      <c r="DN48" s="498"/>
      <c r="DO48" s="498"/>
      <c r="DP48" s="498"/>
      <c r="DQ48" s="498"/>
      <c r="DR48" s="498"/>
      <c r="DS48" s="498"/>
      <c r="DT48" s="498"/>
      <c r="DU48" s="498"/>
      <c r="DV48" s="498"/>
      <c r="DW48" s="498"/>
      <c r="DX48" s="498"/>
      <c r="DY48" s="498"/>
      <c r="DZ48" s="498"/>
      <c r="EA48" s="498"/>
      <c r="EB48" s="498"/>
      <c r="EC48" s="498"/>
      <c r="ED48" s="498"/>
      <c r="EE48" s="498"/>
      <c r="EF48" s="498"/>
      <c r="EG48" s="498"/>
      <c r="EH48" s="498"/>
      <c r="EI48" s="498"/>
      <c r="EJ48" s="498"/>
      <c r="EK48" s="498"/>
      <c r="EL48" s="498"/>
      <c r="EM48" s="498"/>
    </row>
    <row r="49" spans="1:143" s="499" customFormat="1" ht="23.25" customHeight="1" x14ac:dyDescent="0.35">
      <c r="A49" s="496"/>
      <c r="B49" s="1720" t="s">
        <v>894</v>
      </c>
      <c r="C49" s="1721"/>
      <c r="D49" s="1721"/>
      <c r="E49" s="1722"/>
      <c r="F49" s="43"/>
      <c r="G49" s="1719" t="s">
        <v>895</v>
      </c>
      <c r="H49" s="1719"/>
      <c r="I49" s="1719"/>
      <c r="J49" s="1719"/>
      <c r="K49" s="1719"/>
      <c r="L49" s="478" t="s">
        <v>178</v>
      </c>
      <c r="M49" s="496"/>
      <c r="N49" s="496"/>
      <c r="O49" s="498"/>
      <c r="P49" s="498"/>
      <c r="Q49" s="498"/>
      <c r="R49" s="498"/>
      <c r="S49" s="498"/>
      <c r="T49" s="498"/>
      <c r="U49" s="498"/>
      <c r="V49" s="498"/>
      <c r="W49" s="498"/>
      <c r="X49" s="498"/>
      <c r="Y49" s="498"/>
      <c r="Z49" s="498"/>
      <c r="AA49" s="498"/>
      <c r="AB49" s="498"/>
      <c r="AC49" s="498"/>
      <c r="AD49" s="498"/>
      <c r="AE49" s="498"/>
      <c r="AF49" s="498"/>
      <c r="AG49" s="498"/>
      <c r="AH49" s="498"/>
      <c r="AI49" s="498"/>
      <c r="AJ49" s="498"/>
      <c r="AK49" s="498"/>
      <c r="AL49" s="498"/>
      <c r="AM49" s="498"/>
      <c r="AN49" s="498"/>
      <c r="AO49" s="498"/>
      <c r="AP49" s="498"/>
      <c r="AQ49" s="498"/>
      <c r="AR49" s="498"/>
      <c r="AS49" s="498"/>
      <c r="AT49" s="498"/>
      <c r="AU49" s="498"/>
      <c r="AV49" s="498"/>
      <c r="AW49" s="498"/>
      <c r="AX49" s="498"/>
      <c r="AY49" s="498"/>
      <c r="AZ49" s="498"/>
      <c r="BA49" s="498"/>
      <c r="BB49" s="498"/>
      <c r="BC49" s="498"/>
      <c r="BD49" s="498"/>
      <c r="BE49" s="498"/>
      <c r="BF49" s="498"/>
      <c r="BG49" s="498"/>
      <c r="BH49" s="498"/>
      <c r="BI49" s="498"/>
      <c r="BJ49" s="498"/>
      <c r="BK49" s="498"/>
      <c r="BL49" s="498"/>
      <c r="BM49" s="498"/>
      <c r="BN49" s="498"/>
      <c r="BO49" s="498"/>
      <c r="BP49" s="498"/>
      <c r="BQ49" s="498"/>
      <c r="BR49" s="498"/>
      <c r="BS49" s="498"/>
      <c r="BT49" s="498"/>
      <c r="BU49" s="498"/>
      <c r="BV49" s="498"/>
      <c r="BW49" s="498"/>
      <c r="BX49" s="498"/>
      <c r="BY49" s="498"/>
      <c r="BZ49" s="498"/>
      <c r="CA49" s="498"/>
      <c r="CB49" s="498"/>
      <c r="CC49" s="498"/>
      <c r="CD49" s="498"/>
      <c r="CE49" s="498"/>
      <c r="CF49" s="498"/>
      <c r="CG49" s="498"/>
      <c r="CH49" s="498"/>
      <c r="CI49" s="498"/>
      <c r="CJ49" s="498"/>
      <c r="CK49" s="498"/>
      <c r="CL49" s="498"/>
      <c r="CM49" s="498"/>
      <c r="CN49" s="498"/>
      <c r="CO49" s="498"/>
      <c r="CP49" s="498"/>
      <c r="CQ49" s="498"/>
      <c r="CR49" s="498"/>
      <c r="CS49" s="498"/>
      <c r="CT49" s="498"/>
      <c r="CU49" s="498"/>
      <c r="CV49" s="498"/>
      <c r="CW49" s="498"/>
      <c r="CX49" s="498"/>
      <c r="CY49" s="498"/>
      <c r="CZ49" s="498"/>
      <c r="DA49" s="498"/>
      <c r="DB49" s="498"/>
      <c r="DC49" s="498"/>
      <c r="DD49" s="498"/>
      <c r="DE49" s="498"/>
      <c r="DF49" s="498"/>
      <c r="DG49" s="498"/>
      <c r="DH49" s="498"/>
      <c r="DI49" s="498"/>
      <c r="DJ49" s="498"/>
      <c r="DK49" s="498"/>
      <c r="DL49" s="498"/>
      <c r="DM49" s="498"/>
      <c r="DN49" s="498"/>
      <c r="DO49" s="498"/>
      <c r="DP49" s="498"/>
      <c r="DQ49" s="498"/>
      <c r="DR49" s="498"/>
      <c r="DS49" s="498"/>
      <c r="DT49" s="498"/>
      <c r="DU49" s="498"/>
      <c r="DV49" s="498"/>
      <c r="DW49" s="498"/>
      <c r="DX49" s="498"/>
      <c r="DY49" s="498"/>
      <c r="DZ49" s="498"/>
      <c r="EA49" s="498"/>
      <c r="EB49" s="498"/>
      <c r="EC49" s="498"/>
      <c r="ED49" s="498"/>
      <c r="EE49" s="498"/>
      <c r="EF49" s="498"/>
      <c r="EG49" s="498"/>
      <c r="EH49" s="498"/>
      <c r="EI49" s="498"/>
      <c r="EJ49" s="498"/>
      <c r="EK49" s="498"/>
      <c r="EL49" s="498"/>
      <c r="EM49" s="498"/>
    </row>
    <row r="50" spans="1:143" s="499" customFormat="1" ht="5.25" customHeight="1" x14ac:dyDescent="0.35">
      <c r="A50" s="496"/>
      <c r="B50" s="1723"/>
      <c r="C50" s="812"/>
      <c r="D50" s="812"/>
      <c r="E50" s="1724"/>
      <c r="F50" s="43"/>
      <c r="G50" s="500"/>
      <c r="H50" s="501"/>
      <c r="I50" s="501"/>
      <c r="J50" s="501"/>
      <c r="K50" s="502"/>
      <c r="L50" s="497"/>
      <c r="M50" s="496"/>
      <c r="N50" s="496"/>
      <c r="O50" s="498"/>
      <c r="P50" s="498"/>
      <c r="Q50" s="498"/>
      <c r="R50" s="498"/>
      <c r="S50" s="498"/>
      <c r="T50" s="498"/>
      <c r="U50" s="498"/>
      <c r="V50" s="498"/>
      <c r="W50" s="498"/>
      <c r="X50" s="498"/>
      <c r="Y50" s="498"/>
      <c r="Z50" s="498"/>
      <c r="AA50" s="498"/>
      <c r="AB50" s="498"/>
      <c r="AC50" s="498"/>
      <c r="AD50" s="498"/>
      <c r="AE50" s="498"/>
      <c r="AF50" s="498"/>
      <c r="AG50" s="498"/>
      <c r="AH50" s="498"/>
      <c r="AI50" s="498"/>
      <c r="AJ50" s="498"/>
      <c r="AK50" s="498"/>
      <c r="AL50" s="498"/>
      <c r="AM50" s="498"/>
      <c r="AN50" s="498"/>
      <c r="AO50" s="498"/>
      <c r="AP50" s="498"/>
      <c r="AQ50" s="498"/>
      <c r="AR50" s="498"/>
      <c r="AS50" s="498"/>
      <c r="AT50" s="498"/>
      <c r="AU50" s="498"/>
      <c r="AV50" s="498"/>
      <c r="AW50" s="498"/>
      <c r="AX50" s="498"/>
      <c r="AY50" s="498"/>
      <c r="AZ50" s="498"/>
      <c r="BA50" s="498"/>
      <c r="BB50" s="498"/>
      <c r="BC50" s="498"/>
      <c r="BD50" s="498"/>
      <c r="BE50" s="498"/>
      <c r="BF50" s="498"/>
      <c r="BG50" s="498"/>
      <c r="BH50" s="498"/>
      <c r="BI50" s="498"/>
      <c r="BJ50" s="498"/>
      <c r="BK50" s="498"/>
      <c r="BL50" s="498"/>
      <c r="BM50" s="498"/>
      <c r="BN50" s="498"/>
      <c r="BO50" s="498"/>
      <c r="BP50" s="498"/>
      <c r="BQ50" s="498"/>
      <c r="BR50" s="498"/>
      <c r="BS50" s="498"/>
      <c r="BT50" s="498"/>
      <c r="BU50" s="498"/>
      <c r="BV50" s="498"/>
      <c r="BW50" s="498"/>
      <c r="BX50" s="498"/>
      <c r="BY50" s="498"/>
      <c r="BZ50" s="498"/>
      <c r="CA50" s="498"/>
      <c r="CB50" s="498"/>
      <c r="CC50" s="498"/>
      <c r="CD50" s="498"/>
      <c r="CE50" s="498"/>
      <c r="CF50" s="498"/>
      <c r="CG50" s="498"/>
      <c r="CH50" s="498"/>
      <c r="CI50" s="498"/>
      <c r="CJ50" s="498"/>
      <c r="CK50" s="498"/>
      <c r="CL50" s="498"/>
      <c r="CM50" s="498"/>
      <c r="CN50" s="498"/>
      <c r="CO50" s="498"/>
      <c r="CP50" s="498"/>
      <c r="CQ50" s="498"/>
      <c r="CR50" s="498"/>
      <c r="CS50" s="498"/>
      <c r="CT50" s="498"/>
      <c r="CU50" s="498"/>
      <c r="CV50" s="498"/>
      <c r="CW50" s="498"/>
      <c r="CX50" s="498"/>
      <c r="CY50" s="498"/>
      <c r="CZ50" s="498"/>
      <c r="DA50" s="498"/>
      <c r="DB50" s="498"/>
      <c r="DC50" s="498"/>
      <c r="DD50" s="498"/>
      <c r="DE50" s="498"/>
      <c r="DF50" s="498"/>
      <c r="DG50" s="498"/>
      <c r="DH50" s="498"/>
      <c r="DI50" s="498"/>
      <c r="DJ50" s="498"/>
      <c r="DK50" s="498"/>
      <c r="DL50" s="498"/>
      <c r="DM50" s="498"/>
      <c r="DN50" s="498"/>
      <c r="DO50" s="498"/>
      <c r="DP50" s="498"/>
      <c r="DQ50" s="498"/>
      <c r="DR50" s="498"/>
      <c r="DS50" s="498"/>
      <c r="DT50" s="498"/>
      <c r="DU50" s="498"/>
      <c r="DV50" s="498"/>
      <c r="DW50" s="498"/>
      <c r="DX50" s="498"/>
      <c r="DY50" s="498"/>
      <c r="DZ50" s="498"/>
      <c r="EA50" s="498"/>
      <c r="EB50" s="498"/>
      <c r="EC50" s="498"/>
      <c r="ED50" s="498"/>
      <c r="EE50" s="498"/>
      <c r="EF50" s="498"/>
      <c r="EG50" s="498"/>
      <c r="EH50" s="498"/>
      <c r="EI50" s="498"/>
      <c r="EJ50" s="498"/>
      <c r="EK50" s="498"/>
      <c r="EL50" s="498"/>
      <c r="EM50" s="498"/>
    </row>
    <row r="51" spans="1:143" s="499" customFormat="1" ht="21.75" customHeight="1" x14ac:dyDescent="0.35">
      <c r="A51" s="496"/>
      <c r="B51" s="1723"/>
      <c r="C51" s="812"/>
      <c r="D51" s="812"/>
      <c r="E51" s="1724"/>
      <c r="F51" s="43"/>
      <c r="G51" s="1719" t="s">
        <v>896</v>
      </c>
      <c r="H51" s="1719"/>
      <c r="I51" s="1719"/>
      <c r="J51" s="1719"/>
      <c r="K51" s="1719"/>
      <c r="L51" s="497"/>
      <c r="M51" s="496"/>
      <c r="N51" s="496"/>
      <c r="O51" s="498"/>
      <c r="P51" s="498"/>
      <c r="Q51" s="498"/>
      <c r="R51" s="498"/>
      <c r="S51" s="498"/>
      <c r="T51" s="498"/>
      <c r="U51" s="498"/>
      <c r="V51" s="498"/>
      <c r="W51" s="498"/>
      <c r="X51" s="498"/>
      <c r="Y51" s="498"/>
      <c r="Z51" s="498"/>
      <c r="AA51" s="498"/>
      <c r="AB51" s="498"/>
      <c r="AC51" s="498"/>
      <c r="AD51" s="498"/>
      <c r="AE51" s="498"/>
      <c r="AF51" s="498"/>
      <c r="AG51" s="498"/>
      <c r="AH51" s="498"/>
      <c r="AI51" s="498"/>
      <c r="AJ51" s="498"/>
      <c r="AK51" s="498"/>
      <c r="AL51" s="498"/>
      <c r="AM51" s="498"/>
      <c r="AN51" s="498"/>
      <c r="AO51" s="498"/>
      <c r="AP51" s="498"/>
      <c r="AQ51" s="498"/>
      <c r="AR51" s="498"/>
      <c r="AS51" s="498"/>
      <c r="AT51" s="498"/>
      <c r="AU51" s="498"/>
      <c r="AV51" s="498"/>
      <c r="AW51" s="498"/>
      <c r="AX51" s="498"/>
      <c r="AY51" s="498"/>
      <c r="AZ51" s="498"/>
      <c r="BA51" s="498"/>
      <c r="BB51" s="498"/>
      <c r="BC51" s="498"/>
      <c r="BD51" s="498"/>
      <c r="BE51" s="498"/>
      <c r="BF51" s="498"/>
      <c r="BG51" s="498"/>
      <c r="BH51" s="498"/>
      <c r="BI51" s="498"/>
      <c r="BJ51" s="498"/>
      <c r="BK51" s="498"/>
      <c r="BL51" s="498"/>
      <c r="BM51" s="498"/>
      <c r="BN51" s="498"/>
      <c r="BO51" s="498"/>
      <c r="BP51" s="498"/>
      <c r="BQ51" s="498"/>
      <c r="BR51" s="498"/>
      <c r="BS51" s="498"/>
      <c r="BT51" s="498"/>
      <c r="BU51" s="498"/>
      <c r="BV51" s="498"/>
      <c r="BW51" s="498"/>
      <c r="BX51" s="498"/>
      <c r="BY51" s="498"/>
      <c r="BZ51" s="498"/>
      <c r="CA51" s="498"/>
      <c r="CB51" s="498"/>
      <c r="CC51" s="498"/>
      <c r="CD51" s="498"/>
      <c r="CE51" s="498"/>
      <c r="CF51" s="498"/>
      <c r="CG51" s="498"/>
      <c r="CH51" s="498"/>
      <c r="CI51" s="498"/>
      <c r="CJ51" s="498"/>
      <c r="CK51" s="498"/>
      <c r="CL51" s="498"/>
      <c r="CM51" s="498"/>
      <c r="CN51" s="498"/>
      <c r="CO51" s="498"/>
      <c r="CP51" s="498"/>
      <c r="CQ51" s="498"/>
      <c r="CR51" s="498"/>
      <c r="CS51" s="498"/>
      <c r="CT51" s="498"/>
      <c r="CU51" s="498"/>
      <c r="CV51" s="498"/>
      <c r="CW51" s="498"/>
      <c r="CX51" s="498"/>
      <c r="CY51" s="498"/>
      <c r="CZ51" s="498"/>
      <c r="DA51" s="498"/>
      <c r="DB51" s="498"/>
      <c r="DC51" s="498"/>
      <c r="DD51" s="498"/>
      <c r="DE51" s="498"/>
      <c r="DF51" s="498"/>
      <c r="DG51" s="498"/>
      <c r="DH51" s="498"/>
      <c r="DI51" s="498"/>
      <c r="DJ51" s="498"/>
      <c r="DK51" s="498"/>
      <c r="DL51" s="498"/>
      <c r="DM51" s="498"/>
      <c r="DN51" s="498"/>
      <c r="DO51" s="498"/>
      <c r="DP51" s="498"/>
      <c r="DQ51" s="498"/>
      <c r="DR51" s="498"/>
      <c r="DS51" s="498"/>
      <c r="DT51" s="498"/>
      <c r="DU51" s="498"/>
      <c r="DV51" s="498"/>
      <c r="DW51" s="498"/>
      <c r="DX51" s="498"/>
      <c r="DY51" s="498"/>
      <c r="DZ51" s="498"/>
      <c r="EA51" s="498"/>
      <c r="EB51" s="498"/>
      <c r="EC51" s="498"/>
      <c r="ED51" s="498"/>
      <c r="EE51" s="498"/>
      <c r="EF51" s="498"/>
      <c r="EG51" s="498"/>
      <c r="EH51" s="498"/>
      <c r="EI51" s="498"/>
      <c r="EJ51" s="498"/>
      <c r="EK51" s="498"/>
      <c r="EL51" s="498"/>
      <c r="EM51" s="498"/>
    </row>
    <row r="52" spans="1:143" s="499" customFormat="1" ht="4.5" customHeight="1" x14ac:dyDescent="0.35">
      <c r="A52" s="496"/>
      <c r="B52" s="1725"/>
      <c r="C52" s="812"/>
      <c r="D52" s="812"/>
      <c r="E52" s="1724"/>
      <c r="F52" s="43"/>
      <c r="G52" s="500"/>
      <c r="H52" s="501"/>
      <c r="I52" s="501"/>
      <c r="J52" s="501"/>
      <c r="K52" s="502"/>
      <c r="L52" s="497"/>
      <c r="M52" s="496"/>
      <c r="N52" s="496"/>
      <c r="O52" s="498"/>
      <c r="P52" s="498"/>
      <c r="Q52" s="498"/>
      <c r="R52" s="498"/>
      <c r="S52" s="498"/>
      <c r="T52" s="498"/>
      <c r="U52" s="498"/>
      <c r="V52" s="498"/>
      <c r="W52" s="498"/>
      <c r="X52" s="498"/>
      <c r="Y52" s="498"/>
      <c r="Z52" s="498"/>
      <c r="AA52" s="498"/>
      <c r="AB52" s="498"/>
      <c r="AC52" s="498"/>
      <c r="AD52" s="498"/>
      <c r="AE52" s="498"/>
      <c r="AF52" s="498"/>
      <c r="AG52" s="498"/>
      <c r="AH52" s="498"/>
      <c r="AI52" s="498"/>
      <c r="AJ52" s="498"/>
      <c r="AK52" s="498"/>
      <c r="AL52" s="498"/>
      <c r="AM52" s="498"/>
      <c r="AN52" s="498"/>
      <c r="AO52" s="498"/>
      <c r="AP52" s="498"/>
      <c r="AQ52" s="498"/>
      <c r="AR52" s="498"/>
      <c r="AS52" s="498"/>
      <c r="AT52" s="498"/>
      <c r="AU52" s="498"/>
      <c r="AV52" s="498"/>
      <c r="AW52" s="498"/>
      <c r="AX52" s="498"/>
      <c r="AY52" s="498"/>
      <c r="AZ52" s="498"/>
      <c r="BA52" s="498"/>
      <c r="BB52" s="498"/>
      <c r="BC52" s="498"/>
      <c r="BD52" s="498"/>
      <c r="BE52" s="498"/>
      <c r="BF52" s="498"/>
      <c r="BG52" s="498"/>
      <c r="BH52" s="498"/>
      <c r="BI52" s="498"/>
      <c r="BJ52" s="498"/>
      <c r="BK52" s="498"/>
      <c r="BL52" s="498"/>
      <c r="BM52" s="498"/>
      <c r="BN52" s="498"/>
      <c r="BO52" s="498"/>
      <c r="BP52" s="498"/>
      <c r="BQ52" s="498"/>
      <c r="BR52" s="498"/>
      <c r="BS52" s="498"/>
      <c r="BT52" s="498"/>
      <c r="BU52" s="498"/>
      <c r="BV52" s="498"/>
      <c r="BW52" s="498"/>
      <c r="BX52" s="498"/>
      <c r="BY52" s="498"/>
      <c r="BZ52" s="498"/>
      <c r="CA52" s="498"/>
      <c r="CB52" s="498"/>
      <c r="CC52" s="498"/>
      <c r="CD52" s="498"/>
      <c r="CE52" s="498"/>
      <c r="CF52" s="498"/>
      <c r="CG52" s="498"/>
      <c r="CH52" s="498"/>
      <c r="CI52" s="498"/>
      <c r="CJ52" s="498"/>
      <c r="CK52" s="498"/>
      <c r="CL52" s="498"/>
      <c r="CM52" s="498"/>
      <c r="CN52" s="498"/>
      <c r="CO52" s="498"/>
      <c r="CP52" s="498"/>
      <c r="CQ52" s="498"/>
      <c r="CR52" s="498"/>
      <c r="CS52" s="498"/>
      <c r="CT52" s="498"/>
      <c r="CU52" s="498"/>
      <c r="CV52" s="498"/>
      <c r="CW52" s="498"/>
      <c r="CX52" s="498"/>
      <c r="CY52" s="498"/>
      <c r="CZ52" s="498"/>
      <c r="DA52" s="498"/>
      <c r="DB52" s="498"/>
      <c r="DC52" s="498"/>
      <c r="DD52" s="498"/>
      <c r="DE52" s="498"/>
      <c r="DF52" s="498"/>
      <c r="DG52" s="498"/>
      <c r="DH52" s="498"/>
      <c r="DI52" s="498"/>
      <c r="DJ52" s="498"/>
      <c r="DK52" s="498"/>
      <c r="DL52" s="498"/>
      <c r="DM52" s="498"/>
      <c r="DN52" s="498"/>
      <c r="DO52" s="498"/>
      <c r="DP52" s="498"/>
      <c r="DQ52" s="498"/>
      <c r="DR52" s="498"/>
      <c r="DS52" s="498"/>
      <c r="DT52" s="498"/>
      <c r="DU52" s="498"/>
      <c r="DV52" s="498"/>
      <c r="DW52" s="498"/>
      <c r="DX52" s="498"/>
      <c r="DY52" s="498"/>
      <c r="DZ52" s="498"/>
      <c r="EA52" s="498"/>
      <c r="EB52" s="498"/>
      <c r="EC52" s="498"/>
      <c r="ED52" s="498"/>
      <c r="EE52" s="498"/>
      <c r="EF52" s="498"/>
      <c r="EG52" s="498"/>
      <c r="EH52" s="498"/>
      <c r="EI52" s="498"/>
      <c r="EJ52" s="498"/>
      <c r="EK52" s="498"/>
      <c r="EL52" s="498"/>
      <c r="EM52" s="498"/>
    </row>
    <row r="53" spans="1:143" s="499" customFormat="1" ht="23.25" customHeight="1" thickBot="1" x14ac:dyDescent="0.4">
      <c r="A53" s="496"/>
      <c r="B53" s="1726"/>
      <c r="C53" s="1727"/>
      <c r="D53" s="1727"/>
      <c r="E53" s="1728"/>
      <c r="F53" s="43"/>
      <c r="G53" s="1729" t="s">
        <v>897</v>
      </c>
      <c r="H53" s="1730"/>
      <c r="I53" s="1731"/>
      <c r="J53" s="1732"/>
      <c r="K53" s="1733"/>
      <c r="L53" s="1734"/>
      <c r="M53" s="496"/>
      <c r="N53" s="496"/>
      <c r="O53" s="498"/>
      <c r="P53" s="498"/>
      <c r="Q53" s="498"/>
      <c r="R53" s="498"/>
      <c r="S53" s="498"/>
      <c r="T53" s="498"/>
      <c r="U53" s="498"/>
      <c r="V53" s="498"/>
      <c r="W53" s="498"/>
      <c r="X53" s="498"/>
      <c r="Y53" s="498"/>
      <c r="Z53" s="498"/>
      <c r="AA53" s="498"/>
      <c r="AB53" s="498"/>
      <c r="AC53" s="498"/>
      <c r="AD53" s="498"/>
      <c r="AE53" s="498"/>
      <c r="AF53" s="498"/>
      <c r="AG53" s="498"/>
      <c r="AH53" s="498"/>
      <c r="AI53" s="498"/>
      <c r="AJ53" s="498"/>
      <c r="AK53" s="498"/>
      <c r="AL53" s="498"/>
      <c r="AM53" s="498"/>
      <c r="AN53" s="498"/>
      <c r="AO53" s="498"/>
      <c r="AP53" s="498"/>
      <c r="AQ53" s="498"/>
      <c r="AR53" s="498"/>
      <c r="AS53" s="498"/>
      <c r="AT53" s="498"/>
      <c r="AU53" s="498"/>
      <c r="AV53" s="498"/>
      <c r="AW53" s="498"/>
      <c r="AX53" s="498"/>
      <c r="AY53" s="498"/>
      <c r="AZ53" s="498"/>
      <c r="BA53" s="498"/>
      <c r="BB53" s="498"/>
      <c r="BC53" s="498"/>
      <c r="BD53" s="498"/>
      <c r="BE53" s="498"/>
      <c r="BF53" s="498"/>
      <c r="BG53" s="498"/>
      <c r="BH53" s="498"/>
      <c r="BI53" s="498"/>
      <c r="BJ53" s="498"/>
      <c r="BK53" s="498"/>
      <c r="BL53" s="498"/>
      <c r="BM53" s="498"/>
      <c r="BN53" s="498"/>
      <c r="BO53" s="498"/>
      <c r="BP53" s="498"/>
      <c r="BQ53" s="498"/>
      <c r="BR53" s="498"/>
      <c r="BS53" s="498"/>
      <c r="BT53" s="498"/>
      <c r="BU53" s="498"/>
      <c r="BV53" s="498"/>
      <c r="BW53" s="498"/>
      <c r="BX53" s="498"/>
      <c r="BY53" s="498"/>
      <c r="BZ53" s="498"/>
      <c r="CA53" s="498"/>
      <c r="CB53" s="498"/>
      <c r="CC53" s="498"/>
      <c r="CD53" s="498"/>
      <c r="CE53" s="498"/>
      <c r="CF53" s="498"/>
      <c r="CG53" s="498"/>
      <c r="CH53" s="498"/>
      <c r="CI53" s="498"/>
      <c r="CJ53" s="498"/>
      <c r="CK53" s="498"/>
      <c r="CL53" s="498"/>
      <c r="CM53" s="498"/>
      <c r="CN53" s="498"/>
      <c r="CO53" s="498"/>
      <c r="CP53" s="498"/>
      <c r="CQ53" s="498"/>
      <c r="CR53" s="498"/>
      <c r="CS53" s="498"/>
      <c r="CT53" s="498"/>
      <c r="CU53" s="498"/>
      <c r="CV53" s="498"/>
      <c r="CW53" s="498"/>
      <c r="CX53" s="498"/>
      <c r="CY53" s="498"/>
      <c r="CZ53" s="498"/>
      <c r="DA53" s="498"/>
      <c r="DB53" s="498"/>
      <c r="DC53" s="498"/>
      <c r="DD53" s="498"/>
      <c r="DE53" s="498"/>
      <c r="DF53" s="498"/>
      <c r="DG53" s="498"/>
      <c r="DH53" s="498"/>
      <c r="DI53" s="498"/>
      <c r="DJ53" s="498"/>
      <c r="DK53" s="498"/>
      <c r="DL53" s="498"/>
      <c r="DM53" s="498"/>
      <c r="DN53" s="498"/>
      <c r="DO53" s="498"/>
      <c r="DP53" s="498"/>
      <c r="DQ53" s="498"/>
      <c r="DR53" s="498"/>
      <c r="DS53" s="498"/>
      <c r="DT53" s="498"/>
      <c r="DU53" s="498"/>
      <c r="DV53" s="498"/>
      <c r="DW53" s="498"/>
      <c r="DX53" s="498"/>
      <c r="DY53" s="498"/>
      <c r="DZ53" s="498"/>
      <c r="EA53" s="498"/>
      <c r="EB53" s="498"/>
      <c r="EC53" s="498"/>
      <c r="ED53" s="498"/>
      <c r="EE53" s="498"/>
      <c r="EF53" s="498"/>
      <c r="EG53" s="498"/>
      <c r="EH53" s="498"/>
      <c r="EI53" s="498"/>
      <c r="EJ53" s="498"/>
      <c r="EK53" s="498"/>
      <c r="EL53" s="498"/>
      <c r="EM53" s="498"/>
    </row>
    <row r="54" spans="1:143" ht="6" customHeight="1" x14ac:dyDescent="0.35"/>
    <row r="55" spans="1:143" ht="25.5" customHeight="1" x14ac:dyDescent="0.35">
      <c r="B55" s="503"/>
      <c r="C55" s="503"/>
      <c r="D55" s="51"/>
      <c r="E55" s="51"/>
      <c r="F55" s="503"/>
      <c r="G55" s="503"/>
      <c r="H55" s="503"/>
      <c r="I55" s="51"/>
      <c r="K55" s="504"/>
      <c r="L55" s="56"/>
      <c r="M55" s="56"/>
    </row>
    <row r="56" spans="1:143" ht="54.75" customHeight="1" x14ac:dyDescent="0.35">
      <c r="B56" s="1608" t="s">
        <v>898</v>
      </c>
      <c r="C56" s="1609"/>
      <c r="D56" s="1609"/>
      <c r="E56" s="1609"/>
      <c r="F56" s="1609"/>
      <c r="G56" s="1609"/>
      <c r="H56" s="1609"/>
      <c r="I56" s="1609"/>
      <c r="J56" s="1609"/>
      <c r="K56" s="1609"/>
      <c r="L56" s="1609"/>
      <c r="M56" s="1609"/>
    </row>
    <row r="57" spans="1:143" ht="16" thickBot="1" x14ac:dyDescent="0.4">
      <c r="B57" s="503"/>
      <c r="C57" s="503"/>
      <c r="D57" s="51"/>
      <c r="E57" s="51"/>
      <c r="F57" s="503"/>
      <c r="G57" s="503"/>
      <c r="H57" s="503"/>
      <c r="I57" s="51"/>
      <c r="K57" s="504"/>
      <c r="L57" s="56"/>
      <c r="M57" s="56"/>
    </row>
    <row r="58" spans="1:143" ht="15" customHeight="1" x14ac:dyDescent="0.35">
      <c r="B58" s="1716" t="s">
        <v>899</v>
      </c>
      <c r="C58" s="1717"/>
      <c r="D58" s="1718"/>
      <c r="E58" s="51"/>
      <c r="F58" s="1716" t="s">
        <v>900</v>
      </c>
      <c r="G58" s="1717"/>
      <c r="H58" s="1718"/>
      <c r="I58" s="51"/>
      <c r="J58" s="1656" t="s">
        <v>901</v>
      </c>
      <c r="K58" s="884"/>
      <c r="L58" s="1657"/>
      <c r="M58" s="56"/>
    </row>
    <row r="59" spans="1:143" ht="15" customHeight="1" x14ac:dyDescent="0.35">
      <c r="B59" s="1710" t="s">
        <v>902</v>
      </c>
      <c r="C59" s="1711"/>
      <c r="D59" s="600"/>
      <c r="E59" s="505"/>
      <c r="F59" s="1710" t="s">
        <v>903</v>
      </c>
      <c r="G59" s="1711"/>
      <c r="H59" s="600"/>
      <c r="J59" s="1710" t="s">
        <v>904</v>
      </c>
      <c r="K59" s="1711"/>
      <c r="L59" s="600" t="s">
        <v>178</v>
      </c>
    </row>
    <row r="60" spans="1:143" ht="15" customHeight="1" x14ac:dyDescent="0.35">
      <c r="B60" s="1710" t="s">
        <v>905</v>
      </c>
      <c r="C60" s="1711"/>
      <c r="D60" s="600" t="s">
        <v>178</v>
      </c>
      <c r="E60" s="505"/>
      <c r="F60" s="1710" t="s">
        <v>906</v>
      </c>
      <c r="G60" s="1711"/>
      <c r="H60" s="600" t="s">
        <v>178</v>
      </c>
      <c r="J60" s="1710" t="s">
        <v>907</v>
      </c>
      <c r="K60" s="1711"/>
      <c r="L60" s="600"/>
    </row>
    <row r="61" spans="1:143" ht="15" customHeight="1" x14ac:dyDescent="0.35">
      <c r="B61" s="1710" t="s">
        <v>908</v>
      </c>
      <c r="C61" s="1711"/>
      <c r="D61" s="600" t="s">
        <v>178</v>
      </c>
      <c r="E61" s="505"/>
      <c r="F61" s="1710" t="s">
        <v>909</v>
      </c>
      <c r="G61" s="1711"/>
      <c r="H61" s="600" t="s">
        <v>178</v>
      </c>
      <c r="J61" s="1710" t="s">
        <v>910</v>
      </c>
      <c r="K61" s="1711"/>
      <c r="L61" s="600" t="s">
        <v>178</v>
      </c>
    </row>
    <row r="62" spans="1:143" ht="15" customHeight="1" x14ac:dyDescent="0.35">
      <c r="B62" s="1710" t="s">
        <v>911</v>
      </c>
      <c r="C62" s="1711"/>
      <c r="D62" s="600"/>
      <c r="E62" s="505"/>
      <c r="F62" s="1710" t="s">
        <v>912</v>
      </c>
      <c r="G62" s="1711"/>
      <c r="H62" s="600" t="s">
        <v>178</v>
      </c>
      <c r="J62" s="1710" t="s">
        <v>913</v>
      </c>
      <c r="K62" s="1711"/>
      <c r="L62" s="600" t="s">
        <v>178</v>
      </c>
    </row>
    <row r="63" spans="1:143" ht="15" customHeight="1" x14ac:dyDescent="0.35">
      <c r="B63" s="1710" t="s">
        <v>914</v>
      </c>
      <c r="C63" s="1711"/>
      <c r="D63" s="600"/>
      <c r="E63" s="505"/>
      <c r="F63" s="1710" t="s">
        <v>915</v>
      </c>
      <c r="G63" s="1711"/>
      <c r="H63" s="600" t="s">
        <v>178</v>
      </c>
      <c r="J63" s="1710" t="s">
        <v>916</v>
      </c>
      <c r="K63" s="1711"/>
      <c r="L63" s="600"/>
    </row>
    <row r="64" spans="1:143" ht="15" customHeight="1" x14ac:dyDescent="0.35">
      <c r="B64" s="1710" t="s">
        <v>917</v>
      </c>
      <c r="C64" s="1711"/>
      <c r="D64" s="600"/>
      <c r="E64" s="505"/>
      <c r="F64" s="1710" t="s">
        <v>918</v>
      </c>
      <c r="G64" s="1711"/>
      <c r="H64" s="600" t="s">
        <v>178</v>
      </c>
      <c r="J64" s="1708"/>
      <c r="K64" s="1709"/>
      <c r="L64" s="600"/>
    </row>
    <row r="65" spans="2:13" ht="15" customHeight="1" x14ac:dyDescent="0.35">
      <c r="B65" s="1708"/>
      <c r="C65" s="1709"/>
      <c r="D65" s="600"/>
      <c r="E65" s="505"/>
      <c r="F65" s="1710" t="s">
        <v>919</v>
      </c>
      <c r="G65" s="1711"/>
      <c r="H65" s="600" t="s">
        <v>178</v>
      </c>
      <c r="J65" s="1708"/>
      <c r="K65" s="1709"/>
      <c r="L65" s="600"/>
    </row>
    <row r="66" spans="2:13" ht="15" customHeight="1" x14ac:dyDescent="0.35">
      <c r="B66" s="1708"/>
      <c r="C66" s="1709"/>
      <c r="D66" s="600"/>
      <c r="E66" s="505"/>
      <c r="F66" s="1710" t="s">
        <v>920</v>
      </c>
      <c r="G66" s="1711"/>
      <c r="H66" s="600" t="s">
        <v>178</v>
      </c>
      <c r="J66" s="1708"/>
      <c r="K66" s="1709"/>
      <c r="L66" s="600"/>
    </row>
    <row r="67" spans="2:13" ht="15" customHeight="1" thickBot="1" x14ac:dyDescent="0.4">
      <c r="B67" s="1712"/>
      <c r="C67" s="1713"/>
      <c r="D67" s="601"/>
      <c r="E67" s="505"/>
      <c r="F67" s="1714" t="s">
        <v>921</v>
      </c>
      <c r="G67" s="1715"/>
      <c r="H67" s="601"/>
      <c r="J67" s="1712"/>
      <c r="K67" s="1713"/>
      <c r="L67" s="601"/>
    </row>
    <row r="68" spans="2:13" ht="15" customHeight="1" x14ac:dyDescent="0.35">
      <c r="B68" s="506"/>
      <c r="C68" s="506"/>
      <c r="D68" s="505"/>
      <c r="E68" s="505"/>
      <c r="F68" s="506"/>
      <c r="G68" s="506"/>
      <c r="J68" s="506"/>
      <c r="K68" s="506"/>
    </row>
    <row r="69" spans="2:13" ht="15" customHeight="1" thickBot="1" x14ac:dyDescent="0.4">
      <c r="B69" s="1698" t="s">
        <v>922</v>
      </c>
      <c r="C69" s="1699"/>
      <c r="D69" s="1699"/>
      <c r="E69" s="1699"/>
      <c r="F69" s="1699"/>
      <c r="G69" s="1699"/>
      <c r="H69" s="1699"/>
      <c r="I69" s="1699"/>
      <c r="J69" s="1699"/>
      <c r="K69" s="1699"/>
      <c r="L69" s="1700"/>
    </row>
    <row r="70" spans="2:13" ht="54" customHeight="1" thickBot="1" x14ac:dyDescent="0.4">
      <c r="B70" s="1701" t="s">
        <v>545</v>
      </c>
      <c r="C70" s="1702"/>
      <c r="D70" s="1702"/>
      <c r="E70" s="1702"/>
      <c r="F70" s="1702"/>
      <c r="G70" s="1702"/>
      <c r="H70" s="1702"/>
      <c r="I70" s="1702"/>
      <c r="J70" s="1702"/>
      <c r="K70" s="1702"/>
      <c r="L70" s="1703"/>
    </row>
    <row r="72" spans="2:13" ht="60.75" customHeight="1" x14ac:dyDescent="0.35">
      <c r="B72" s="1704" t="s">
        <v>923</v>
      </c>
      <c r="C72" s="1705"/>
      <c r="D72" s="1705"/>
      <c r="E72" s="1705"/>
      <c r="F72" s="1705"/>
      <c r="G72" s="1705"/>
      <c r="H72" s="1705"/>
      <c r="I72" s="1705"/>
      <c r="J72" s="1705"/>
      <c r="K72" s="1705"/>
      <c r="L72" s="1705"/>
      <c r="M72" s="1705"/>
    </row>
    <row r="73" spans="2:13" ht="16" thickBot="1" x14ac:dyDescent="0.4">
      <c r="B73" s="492"/>
      <c r="C73" s="492"/>
      <c r="D73" s="492"/>
      <c r="E73" s="492"/>
      <c r="F73" s="492"/>
      <c r="G73" s="492"/>
      <c r="H73" s="492"/>
      <c r="I73" s="492"/>
      <c r="J73" s="492"/>
      <c r="K73" s="492"/>
      <c r="L73" s="492"/>
      <c r="M73" s="492"/>
    </row>
    <row r="74" spans="2:13" ht="24" customHeight="1" x14ac:dyDescent="0.35">
      <c r="B74" s="507" t="s">
        <v>924</v>
      </c>
      <c r="C74" s="1706" t="s">
        <v>545</v>
      </c>
      <c r="D74" s="1706"/>
      <c r="E74" s="1706"/>
      <c r="F74" s="1706"/>
      <c r="G74" s="1706"/>
      <c r="H74" s="1706"/>
      <c r="I74" s="1706"/>
      <c r="J74" s="1706"/>
      <c r="K74" s="1706"/>
      <c r="L74" s="1707"/>
    </row>
    <row r="75" spans="2:13" ht="6.75" customHeight="1" x14ac:dyDescent="0.35">
      <c r="B75" s="508"/>
      <c r="C75" s="1685"/>
      <c r="D75" s="1685"/>
      <c r="E75" s="1685"/>
      <c r="F75" s="1685"/>
      <c r="G75" s="1685"/>
      <c r="H75" s="1685"/>
      <c r="I75" s="1685"/>
      <c r="J75" s="1685"/>
      <c r="K75" s="1685"/>
      <c r="L75" s="1686"/>
    </row>
    <row r="76" spans="2:13" ht="24" customHeight="1" x14ac:dyDescent="0.35">
      <c r="B76" s="508" t="s">
        <v>925</v>
      </c>
      <c r="C76" s="1695" t="s">
        <v>545</v>
      </c>
      <c r="D76" s="1696"/>
      <c r="E76" s="1696"/>
      <c r="F76" s="1696"/>
      <c r="G76" s="1696"/>
      <c r="H76" s="1696"/>
      <c r="I76" s="1696"/>
      <c r="J76" s="1696"/>
      <c r="K76" s="1696"/>
      <c r="L76" s="1697"/>
    </row>
    <row r="77" spans="2:13" ht="6.75" customHeight="1" x14ac:dyDescent="0.35">
      <c r="B77" s="508"/>
      <c r="C77" s="1685"/>
      <c r="D77" s="1685"/>
      <c r="E77" s="1685"/>
      <c r="F77" s="1685"/>
      <c r="G77" s="1685"/>
      <c r="H77" s="1685"/>
      <c r="I77" s="1685"/>
      <c r="J77" s="1685"/>
      <c r="K77" s="1685"/>
      <c r="L77" s="1686"/>
    </row>
    <row r="78" spans="2:13" ht="24" customHeight="1" x14ac:dyDescent="0.35">
      <c r="B78" s="508" t="s">
        <v>926</v>
      </c>
      <c r="C78" s="1695" t="s">
        <v>545</v>
      </c>
      <c r="D78" s="1696"/>
      <c r="E78" s="1696"/>
      <c r="F78" s="1696"/>
      <c r="G78" s="1696"/>
      <c r="H78" s="1696"/>
      <c r="I78" s="1696"/>
      <c r="J78" s="1696"/>
      <c r="K78" s="1696"/>
      <c r="L78" s="1697"/>
    </row>
    <row r="79" spans="2:13" ht="6" customHeight="1" x14ac:dyDescent="0.35">
      <c r="B79" s="508"/>
      <c r="C79" s="1685"/>
      <c r="D79" s="1685"/>
      <c r="E79" s="1685"/>
      <c r="F79" s="1685"/>
      <c r="G79" s="1685"/>
      <c r="H79" s="1685"/>
      <c r="I79" s="1685"/>
      <c r="J79" s="1685"/>
      <c r="K79" s="1685"/>
      <c r="L79" s="1686"/>
    </row>
    <row r="80" spans="2:13" ht="24" customHeight="1" x14ac:dyDescent="0.35">
      <c r="B80" s="508" t="s">
        <v>927</v>
      </c>
      <c r="C80" s="1695" t="s">
        <v>545</v>
      </c>
      <c r="D80" s="1696"/>
      <c r="E80" s="1696"/>
      <c r="F80" s="1696"/>
      <c r="G80" s="1696"/>
      <c r="H80" s="1696"/>
      <c r="I80" s="1696"/>
      <c r="J80" s="1696"/>
      <c r="K80" s="1696"/>
      <c r="L80" s="1697"/>
    </row>
    <row r="81" spans="2:13" ht="6" customHeight="1" x14ac:dyDescent="0.35">
      <c r="B81" s="508"/>
      <c r="C81" s="1685"/>
      <c r="D81" s="1685"/>
      <c r="E81" s="1685"/>
      <c r="F81" s="1685"/>
      <c r="G81" s="1685"/>
      <c r="H81" s="1685"/>
      <c r="I81" s="1685"/>
      <c r="J81" s="1685"/>
      <c r="K81" s="1685"/>
      <c r="L81" s="1686"/>
    </row>
    <row r="82" spans="2:13" ht="24" customHeight="1" x14ac:dyDescent="0.35">
      <c r="B82" s="508" t="s">
        <v>928</v>
      </c>
      <c r="C82" s="1695" t="s">
        <v>545</v>
      </c>
      <c r="D82" s="1696"/>
      <c r="E82" s="1696"/>
      <c r="F82" s="1696"/>
      <c r="G82" s="1696"/>
      <c r="H82" s="1696"/>
      <c r="I82" s="1696"/>
      <c r="J82" s="1696"/>
      <c r="K82" s="1696"/>
      <c r="L82" s="1697"/>
    </row>
    <row r="83" spans="2:13" ht="6.75" customHeight="1" x14ac:dyDescent="0.35">
      <c r="B83" s="508"/>
      <c r="C83" s="1685"/>
      <c r="D83" s="1685"/>
      <c r="E83" s="1685"/>
      <c r="F83" s="1685"/>
      <c r="G83" s="1685"/>
      <c r="H83" s="1685"/>
      <c r="I83" s="1685"/>
      <c r="J83" s="1685"/>
      <c r="K83" s="1685"/>
      <c r="L83" s="1686"/>
    </row>
    <row r="84" spans="2:13" ht="24.75" customHeight="1" thickBot="1" x14ac:dyDescent="0.4">
      <c r="B84" s="510" t="s">
        <v>929</v>
      </c>
      <c r="C84" s="1687" t="s">
        <v>545</v>
      </c>
      <c r="D84" s="1688"/>
      <c r="E84" s="1688"/>
      <c r="F84" s="1688"/>
      <c r="G84" s="1688"/>
      <c r="H84" s="1688"/>
      <c r="I84" s="1688"/>
      <c r="J84" s="1688"/>
      <c r="K84" s="1688"/>
      <c r="L84" s="1689"/>
    </row>
    <row r="86" spans="2:13" ht="55.5" customHeight="1" x14ac:dyDescent="0.35">
      <c r="B86" s="1690" t="s">
        <v>930</v>
      </c>
      <c r="C86" s="1691"/>
      <c r="D86" s="1691"/>
      <c r="E86" s="1691"/>
      <c r="F86" s="1691"/>
      <c r="G86" s="1691"/>
      <c r="H86" s="1691"/>
      <c r="I86" s="1691"/>
      <c r="J86" s="1691"/>
      <c r="K86" s="1691"/>
      <c r="L86" s="1691"/>
      <c r="M86" s="1691"/>
    </row>
    <row r="87" spans="2:13" ht="16" thickBot="1" x14ac:dyDescent="0.4">
      <c r="B87" s="492"/>
      <c r="C87" s="492"/>
      <c r="D87" s="492"/>
      <c r="E87" s="492"/>
      <c r="F87" s="492"/>
      <c r="G87" s="492"/>
      <c r="H87" s="492"/>
      <c r="I87" s="492"/>
      <c r="J87" s="492"/>
      <c r="K87" s="492"/>
      <c r="L87" s="492"/>
      <c r="M87" s="492"/>
    </row>
    <row r="88" spans="2:13" ht="16" thickBot="1" x14ac:dyDescent="0.4">
      <c r="B88" s="1692" t="s">
        <v>931</v>
      </c>
      <c r="C88" s="1693"/>
      <c r="D88" s="1693"/>
      <c r="E88" s="1693"/>
      <c r="F88" s="1693"/>
      <c r="G88" s="1693" t="s">
        <v>932</v>
      </c>
      <c r="H88" s="1693"/>
      <c r="I88" s="1693"/>
      <c r="J88" s="1693"/>
      <c r="K88" s="1693"/>
      <c r="L88" s="1694"/>
    </row>
    <row r="89" spans="2:13" ht="39.5" customHeight="1" x14ac:dyDescent="0.35">
      <c r="B89" s="1681" t="s">
        <v>970</v>
      </c>
      <c r="C89" s="1682"/>
      <c r="D89" s="1682"/>
      <c r="E89" s="1682"/>
      <c r="F89" s="1682"/>
      <c r="G89" s="1683" t="s">
        <v>971</v>
      </c>
      <c r="H89" s="1683"/>
      <c r="I89" s="1683"/>
      <c r="J89" s="1683"/>
      <c r="K89" s="1683"/>
      <c r="L89" s="1684"/>
    </row>
    <row r="90" spans="2:13" ht="39.5" customHeight="1" x14ac:dyDescent="0.35">
      <c r="B90" s="1681" t="s">
        <v>974</v>
      </c>
      <c r="C90" s="1682"/>
      <c r="D90" s="1682"/>
      <c r="E90" s="1682"/>
      <c r="F90" s="1682"/>
      <c r="G90" s="1683" t="s">
        <v>973</v>
      </c>
      <c r="H90" s="1683"/>
      <c r="I90" s="1683"/>
      <c r="J90" s="1683"/>
      <c r="K90" s="1683"/>
      <c r="L90" s="1684"/>
    </row>
    <row r="91" spans="2:13" ht="39.5" customHeight="1" x14ac:dyDescent="0.35">
      <c r="B91" s="1681" t="s">
        <v>972</v>
      </c>
      <c r="C91" s="1682"/>
      <c r="D91" s="1682"/>
      <c r="E91" s="1682"/>
      <c r="F91" s="1682"/>
      <c r="G91" s="1683" t="s">
        <v>975</v>
      </c>
      <c r="H91" s="1683"/>
      <c r="I91" s="1683"/>
      <c r="J91" s="1683"/>
      <c r="K91" s="1683"/>
      <c r="L91" s="1684"/>
    </row>
    <row r="92" spans="2:13" ht="39.5" customHeight="1" x14ac:dyDescent="0.35">
      <c r="B92" s="1681" t="s">
        <v>976</v>
      </c>
      <c r="C92" s="1682"/>
      <c r="D92" s="1682"/>
      <c r="E92" s="1682"/>
      <c r="F92" s="1682"/>
      <c r="G92" s="1683" t="s">
        <v>977</v>
      </c>
      <c r="H92" s="1683"/>
      <c r="I92" s="1683"/>
      <c r="J92" s="1683"/>
      <c r="K92" s="1683"/>
      <c r="L92" s="1684"/>
    </row>
    <row r="93" spans="2:13" ht="39.5" customHeight="1" x14ac:dyDescent="0.35">
      <c r="B93" s="1681" t="s">
        <v>978</v>
      </c>
      <c r="C93" s="1682"/>
      <c r="D93" s="1682"/>
      <c r="E93" s="1682"/>
      <c r="F93" s="1682"/>
      <c r="G93" s="1683" t="s">
        <v>979</v>
      </c>
      <c r="H93" s="1683"/>
      <c r="I93" s="1683"/>
      <c r="J93" s="1683"/>
      <c r="K93" s="1683"/>
      <c r="L93" s="1684"/>
    </row>
    <row r="94" spans="2:13" ht="39.5" customHeight="1" x14ac:dyDescent="0.35">
      <c r="B94" s="1681" t="s">
        <v>980</v>
      </c>
      <c r="C94" s="1682"/>
      <c r="D94" s="1682"/>
      <c r="E94" s="1682"/>
      <c r="F94" s="1682"/>
      <c r="G94" s="1683" t="s">
        <v>981</v>
      </c>
      <c r="H94" s="1683"/>
      <c r="I94" s="1683"/>
      <c r="J94" s="1683"/>
      <c r="K94" s="1683"/>
      <c r="L94" s="1684"/>
    </row>
    <row r="95" spans="2:13" ht="39.5" customHeight="1" x14ac:dyDescent="0.35">
      <c r="B95" s="1681" t="s">
        <v>982</v>
      </c>
      <c r="C95" s="1682"/>
      <c r="D95" s="1682"/>
      <c r="E95" s="1682"/>
      <c r="F95" s="1682"/>
      <c r="G95" s="1683" t="s">
        <v>983</v>
      </c>
      <c r="H95" s="1683"/>
      <c r="I95" s="1683"/>
      <c r="J95" s="1683"/>
      <c r="K95" s="1683"/>
      <c r="L95" s="1684"/>
    </row>
    <row r="96" spans="2:13" ht="39.5" customHeight="1" x14ac:dyDescent="0.35">
      <c r="B96" s="1681" t="s">
        <v>984</v>
      </c>
      <c r="C96" s="1682"/>
      <c r="D96" s="1682"/>
      <c r="E96" s="1682"/>
      <c r="F96" s="1682"/>
      <c r="G96" s="1683" t="s">
        <v>985</v>
      </c>
      <c r="H96" s="1683"/>
      <c r="I96" s="1683"/>
      <c r="J96" s="1683"/>
      <c r="K96" s="1683"/>
      <c r="L96" s="1684"/>
    </row>
    <row r="97" spans="1:13" ht="39.5" customHeight="1" x14ac:dyDescent="0.35">
      <c r="B97" s="1681" t="s">
        <v>986</v>
      </c>
      <c r="C97" s="1682"/>
      <c r="D97" s="1682"/>
      <c r="E97" s="1682"/>
      <c r="F97" s="1682"/>
      <c r="G97" s="1683" t="s">
        <v>987</v>
      </c>
      <c r="H97" s="1683"/>
      <c r="I97" s="1683"/>
      <c r="J97" s="1683"/>
      <c r="K97" s="1683"/>
      <c r="L97" s="1684"/>
    </row>
    <row r="98" spans="1:13" ht="39.5" customHeight="1" x14ac:dyDescent="0.35">
      <c r="B98" s="1681" t="s">
        <v>988</v>
      </c>
      <c r="C98" s="1682"/>
      <c r="D98" s="1682"/>
      <c r="E98" s="1682"/>
      <c r="F98" s="1682"/>
      <c r="G98" s="1683" t="s">
        <v>989</v>
      </c>
      <c r="H98" s="1683"/>
      <c r="I98" s="1683"/>
      <c r="J98" s="1683"/>
      <c r="K98" s="1683"/>
      <c r="L98" s="1684"/>
    </row>
    <row r="99" spans="1:13" ht="24.75" customHeight="1" x14ac:dyDescent="0.35"/>
    <row r="100" spans="1:13" ht="26" x14ac:dyDescent="0.6">
      <c r="B100" s="1607" t="s">
        <v>933</v>
      </c>
      <c r="C100" s="1607"/>
      <c r="D100" s="1607"/>
      <c r="E100" s="1607"/>
      <c r="F100" s="1607"/>
      <c r="G100" s="1607"/>
      <c r="H100" s="1607"/>
      <c r="I100" s="1607"/>
      <c r="J100" s="1607"/>
      <c r="K100" s="1607"/>
      <c r="L100" s="1607"/>
      <c r="M100" s="1607"/>
    </row>
    <row r="102" spans="1:13" ht="53.25" customHeight="1" x14ac:dyDescent="0.35">
      <c r="B102" s="1671" t="s">
        <v>934</v>
      </c>
      <c r="C102" s="1672"/>
      <c r="D102" s="1672"/>
      <c r="E102" s="1672"/>
      <c r="F102" s="1672"/>
      <c r="G102" s="1672"/>
      <c r="H102" s="1672"/>
      <c r="I102" s="1672"/>
      <c r="J102" s="1672"/>
      <c r="K102" s="1672"/>
      <c r="L102" s="1672"/>
      <c r="M102" s="1672"/>
    </row>
    <row r="103" spans="1:13" ht="15.75" customHeight="1" thickBot="1" x14ac:dyDescent="0.4">
      <c r="A103" s="511"/>
      <c r="B103" s="512"/>
      <c r="C103" s="512"/>
      <c r="D103" s="512"/>
      <c r="E103" s="512"/>
      <c r="F103" s="512"/>
      <c r="G103" s="512"/>
      <c r="H103" s="512"/>
      <c r="I103" s="512"/>
      <c r="J103" s="512"/>
      <c r="K103" s="512"/>
      <c r="L103" s="512"/>
      <c r="M103" s="512"/>
    </row>
    <row r="104" spans="1:13" ht="15.75" customHeight="1" x14ac:dyDescent="0.35">
      <c r="A104" s="511"/>
      <c r="B104" s="1673" t="s">
        <v>935</v>
      </c>
      <c r="C104" s="1674"/>
      <c r="D104" s="1674"/>
      <c r="E104" s="1675" t="s">
        <v>991</v>
      </c>
      <c r="F104" s="1675"/>
      <c r="G104" s="1675"/>
      <c r="H104" s="1675"/>
      <c r="I104" s="1675"/>
      <c r="J104" s="1675"/>
      <c r="K104" s="1675"/>
      <c r="L104" s="1675"/>
      <c r="M104" s="1676"/>
    </row>
    <row r="105" spans="1:13" ht="15.75" customHeight="1" x14ac:dyDescent="0.35">
      <c r="A105" s="511"/>
      <c r="B105" s="1677" t="s">
        <v>936</v>
      </c>
      <c r="C105" s="1678"/>
      <c r="D105" s="1678"/>
      <c r="E105" s="1679" t="s">
        <v>990</v>
      </c>
      <c r="F105" s="1679"/>
      <c r="G105" s="1679"/>
      <c r="H105" s="1679"/>
      <c r="I105" s="1679"/>
      <c r="J105" s="1679"/>
      <c r="K105" s="1679"/>
      <c r="L105" s="1679"/>
      <c r="M105" s="1680"/>
    </row>
    <row r="106" spans="1:13" ht="15.75" customHeight="1" thickBot="1" x14ac:dyDescent="0.4">
      <c r="A106" s="511"/>
      <c r="B106" s="1658" t="s">
        <v>937</v>
      </c>
      <c r="C106" s="1659"/>
      <c r="D106" s="1659"/>
      <c r="E106" s="1660" t="s">
        <v>545</v>
      </c>
      <c r="F106" s="1660"/>
      <c r="G106" s="1660"/>
      <c r="H106" s="1660"/>
      <c r="I106" s="1660"/>
      <c r="J106" s="1660"/>
      <c r="K106" s="1660"/>
      <c r="L106" s="1660"/>
      <c r="M106" s="1661"/>
    </row>
    <row r="107" spans="1:13" ht="15.75" customHeight="1" x14ac:dyDescent="0.35">
      <c r="A107" s="511"/>
      <c r="B107" s="1662"/>
      <c r="C107" s="1663"/>
      <c r="D107" s="1663"/>
      <c r="E107" s="1663"/>
      <c r="F107" s="1663"/>
      <c r="G107" s="1663"/>
      <c r="H107" s="1663"/>
      <c r="I107" s="1663"/>
      <c r="J107" s="1663"/>
      <c r="K107" s="1663"/>
      <c r="L107" s="1663"/>
      <c r="M107" s="1664"/>
    </row>
    <row r="108" spans="1:13" ht="15.75" customHeight="1" x14ac:dyDescent="0.35">
      <c r="A108" s="511"/>
      <c r="B108" s="1665"/>
      <c r="C108" s="1666"/>
      <c r="D108" s="1666"/>
      <c r="E108" s="1666"/>
      <c r="F108" s="1666"/>
      <c r="G108" s="1666"/>
      <c r="H108" s="1666"/>
      <c r="I108" s="1666"/>
      <c r="J108" s="1666"/>
      <c r="K108" s="1666"/>
      <c r="L108" s="1666"/>
      <c r="M108" s="1667"/>
    </row>
    <row r="109" spans="1:13" ht="15.75" customHeight="1" x14ac:dyDescent="0.35">
      <c r="A109" s="511"/>
      <c r="B109" s="1665"/>
      <c r="C109" s="1666"/>
      <c r="D109" s="1666"/>
      <c r="E109" s="1666"/>
      <c r="F109" s="1666"/>
      <c r="G109" s="1666"/>
      <c r="H109" s="1666"/>
      <c r="I109" s="1666"/>
      <c r="J109" s="1666"/>
      <c r="K109" s="1666"/>
      <c r="L109" s="1666"/>
      <c r="M109" s="1667"/>
    </row>
    <row r="110" spans="1:13" ht="15.75" customHeight="1" x14ac:dyDescent="0.35">
      <c r="A110" s="511"/>
      <c r="B110" s="1665"/>
      <c r="C110" s="1666"/>
      <c r="D110" s="1666"/>
      <c r="E110" s="1666"/>
      <c r="F110" s="1666"/>
      <c r="G110" s="1666"/>
      <c r="H110" s="1666"/>
      <c r="I110" s="1666"/>
      <c r="J110" s="1666"/>
      <c r="K110" s="1666"/>
      <c r="L110" s="1666"/>
      <c r="M110" s="1667"/>
    </row>
    <row r="111" spans="1:13" ht="15.75" customHeight="1" x14ac:dyDescent="0.35">
      <c r="A111" s="511"/>
      <c r="B111" s="1665"/>
      <c r="C111" s="1666"/>
      <c r="D111" s="1666"/>
      <c r="E111" s="1666"/>
      <c r="F111" s="1666"/>
      <c r="G111" s="1666"/>
      <c r="H111" s="1666"/>
      <c r="I111" s="1666"/>
      <c r="J111" s="1666"/>
      <c r="K111" s="1666"/>
      <c r="L111" s="1666"/>
      <c r="M111" s="1667"/>
    </row>
    <row r="112" spans="1:13" ht="15.75" customHeight="1" x14ac:dyDescent="0.35">
      <c r="A112" s="511"/>
      <c r="B112" s="1665"/>
      <c r="C112" s="1666"/>
      <c r="D112" s="1666"/>
      <c r="E112" s="1666"/>
      <c r="F112" s="1666"/>
      <c r="G112" s="1666"/>
      <c r="H112" s="1666"/>
      <c r="I112" s="1666"/>
      <c r="J112" s="1666"/>
      <c r="K112" s="1666"/>
      <c r="L112" s="1666"/>
      <c r="M112" s="1667"/>
    </row>
    <row r="113" spans="1:13" ht="15.75" customHeight="1" x14ac:dyDescent="0.35">
      <c r="A113" s="511"/>
      <c r="B113" s="1665"/>
      <c r="C113" s="1666"/>
      <c r="D113" s="1666"/>
      <c r="E113" s="1666"/>
      <c r="F113" s="1666"/>
      <c r="G113" s="1666"/>
      <c r="H113" s="1666"/>
      <c r="I113" s="1666"/>
      <c r="J113" s="1666"/>
      <c r="K113" s="1666"/>
      <c r="L113" s="1666"/>
      <c r="M113" s="1667"/>
    </row>
    <row r="114" spans="1:13" ht="15.75" customHeight="1" x14ac:dyDescent="0.35">
      <c r="A114" s="511"/>
      <c r="B114" s="1665"/>
      <c r="C114" s="1666"/>
      <c r="D114" s="1666"/>
      <c r="E114" s="1666"/>
      <c r="F114" s="1666"/>
      <c r="G114" s="1666"/>
      <c r="H114" s="1666"/>
      <c r="I114" s="1666"/>
      <c r="J114" s="1666"/>
      <c r="K114" s="1666"/>
      <c r="L114" s="1666"/>
      <c r="M114" s="1667"/>
    </row>
    <row r="115" spans="1:13" ht="15.75" customHeight="1" x14ac:dyDescent="0.35">
      <c r="A115" s="511"/>
      <c r="B115" s="1665"/>
      <c r="C115" s="1666"/>
      <c r="D115" s="1666"/>
      <c r="E115" s="1666"/>
      <c r="F115" s="1666"/>
      <c r="G115" s="1666"/>
      <c r="H115" s="1666"/>
      <c r="I115" s="1666"/>
      <c r="J115" s="1666"/>
      <c r="K115" s="1666"/>
      <c r="L115" s="1666"/>
      <c r="M115" s="1667"/>
    </row>
    <row r="116" spans="1:13" ht="15.75" customHeight="1" x14ac:dyDescent="0.35">
      <c r="A116" s="511"/>
      <c r="B116" s="1665"/>
      <c r="C116" s="1666"/>
      <c r="D116" s="1666"/>
      <c r="E116" s="1666"/>
      <c r="F116" s="1666"/>
      <c r="G116" s="1666"/>
      <c r="H116" s="1666"/>
      <c r="I116" s="1666"/>
      <c r="J116" s="1666"/>
      <c r="K116" s="1666"/>
      <c r="L116" s="1666"/>
      <c r="M116" s="1667"/>
    </row>
    <row r="117" spans="1:13" ht="15.75" customHeight="1" x14ac:dyDescent="0.35">
      <c r="A117" s="511"/>
      <c r="B117" s="1665"/>
      <c r="C117" s="1666"/>
      <c r="D117" s="1666"/>
      <c r="E117" s="1666"/>
      <c r="F117" s="1666"/>
      <c r="G117" s="1666"/>
      <c r="H117" s="1666"/>
      <c r="I117" s="1666"/>
      <c r="J117" s="1666"/>
      <c r="K117" s="1666"/>
      <c r="L117" s="1666"/>
      <c r="M117" s="1667"/>
    </row>
    <row r="118" spans="1:13" ht="15.75" customHeight="1" x14ac:dyDescent="0.35">
      <c r="A118" s="511"/>
      <c r="B118" s="1665"/>
      <c r="C118" s="1666"/>
      <c r="D118" s="1666"/>
      <c r="E118" s="1666"/>
      <c r="F118" s="1666"/>
      <c r="G118" s="1666"/>
      <c r="H118" s="1666"/>
      <c r="I118" s="1666"/>
      <c r="J118" s="1666"/>
      <c r="K118" s="1666"/>
      <c r="L118" s="1666"/>
      <c r="M118" s="1667"/>
    </row>
    <row r="119" spans="1:13" ht="15.75" customHeight="1" x14ac:dyDescent="0.35">
      <c r="A119" s="511"/>
      <c r="B119" s="1665"/>
      <c r="C119" s="1666"/>
      <c r="D119" s="1666"/>
      <c r="E119" s="1666"/>
      <c r="F119" s="1666"/>
      <c r="G119" s="1666"/>
      <c r="H119" s="1666"/>
      <c r="I119" s="1666"/>
      <c r="J119" s="1666"/>
      <c r="K119" s="1666"/>
      <c r="L119" s="1666"/>
      <c r="M119" s="1667"/>
    </row>
    <row r="120" spans="1:13" ht="15.75" customHeight="1" x14ac:dyDescent="0.35">
      <c r="A120" s="511"/>
      <c r="B120" s="1665"/>
      <c r="C120" s="1666"/>
      <c r="D120" s="1666"/>
      <c r="E120" s="1666"/>
      <c r="F120" s="1666"/>
      <c r="G120" s="1666"/>
      <c r="H120" s="1666"/>
      <c r="I120" s="1666"/>
      <c r="J120" s="1666"/>
      <c r="K120" s="1666"/>
      <c r="L120" s="1666"/>
      <c r="M120" s="1667"/>
    </row>
    <row r="121" spans="1:13" ht="15.75" customHeight="1" x14ac:dyDescent="0.35">
      <c r="A121" s="511"/>
      <c r="B121" s="1665"/>
      <c r="C121" s="1666"/>
      <c r="D121" s="1666"/>
      <c r="E121" s="1666"/>
      <c r="F121" s="1666"/>
      <c r="G121" s="1666"/>
      <c r="H121" s="1666"/>
      <c r="I121" s="1666"/>
      <c r="J121" s="1666"/>
      <c r="K121" s="1666"/>
      <c r="L121" s="1666"/>
      <c r="M121" s="1667"/>
    </row>
    <row r="122" spans="1:13" ht="15.75" customHeight="1" x14ac:dyDescent="0.35">
      <c r="A122" s="511"/>
      <c r="B122" s="1665"/>
      <c r="C122" s="1666"/>
      <c r="D122" s="1666"/>
      <c r="E122" s="1666"/>
      <c r="F122" s="1666"/>
      <c r="G122" s="1666"/>
      <c r="H122" s="1666"/>
      <c r="I122" s="1666"/>
      <c r="J122" s="1666"/>
      <c r="K122" s="1666"/>
      <c r="L122" s="1666"/>
      <c r="M122" s="1667"/>
    </row>
    <row r="123" spans="1:13" ht="15.75" customHeight="1" x14ac:dyDescent="0.35">
      <c r="A123" s="511"/>
      <c r="B123" s="1665"/>
      <c r="C123" s="1666"/>
      <c r="D123" s="1666"/>
      <c r="E123" s="1666"/>
      <c r="F123" s="1666"/>
      <c r="G123" s="1666"/>
      <c r="H123" s="1666"/>
      <c r="I123" s="1666"/>
      <c r="J123" s="1666"/>
      <c r="K123" s="1666"/>
      <c r="L123" s="1666"/>
      <c r="M123" s="1667"/>
    </row>
    <row r="124" spans="1:13" ht="15.75" customHeight="1" x14ac:dyDescent="0.35">
      <c r="A124" s="511"/>
      <c r="B124" s="1665"/>
      <c r="C124" s="1666"/>
      <c r="D124" s="1666"/>
      <c r="E124" s="1666"/>
      <c r="F124" s="1666"/>
      <c r="G124" s="1666"/>
      <c r="H124" s="1666"/>
      <c r="I124" s="1666"/>
      <c r="J124" s="1666"/>
      <c r="K124" s="1666"/>
      <c r="L124" s="1666"/>
      <c r="M124" s="1667"/>
    </row>
    <row r="125" spans="1:13" ht="15.75" customHeight="1" x14ac:dyDescent="0.35">
      <c r="A125" s="511"/>
      <c r="B125" s="1665"/>
      <c r="C125" s="1666"/>
      <c r="D125" s="1666"/>
      <c r="E125" s="1666"/>
      <c r="F125" s="1666"/>
      <c r="G125" s="1666"/>
      <c r="H125" s="1666"/>
      <c r="I125" s="1666"/>
      <c r="J125" s="1666"/>
      <c r="K125" s="1666"/>
      <c r="L125" s="1666"/>
      <c r="M125" s="1667"/>
    </row>
    <row r="126" spans="1:13" ht="15.75" customHeight="1" x14ac:dyDescent="0.35">
      <c r="A126" s="511"/>
      <c r="B126" s="1665"/>
      <c r="C126" s="1666"/>
      <c r="D126" s="1666"/>
      <c r="E126" s="1666"/>
      <c r="F126" s="1666"/>
      <c r="G126" s="1666"/>
      <c r="H126" s="1666"/>
      <c r="I126" s="1666"/>
      <c r="J126" s="1666"/>
      <c r="K126" s="1666"/>
      <c r="L126" s="1666"/>
      <c r="M126" s="1667"/>
    </row>
    <row r="127" spans="1:13" ht="15.75" customHeight="1" x14ac:dyDescent="0.35">
      <c r="A127" s="511"/>
      <c r="B127" s="1665"/>
      <c r="C127" s="1666"/>
      <c r="D127" s="1666"/>
      <c r="E127" s="1666"/>
      <c r="F127" s="1666"/>
      <c r="G127" s="1666"/>
      <c r="H127" s="1666"/>
      <c r="I127" s="1666"/>
      <c r="J127" s="1666"/>
      <c r="K127" s="1666"/>
      <c r="L127" s="1666"/>
      <c r="M127" s="1667"/>
    </row>
    <row r="128" spans="1:13" ht="15.75" customHeight="1" x14ac:dyDescent="0.35">
      <c r="A128" s="511"/>
      <c r="B128" s="1665"/>
      <c r="C128" s="1666"/>
      <c r="D128" s="1666"/>
      <c r="E128" s="1666"/>
      <c r="F128" s="1666"/>
      <c r="G128" s="1666"/>
      <c r="H128" s="1666"/>
      <c r="I128" s="1666"/>
      <c r="J128" s="1666"/>
      <c r="K128" s="1666"/>
      <c r="L128" s="1666"/>
      <c r="M128" s="1667"/>
    </row>
    <row r="129" spans="1:13" ht="15.75" customHeight="1" thickBot="1" x14ac:dyDescent="0.4">
      <c r="A129" s="511"/>
      <c r="B129" s="1668"/>
      <c r="C129" s="1669"/>
      <c r="D129" s="1669"/>
      <c r="E129" s="1669"/>
      <c r="F129" s="1669"/>
      <c r="G129" s="1669"/>
      <c r="H129" s="1669"/>
      <c r="I129" s="1669"/>
      <c r="J129" s="1669"/>
      <c r="K129" s="1669"/>
      <c r="L129" s="1669"/>
      <c r="M129" s="1670"/>
    </row>
    <row r="130" spans="1:13" ht="15.75" customHeight="1" x14ac:dyDescent="0.35">
      <c r="A130" s="511"/>
      <c r="B130" s="512"/>
      <c r="C130" s="512"/>
      <c r="D130" s="512"/>
      <c r="E130" s="512"/>
      <c r="F130" s="512"/>
      <c r="G130" s="512"/>
      <c r="H130" s="512"/>
      <c r="I130" s="512"/>
      <c r="J130" s="512"/>
      <c r="K130" s="512"/>
      <c r="L130" s="512"/>
      <c r="M130" s="512"/>
    </row>
    <row r="131" spans="1:13" ht="52.5" customHeight="1" x14ac:dyDescent="0.35">
      <c r="B131" s="1608" t="s">
        <v>938</v>
      </c>
      <c r="C131" s="1609"/>
      <c r="D131" s="1609"/>
      <c r="E131" s="1609"/>
      <c r="F131" s="1609"/>
      <c r="G131" s="1609"/>
      <c r="H131" s="1609"/>
      <c r="I131" s="1609"/>
      <c r="J131" s="1609"/>
      <c r="K131" s="1609"/>
      <c r="L131" s="1609"/>
      <c r="M131" s="1609"/>
    </row>
    <row r="132" spans="1:13" ht="16" thickBot="1" x14ac:dyDescent="0.4"/>
    <row r="133" spans="1:13" x14ac:dyDescent="0.35">
      <c r="B133" s="1656" t="s">
        <v>939</v>
      </c>
      <c r="C133" s="884"/>
      <c r="D133" s="884"/>
      <c r="E133" s="884"/>
      <c r="F133" s="884"/>
      <c r="G133" s="884"/>
      <c r="H133" s="884"/>
      <c r="I133" s="884"/>
      <c r="J133" s="884"/>
      <c r="K133" s="884"/>
      <c r="L133" s="1657"/>
    </row>
    <row r="134" spans="1:13" ht="15" customHeight="1" x14ac:dyDescent="0.35">
      <c r="B134" s="1647" t="s">
        <v>940</v>
      </c>
      <c r="C134" s="1648"/>
      <c r="D134" s="1648"/>
      <c r="E134" s="1649" t="s">
        <v>992</v>
      </c>
      <c r="F134" s="1649"/>
      <c r="G134" s="1649"/>
      <c r="H134" s="1649"/>
      <c r="I134" s="1649"/>
      <c r="J134" s="1649"/>
      <c r="K134" s="1649"/>
      <c r="L134" s="1650"/>
    </row>
    <row r="135" spans="1:13" x14ac:dyDescent="0.35">
      <c r="B135" s="1647" t="s">
        <v>941</v>
      </c>
      <c r="C135" s="1648"/>
      <c r="D135" s="1648"/>
      <c r="E135" s="1649" t="s">
        <v>993</v>
      </c>
      <c r="F135" s="1649"/>
      <c r="G135" s="1649"/>
      <c r="H135" s="1649"/>
      <c r="I135" s="1649"/>
      <c r="J135" s="1649"/>
      <c r="K135" s="1649"/>
      <c r="L135" s="1650"/>
    </row>
    <row r="136" spans="1:13" x14ac:dyDescent="0.35">
      <c r="B136" s="1647" t="s">
        <v>942</v>
      </c>
      <c r="C136" s="1648"/>
      <c r="D136" s="1648"/>
      <c r="E136" s="1649">
        <v>1</v>
      </c>
      <c r="F136" s="1649"/>
      <c r="G136" s="1649"/>
      <c r="H136" s="1649"/>
      <c r="I136" s="1649"/>
      <c r="J136" s="1649"/>
      <c r="K136" s="1649"/>
      <c r="L136" s="1650"/>
    </row>
    <row r="137" spans="1:13" x14ac:dyDescent="0.35">
      <c r="B137" s="1647" t="s">
        <v>943</v>
      </c>
      <c r="C137" s="1648"/>
      <c r="D137" s="1648"/>
      <c r="E137" s="1649" t="s">
        <v>1007</v>
      </c>
      <c r="F137" s="1649"/>
      <c r="G137" s="1649"/>
      <c r="H137" s="1649"/>
      <c r="I137" s="1649"/>
      <c r="J137" s="1649"/>
      <c r="K137" s="1649"/>
      <c r="L137" s="1650"/>
    </row>
    <row r="138" spans="1:13" ht="112.5" customHeight="1" thickBot="1" x14ac:dyDescent="0.4">
      <c r="B138" s="1651" t="s">
        <v>944</v>
      </c>
      <c r="C138" s="1652"/>
      <c r="D138" s="1652"/>
      <c r="E138" s="1653" t="s">
        <v>994</v>
      </c>
      <c r="F138" s="1653"/>
      <c r="G138" s="1653"/>
      <c r="H138" s="1653"/>
      <c r="I138" s="1653"/>
      <c r="J138" s="1653"/>
      <c r="K138" s="1653"/>
      <c r="L138" s="1654"/>
    </row>
    <row r="139" spans="1:13" ht="16" thickBot="1" x14ac:dyDescent="0.4"/>
    <row r="140" spans="1:13" x14ac:dyDescent="0.35">
      <c r="B140" s="1656" t="s">
        <v>939</v>
      </c>
      <c r="C140" s="884"/>
      <c r="D140" s="884"/>
      <c r="E140" s="884"/>
      <c r="F140" s="884"/>
      <c r="G140" s="884"/>
      <c r="H140" s="884"/>
      <c r="I140" s="884"/>
      <c r="J140" s="884"/>
      <c r="K140" s="884"/>
      <c r="L140" s="1657"/>
    </row>
    <row r="141" spans="1:13" x14ac:dyDescent="0.35">
      <c r="B141" s="1647" t="s">
        <v>940</v>
      </c>
      <c r="C141" s="1648"/>
      <c r="D141" s="1648"/>
      <c r="E141" s="1649" t="s">
        <v>995</v>
      </c>
      <c r="F141" s="1649"/>
      <c r="G141" s="1649"/>
      <c r="H141" s="1649"/>
      <c r="I141" s="1649"/>
      <c r="J141" s="1649"/>
      <c r="K141" s="1649"/>
      <c r="L141" s="1650"/>
    </row>
    <row r="142" spans="1:13" x14ac:dyDescent="0.35">
      <c r="B142" s="1647" t="s">
        <v>941</v>
      </c>
      <c r="C142" s="1648"/>
      <c r="D142" s="1648"/>
      <c r="E142" s="1649" t="s">
        <v>996</v>
      </c>
      <c r="F142" s="1649"/>
      <c r="G142" s="1649"/>
      <c r="H142" s="1649"/>
      <c r="I142" s="1649"/>
      <c r="J142" s="1649"/>
      <c r="K142" s="1649"/>
      <c r="L142" s="1650"/>
    </row>
    <row r="143" spans="1:13" x14ac:dyDescent="0.35">
      <c r="B143" s="1647" t="s">
        <v>942</v>
      </c>
      <c r="C143" s="1648"/>
      <c r="D143" s="1648"/>
      <c r="E143" s="1649">
        <v>1</v>
      </c>
      <c r="F143" s="1649"/>
      <c r="G143" s="1649"/>
      <c r="H143" s="1649"/>
      <c r="I143" s="1649"/>
      <c r="J143" s="1649"/>
      <c r="K143" s="1649"/>
      <c r="L143" s="1650"/>
    </row>
    <row r="144" spans="1:13" x14ac:dyDescent="0.35">
      <c r="B144" s="1647" t="s">
        <v>943</v>
      </c>
      <c r="C144" s="1648"/>
      <c r="D144" s="1648"/>
      <c r="E144" s="1649" t="s">
        <v>997</v>
      </c>
      <c r="F144" s="1649"/>
      <c r="G144" s="1649"/>
      <c r="H144" s="1649"/>
      <c r="I144" s="1649"/>
      <c r="J144" s="1649"/>
      <c r="K144" s="1649"/>
      <c r="L144" s="1650"/>
    </row>
    <row r="145" spans="2:12" ht="86.5" customHeight="1" thickBot="1" x14ac:dyDescent="0.4">
      <c r="B145" s="1651" t="s">
        <v>944</v>
      </c>
      <c r="C145" s="1652"/>
      <c r="D145" s="1652"/>
      <c r="E145" s="1653" t="s">
        <v>998</v>
      </c>
      <c r="F145" s="1653"/>
      <c r="G145" s="1653"/>
      <c r="H145" s="1653"/>
      <c r="I145" s="1653"/>
      <c r="J145" s="1653"/>
      <c r="K145" s="1653"/>
      <c r="L145" s="1654"/>
    </row>
    <row r="146" spans="2:12" ht="16" thickBot="1" x14ac:dyDescent="0.4"/>
    <row r="147" spans="2:12" x14ac:dyDescent="0.35">
      <c r="B147" s="1656" t="s">
        <v>939</v>
      </c>
      <c r="C147" s="884"/>
      <c r="D147" s="884"/>
      <c r="E147" s="884"/>
      <c r="F147" s="884"/>
      <c r="G147" s="884"/>
      <c r="H147" s="884"/>
      <c r="I147" s="884"/>
      <c r="J147" s="884"/>
      <c r="K147" s="884"/>
      <c r="L147" s="1657"/>
    </row>
    <row r="148" spans="2:12" x14ac:dyDescent="0.35">
      <c r="B148" s="1647" t="s">
        <v>940</v>
      </c>
      <c r="C148" s="1648"/>
      <c r="D148" s="1648"/>
      <c r="E148" s="1649" t="s">
        <v>999</v>
      </c>
      <c r="F148" s="1649"/>
      <c r="G148" s="1649"/>
      <c r="H148" s="1649"/>
      <c r="I148" s="1649"/>
      <c r="J148" s="1649"/>
      <c r="K148" s="1649"/>
      <c r="L148" s="1650"/>
    </row>
    <row r="149" spans="2:12" x14ac:dyDescent="0.35">
      <c r="B149" s="1647" t="s">
        <v>941</v>
      </c>
      <c r="C149" s="1648"/>
      <c r="D149" s="1648"/>
      <c r="E149" s="1649" t="s">
        <v>996</v>
      </c>
      <c r="F149" s="1649"/>
      <c r="G149" s="1649"/>
      <c r="H149" s="1649"/>
      <c r="I149" s="1649"/>
      <c r="J149" s="1649"/>
      <c r="K149" s="1649"/>
      <c r="L149" s="1650"/>
    </row>
    <row r="150" spans="2:12" x14ac:dyDescent="0.35">
      <c r="B150" s="1647" t="s">
        <v>942</v>
      </c>
      <c r="C150" s="1648"/>
      <c r="D150" s="1648"/>
      <c r="E150" s="1649">
        <v>1</v>
      </c>
      <c r="F150" s="1649"/>
      <c r="G150" s="1649"/>
      <c r="H150" s="1649"/>
      <c r="I150" s="1649"/>
      <c r="J150" s="1649"/>
      <c r="K150" s="1649"/>
      <c r="L150" s="1650"/>
    </row>
    <row r="151" spans="2:12" x14ac:dyDescent="0.35">
      <c r="B151" s="1647" t="s">
        <v>943</v>
      </c>
      <c r="C151" s="1648"/>
      <c r="D151" s="1648"/>
      <c r="E151" s="1649" t="s">
        <v>1000</v>
      </c>
      <c r="F151" s="1649"/>
      <c r="G151" s="1649"/>
      <c r="H151" s="1649"/>
      <c r="I151" s="1649"/>
      <c r="J151" s="1649"/>
      <c r="K151" s="1649"/>
      <c r="L151" s="1650"/>
    </row>
    <row r="152" spans="2:12" ht="99" customHeight="1" thickBot="1" x14ac:dyDescent="0.4">
      <c r="B152" s="1651" t="s">
        <v>944</v>
      </c>
      <c r="C152" s="1652"/>
      <c r="D152" s="1652"/>
      <c r="E152" s="1653" t="s">
        <v>1001</v>
      </c>
      <c r="F152" s="1653"/>
      <c r="G152" s="1653"/>
      <c r="H152" s="1653"/>
      <c r="I152" s="1653"/>
      <c r="J152" s="1653"/>
      <c r="K152" s="1653"/>
      <c r="L152" s="1654"/>
    </row>
    <row r="153" spans="2:12" ht="16" thickBot="1" x14ac:dyDescent="0.4"/>
    <row r="154" spans="2:12" x14ac:dyDescent="0.35">
      <c r="B154" s="1656" t="s">
        <v>939</v>
      </c>
      <c r="C154" s="884"/>
      <c r="D154" s="884"/>
      <c r="E154" s="884"/>
      <c r="F154" s="884"/>
      <c r="G154" s="884"/>
      <c r="H154" s="884"/>
      <c r="I154" s="884"/>
      <c r="J154" s="884"/>
      <c r="K154" s="884"/>
      <c r="L154" s="1657"/>
    </row>
    <row r="155" spans="2:12" x14ac:dyDescent="0.35">
      <c r="B155" s="1647" t="s">
        <v>940</v>
      </c>
      <c r="C155" s="1648"/>
      <c r="D155" s="1648"/>
      <c r="E155" s="1649" t="s">
        <v>1002</v>
      </c>
      <c r="F155" s="1649"/>
      <c r="G155" s="1649"/>
      <c r="H155" s="1649"/>
      <c r="I155" s="1649"/>
      <c r="J155" s="1649"/>
      <c r="K155" s="1649"/>
      <c r="L155" s="1650"/>
    </row>
    <row r="156" spans="2:12" x14ac:dyDescent="0.35">
      <c r="B156" s="1647" t="s">
        <v>941</v>
      </c>
      <c r="C156" s="1648"/>
      <c r="D156" s="1648"/>
      <c r="E156" s="1649" t="s">
        <v>996</v>
      </c>
      <c r="F156" s="1649"/>
      <c r="G156" s="1649"/>
      <c r="H156" s="1649"/>
      <c r="I156" s="1649"/>
      <c r="J156" s="1649"/>
      <c r="K156" s="1649"/>
      <c r="L156" s="1650"/>
    </row>
    <row r="157" spans="2:12" x14ac:dyDescent="0.35">
      <c r="B157" s="1647" t="s">
        <v>942</v>
      </c>
      <c r="C157" s="1648"/>
      <c r="D157" s="1648"/>
      <c r="E157" s="1649">
        <v>1</v>
      </c>
      <c r="F157" s="1649"/>
      <c r="G157" s="1649"/>
      <c r="H157" s="1649"/>
      <c r="I157" s="1649"/>
      <c r="J157" s="1649"/>
      <c r="K157" s="1649"/>
      <c r="L157" s="1650"/>
    </row>
    <row r="158" spans="2:12" x14ac:dyDescent="0.35">
      <c r="B158" s="1647" t="s">
        <v>943</v>
      </c>
      <c r="C158" s="1648"/>
      <c r="D158" s="1648"/>
      <c r="E158" s="1649" t="s">
        <v>1005</v>
      </c>
      <c r="F158" s="1649"/>
      <c r="G158" s="1649"/>
      <c r="H158" s="1649"/>
      <c r="I158" s="1649"/>
      <c r="J158" s="1649"/>
      <c r="K158" s="1649"/>
      <c r="L158" s="1650"/>
    </row>
    <row r="159" spans="2:12" ht="125.5" customHeight="1" thickBot="1" x14ac:dyDescent="0.4">
      <c r="B159" s="1651" t="s">
        <v>944</v>
      </c>
      <c r="C159" s="1652"/>
      <c r="D159" s="1652"/>
      <c r="E159" s="1653" t="s">
        <v>1003</v>
      </c>
      <c r="F159" s="1653"/>
      <c r="G159" s="1653"/>
      <c r="H159" s="1653"/>
      <c r="I159" s="1653"/>
      <c r="J159" s="1653"/>
      <c r="K159" s="1653"/>
      <c r="L159" s="1654"/>
    </row>
    <row r="160" spans="2:12" ht="16" thickBot="1" x14ac:dyDescent="0.4"/>
    <row r="161" spans="2:12" x14ac:dyDescent="0.35">
      <c r="B161" s="1656" t="s">
        <v>939</v>
      </c>
      <c r="C161" s="884"/>
      <c r="D161" s="884"/>
      <c r="E161" s="884"/>
      <c r="F161" s="884"/>
      <c r="G161" s="884"/>
      <c r="H161" s="884"/>
      <c r="I161" s="884"/>
      <c r="J161" s="884"/>
      <c r="K161" s="884"/>
      <c r="L161" s="1657"/>
    </row>
    <row r="162" spans="2:12" x14ac:dyDescent="0.35">
      <c r="B162" s="1647" t="s">
        <v>940</v>
      </c>
      <c r="C162" s="1648"/>
      <c r="D162" s="1648"/>
      <c r="E162" s="1649" t="s">
        <v>1004</v>
      </c>
      <c r="F162" s="1649"/>
      <c r="G162" s="1649"/>
      <c r="H162" s="1649"/>
      <c r="I162" s="1649"/>
      <c r="J162" s="1649"/>
      <c r="K162" s="1649"/>
      <c r="L162" s="1650"/>
    </row>
    <row r="163" spans="2:12" x14ac:dyDescent="0.35">
      <c r="B163" s="1647" t="s">
        <v>941</v>
      </c>
      <c r="C163" s="1648"/>
      <c r="D163" s="1648"/>
      <c r="E163" s="1649" t="s">
        <v>996</v>
      </c>
      <c r="F163" s="1649"/>
      <c r="G163" s="1649"/>
      <c r="H163" s="1649"/>
      <c r="I163" s="1649"/>
      <c r="J163" s="1649"/>
      <c r="K163" s="1649"/>
      <c r="L163" s="1650"/>
    </row>
    <row r="164" spans="2:12" x14ac:dyDescent="0.35">
      <c r="B164" s="1647" t="s">
        <v>942</v>
      </c>
      <c r="C164" s="1648"/>
      <c r="D164" s="1648"/>
      <c r="E164" s="1649">
        <v>1</v>
      </c>
      <c r="F164" s="1649"/>
      <c r="G164" s="1649"/>
      <c r="H164" s="1649"/>
      <c r="I164" s="1649"/>
      <c r="J164" s="1649"/>
      <c r="K164" s="1649"/>
      <c r="L164" s="1650"/>
    </row>
    <row r="165" spans="2:12" x14ac:dyDescent="0.35">
      <c r="B165" s="1647" t="s">
        <v>943</v>
      </c>
      <c r="C165" s="1648"/>
      <c r="D165" s="1648"/>
      <c r="E165" s="1649" t="s">
        <v>1015</v>
      </c>
      <c r="F165" s="1649"/>
      <c r="G165" s="1649"/>
      <c r="H165" s="1649"/>
      <c r="I165" s="1649"/>
      <c r="J165" s="1649"/>
      <c r="K165" s="1649"/>
      <c r="L165" s="1650"/>
    </row>
    <row r="166" spans="2:12" ht="111.5" customHeight="1" thickBot="1" x14ac:dyDescent="0.4">
      <c r="B166" s="1651" t="s">
        <v>944</v>
      </c>
      <c r="C166" s="1652"/>
      <c r="D166" s="1652"/>
      <c r="E166" s="1653" t="s">
        <v>1006</v>
      </c>
      <c r="F166" s="1653"/>
      <c r="G166" s="1653"/>
      <c r="H166" s="1653"/>
      <c r="I166" s="1653"/>
      <c r="J166" s="1653"/>
      <c r="K166" s="1653"/>
      <c r="L166" s="1654"/>
    </row>
    <row r="167" spans="2:12" ht="16" thickBot="1" x14ac:dyDescent="0.4"/>
    <row r="168" spans="2:12" x14ac:dyDescent="0.35">
      <c r="B168" s="1656" t="s">
        <v>939</v>
      </c>
      <c r="C168" s="884"/>
      <c r="D168" s="884"/>
      <c r="E168" s="884"/>
      <c r="F168" s="884"/>
      <c r="G168" s="884"/>
      <c r="H168" s="884"/>
      <c r="I168" s="884"/>
      <c r="J168" s="884"/>
      <c r="K168" s="884"/>
      <c r="L168" s="1657"/>
    </row>
    <row r="169" spans="2:12" x14ac:dyDescent="0.35">
      <c r="B169" s="1647" t="s">
        <v>940</v>
      </c>
      <c r="C169" s="1648"/>
      <c r="D169" s="1648"/>
      <c r="E169" s="1649" t="s">
        <v>1008</v>
      </c>
      <c r="F169" s="1649"/>
      <c r="G169" s="1649"/>
      <c r="H169" s="1649"/>
      <c r="I169" s="1649"/>
      <c r="J169" s="1649"/>
      <c r="K169" s="1649"/>
      <c r="L169" s="1650"/>
    </row>
    <row r="170" spans="2:12" x14ac:dyDescent="0.35">
      <c r="B170" s="1647" t="s">
        <v>941</v>
      </c>
      <c r="C170" s="1648"/>
      <c r="D170" s="1648"/>
      <c r="E170" s="1649" t="s">
        <v>996</v>
      </c>
      <c r="F170" s="1649"/>
      <c r="G170" s="1649"/>
      <c r="H170" s="1649"/>
      <c r="I170" s="1649"/>
      <c r="J170" s="1649"/>
      <c r="K170" s="1649"/>
      <c r="L170" s="1650"/>
    </row>
    <row r="171" spans="2:12" x14ac:dyDescent="0.35">
      <c r="B171" s="1647" t="s">
        <v>942</v>
      </c>
      <c r="C171" s="1648"/>
      <c r="D171" s="1648"/>
      <c r="E171" s="1649">
        <v>1</v>
      </c>
      <c r="F171" s="1649"/>
      <c r="G171" s="1649"/>
      <c r="H171" s="1649"/>
      <c r="I171" s="1649"/>
      <c r="J171" s="1649"/>
      <c r="K171" s="1649"/>
      <c r="L171" s="1650"/>
    </row>
    <row r="172" spans="2:12" x14ac:dyDescent="0.35">
      <c r="B172" s="1647" t="s">
        <v>943</v>
      </c>
      <c r="C172" s="1648"/>
      <c r="D172" s="1648"/>
      <c r="E172" s="1649" t="s">
        <v>1009</v>
      </c>
      <c r="F172" s="1649"/>
      <c r="G172" s="1649"/>
      <c r="H172" s="1649"/>
      <c r="I172" s="1649"/>
      <c r="J172" s="1649"/>
      <c r="K172" s="1649"/>
      <c r="L172" s="1650"/>
    </row>
    <row r="173" spans="2:12" ht="99" customHeight="1" thickBot="1" x14ac:dyDescent="0.4">
      <c r="B173" s="1651" t="s">
        <v>944</v>
      </c>
      <c r="C173" s="1652"/>
      <c r="D173" s="1652"/>
      <c r="E173" s="1653" t="s">
        <v>1010</v>
      </c>
      <c r="F173" s="1653"/>
      <c r="G173" s="1653"/>
      <c r="H173" s="1653"/>
      <c r="I173" s="1653"/>
      <c r="J173" s="1653"/>
      <c r="K173" s="1653"/>
      <c r="L173" s="1654"/>
    </row>
    <row r="174" spans="2:12" ht="16" thickBot="1" x14ac:dyDescent="0.4"/>
    <row r="175" spans="2:12" x14ac:dyDescent="0.35">
      <c r="B175" s="1656" t="s">
        <v>939</v>
      </c>
      <c r="C175" s="884"/>
      <c r="D175" s="884"/>
      <c r="E175" s="884"/>
      <c r="F175" s="884"/>
      <c r="G175" s="884"/>
      <c r="H175" s="884"/>
      <c r="I175" s="884"/>
      <c r="J175" s="884"/>
      <c r="K175" s="884"/>
      <c r="L175" s="1657"/>
    </row>
    <row r="176" spans="2:12" x14ac:dyDescent="0.35">
      <c r="B176" s="1647" t="s">
        <v>940</v>
      </c>
      <c r="C176" s="1648"/>
      <c r="D176" s="1648"/>
      <c r="E176" s="1649" t="s">
        <v>765</v>
      </c>
      <c r="F176" s="1649"/>
      <c r="G176" s="1649"/>
      <c r="H176" s="1649"/>
      <c r="I176" s="1649"/>
      <c r="J176" s="1649"/>
      <c r="K176" s="1649"/>
      <c r="L176" s="1650"/>
    </row>
    <row r="177" spans="2:13" x14ac:dyDescent="0.35">
      <c r="B177" s="1647" t="s">
        <v>941</v>
      </c>
      <c r="C177" s="1648"/>
      <c r="D177" s="1648"/>
      <c r="E177" s="1649" t="s">
        <v>767</v>
      </c>
      <c r="F177" s="1649"/>
      <c r="G177" s="1649"/>
      <c r="H177" s="1649"/>
      <c r="I177" s="1649"/>
      <c r="J177" s="1649"/>
      <c r="K177" s="1649"/>
      <c r="L177" s="1650"/>
    </row>
    <row r="178" spans="2:13" x14ac:dyDescent="0.35">
      <c r="B178" s="1647" t="s">
        <v>942</v>
      </c>
      <c r="C178" s="1648"/>
      <c r="D178" s="1648"/>
      <c r="E178" s="1649">
        <v>6</v>
      </c>
      <c r="F178" s="1649"/>
      <c r="G178" s="1649"/>
      <c r="H178" s="1649"/>
      <c r="I178" s="1649"/>
      <c r="J178" s="1649"/>
      <c r="K178" s="1649"/>
      <c r="L178" s="1650"/>
    </row>
    <row r="179" spans="2:13" x14ac:dyDescent="0.35">
      <c r="B179" s="1647" t="s">
        <v>943</v>
      </c>
      <c r="C179" s="1648"/>
      <c r="D179" s="1648"/>
      <c r="E179" s="1649" t="s">
        <v>1011</v>
      </c>
      <c r="F179" s="1649"/>
      <c r="G179" s="1649"/>
      <c r="H179" s="1649"/>
      <c r="I179" s="1649"/>
      <c r="J179" s="1649"/>
      <c r="K179" s="1649"/>
      <c r="L179" s="1650"/>
    </row>
    <row r="180" spans="2:13" ht="111.5" customHeight="1" thickBot="1" x14ac:dyDescent="0.4">
      <c r="B180" s="1651" t="s">
        <v>944</v>
      </c>
      <c r="C180" s="1652"/>
      <c r="D180" s="1652"/>
      <c r="E180" s="1653" t="s">
        <v>1012</v>
      </c>
      <c r="F180" s="1653"/>
      <c r="G180" s="1653"/>
      <c r="H180" s="1653"/>
      <c r="I180" s="1653"/>
      <c r="J180" s="1653"/>
      <c r="K180" s="1653"/>
      <c r="L180" s="1654"/>
    </row>
    <row r="181" spans="2:13" x14ac:dyDescent="0.35">
      <c r="B181" s="513"/>
      <c r="C181" s="513"/>
      <c r="D181" s="513"/>
      <c r="E181" s="513"/>
      <c r="F181" s="513"/>
      <c r="G181" s="513"/>
      <c r="H181" s="513"/>
      <c r="I181" s="513"/>
      <c r="J181" s="513"/>
      <c r="K181" s="513"/>
      <c r="L181" s="513"/>
      <c r="M181" s="513"/>
    </row>
    <row r="182" spans="2:13" ht="22.5" customHeight="1" x14ac:dyDescent="0.6">
      <c r="B182" s="1655" t="s">
        <v>945</v>
      </c>
      <c r="C182" s="1655"/>
      <c r="D182" s="1655"/>
      <c r="E182" s="1655"/>
      <c r="F182" s="1655"/>
      <c r="G182" s="1655"/>
      <c r="H182" s="1655"/>
      <c r="I182" s="1655"/>
      <c r="J182" s="1655"/>
      <c r="K182" s="1655"/>
      <c r="L182" s="1655"/>
      <c r="M182" s="1655"/>
    </row>
    <row r="184" spans="2:13" ht="57.75" customHeight="1" x14ac:dyDescent="0.35">
      <c r="B184" s="1608" t="s">
        <v>946</v>
      </c>
      <c r="C184" s="1609"/>
      <c r="D184" s="1609"/>
      <c r="E184" s="1609"/>
      <c r="F184" s="1609"/>
      <c r="G184" s="1609"/>
      <c r="H184" s="1609"/>
      <c r="I184" s="1609"/>
      <c r="J184" s="1609"/>
      <c r="K184" s="1609"/>
      <c r="L184" s="1609"/>
      <c r="M184" s="1609"/>
    </row>
    <row r="185" spans="2:13" ht="16.5" customHeight="1" x14ac:dyDescent="0.35">
      <c r="B185" s="514"/>
      <c r="C185" s="515"/>
      <c r="D185" s="515"/>
      <c r="E185" s="515"/>
      <c r="F185" s="515"/>
      <c r="G185" s="515"/>
      <c r="H185" s="515"/>
      <c r="I185" s="515"/>
      <c r="J185" s="515"/>
      <c r="K185" s="515"/>
      <c r="L185" s="515"/>
      <c r="M185" s="515"/>
    </row>
    <row r="186" spans="2:13" ht="16" thickBot="1" x14ac:dyDescent="0.4"/>
    <row r="187" spans="2:13" ht="15.75" customHeight="1" x14ac:dyDescent="0.35">
      <c r="B187" s="1642" t="s">
        <v>643</v>
      </c>
      <c r="C187" s="1643"/>
      <c r="D187" s="58"/>
      <c r="E187" s="58"/>
      <c r="F187" s="58"/>
      <c r="G187" s="58"/>
      <c r="H187" s="58"/>
      <c r="I187" s="58"/>
      <c r="J187" s="58"/>
      <c r="K187" s="58"/>
      <c r="L187" s="58"/>
    </row>
    <row r="188" spans="2:13" ht="16" thickBot="1" x14ac:dyDescent="0.4">
      <c r="B188" s="516" t="s">
        <v>647</v>
      </c>
      <c r="C188" s="517">
        <v>1300000</v>
      </c>
      <c r="D188" s="58"/>
      <c r="E188" s="58"/>
      <c r="F188" s="58"/>
      <c r="G188" s="58"/>
      <c r="H188" s="58"/>
      <c r="I188" s="58"/>
      <c r="J188" s="58"/>
      <c r="K188" s="58"/>
      <c r="L188" s="58"/>
    </row>
    <row r="189" spans="2:13" ht="20.25" customHeight="1" thickBot="1" x14ac:dyDescent="0.4">
      <c r="B189" s="518" t="s">
        <v>649</v>
      </c>
      <c r="C189" s="519">
        <v>162000</v>
      </c>
      <c r="D189" s="58"/>
      <c r="E189" s="1614" t="s">
        <v>644</v>
      </c>
      <c r="F189" s="1615"/>
      <c r="G189" s="991" t="s">
        <v>645</v>
      </c>
      <c r="H189" s="58"/>
      <c r="I189" s="58"/>
      <c r="J189" s="58"/>
      <c r="K189" s="58"/>
      <c r="L189" s="58"/>
    </row>
    <row r="190" spans="2:13" ht="16" thickBot="1" x14ac:dyDescent="0.4">
      <c r="B190" s="521"/>
      <c r="C190" s="521"/>
      <c r="D190" s="521"/>
      <c r="E190" s="1640"/>
      <c r="F190" s="1644"/>
      <c r="G190" s="1641"/>
      <c r="H190" s="58"/>
      <c r="I190" s="58"/>
      <c r="J190" s="58"/>
      <c r="K190" s="58"/>
      <c r="L190" s="58"/>
    </row>
    <row r="191" spans="2:13" ht="15.75" customHeight="1" x14ac:dyDescent="0.35">
      <c r="B191" s="522" t="s">
        <v>655</v>
      </c>
      <c r="C191" s="479" t="s">
        <v>645</v>
      </c>
      <c r="D191" s="521"/>
      <c r="E191" s="1569" t="s">
        <v>650</v>
      </c>
      <c r="F191" s="1570"/>
      <c r="G191" s="609">
        <v>8.5000000000000006E-2</v>
      </c>
      <c r="H191" s="58"/>
      <c r="I191" s="58"/>
      <c r="J191" s="58"/>
      <c r="K191" s="58"/>
      <c r="L191" s="58"/>
    </row>
    <row r="192" spans="2:13" x14ac:dyDescent="0.35">
      <c r="B192" s="524" t="s">
        <v>659</v>
      </c>
      <c r="C192" s="523">
        <v>8.3299999999999999E-2</v>
      </c>
      <c r="D192" s="521"/>
      <c r="E192" s="1569" t="s">
        <v>652</v>
      </c>
      <c r="F192" s="1570"/>
      <c r="G192" s="610">
        <v>0.12</v>
      </c>
      <c r="H192" s="58"/>
      <c r="I192" s="58"/>
      <c r="J192" s="58"/>
      <c r="K192" s="58"/>
      <c r="L192" s="58"/>
    </row>
    <row r="193" spans="2:40" ht="16" thickBot="1" x14ac:dyDescent="0.4">
      <c r="B193" s="524" t="s">
        <v>662</v>
      </c>
      <c r="C193" s="523">
        <v>8.3299999999999999E-2</v>
      </c>
      <c r="D193" s="521"/>
      <c r="E193" s="1645" t="s">
        <v>654</v>
      </c>
      <c r="F193" s="1646"/>
      <c r="G193" s="611">
        <f>SUM(G191:G192)</f>
        <v>0.20500000000000002</v>
      </c>
      <c r="H193" s="58"/>
      <c r="I193" s="58"/>
      <c r="J193" s="58"/>
      <c r="K193" s="58"/>
      <c r="L193" s="58"/>
    </row>
    <row r="194" spans="2:40" x14ac:dyDescent="0.35">
      <c r="B194" s="524" t="s">
        <v>665</v>
      </c>
      <c r="C194" s="523">
        <v>4.1700000000000001E-2</v>
      </c>
      <c r="D194" s="521"/>
      <c r="E194" s="58"/>
      <c r="F194" s="58"/>
      <c r="G194" s="58"/>
      <c r="H194" s="58"/>
      <c r="I194" s="58"/>
      <c r="J194" s="58"/>
      <c r="K194" s="58"/>
      <c r="L194" s="58"/>
    </row>
    <row r="195" spans="2:40" ht="16" thickBot="1" x14ac:dyDescent="0.4">
      <c r="B195" s="524" t="s">
        <v>668</v>
      </c>
      <c r="C195" s="525">
        <v>0.01</v>
      </c>
      <c r="D195" s="521"/>
      <c r="E195" s="58"/>
      <c r="F195" s="58"/>
      <c r="G195" s="58"/>
      <c r="H195" s="58"/>
      <c r="I195" s="58"/>
      <c r="J195" s="58"/>
      <c r="K195" s="58"/>
      <c r="L195" s="58"/>
    </row>
    <row r="196" spans="2:40" ht="16" thickBot="1" x14ac:dyDescent="0.4">
      <c r="B196" s="527" t="s">
        <v>654</v>
      </c>
      <c r="C196" s="526">
        <f>SUM(C192:C195)</f>
        <v>0.21829999999999999</v>
      </c>
      <c r="D196" s="521"/>
      <c r="E196" s="528" t="s">
        <v>656</v>
      </c>
      <c r="F196" s="529" t="s">
        <v>657</v>
      </c>
      <c r="G196" s="1637" t="s">
        <v>658</v>
      </c>
      <c r="H196" s="1638"/>
      <c r="I196" s="1638"/>
      <c r="J196" s="1638"/>
      <c r="K196" s="1638"/>
      <c r="L196" s="1639"/>
    </row>
    <row r="197" spans="2:40" ht="16" thickBot="1" x14ac:dyDescent="0.4">
      <c r="B197" s="521"/>
      <c r="C197" s="521"/>
      <c r="D197" s="521"/>
      <c r="E197" s="530" t="s">
        <v>947</v>
      </c>
      <c r="F197" s="531">
        <v>5.2199999999999998E-3</v>
      </c>
      <c r="G197" s="1631" t="s">
        <v>661</v>
      </c>
      <c r="H197" s="1632"/>
      <c r="I197" s="1632"/>
      <c r="J197" s="1632"/>
      <c r="K197" s="1632"/>
      <c r="L197" s="1633"/>
    </row>
    <row r="198" spans="2:40" x14ac:dyDescent="0.35">
      <c r="B198" s="1614" t="s">
        <v>646</v>
      </c>
      <c r="C198" s="991" t="s">
        <v>645</v>
      </c>
      <c r="D198" s="521"/>
      <c r="E198" s="530" t="s">
        <v>663</v>
      </c>
      <c r="F198" s="531">
        <v>1.044E-2</v>
      </c>
      <c r="G198" s="1631" t="s">
        <v>664</v>
      </c>
      <c r="H198" s="1632"/>
      <c r="I198" s="1632"/>
      <c r="J198" s="1632"/>
      <c r="K198" s="1632"/>
      <c r="L198" s="1633"/>
    </row>
    <row r="199" spans="2:40" ht="15.75" customHeight="1" x14ac:dyDescent="0.35">
      <c r="B199" s="1640"/>
      <c r="C199" s="1641"/>
      <c r="D199" s="521"/>
      <c r="E199" s="530" t="s">
        <v>666</v>
      </c>
      <c r="F199" s="532">
        <v>2.436E-2</v>
      </c>
      <c r="G199" s="1631" t="s">
        <v>667</v>
      </c>
      <c r="H199" s="1632"/>
      <c r="I199" s="1632"/>
      <c r="J199" s="1632"/>
      <c r="K199" s="1632"/>
      <c r="L199" s="1633"/>
    </row>
    <row r="200" spans="2:40" ht="15.75" customHeight="1" x14ac:dyDescent="0.35">
      <c r="B200" s="524" t="s">
        <v>648</v>
      </c>
      <c r="C200" s="525">
        <v>0.04</v>
      </c>
      <c r="D200" s="521"/>
      <c r="E200" s="530" t="s">
        <v>669</v>
      </c>
      <c r="F200" s="531">
        <v>4.3499999999999997E-2</v>
      </c>
      <c r="G200" s="1631" t="s">
        <v>670</v>
      </c>
      <c r="H200" s="1632"/>
      <c r="I200" s="1632"/>
      <c r="J200" s="1632"/>
      <c r="K200" s="1632"/>
      <c r="L200" s="1633"/>
    </row>
    <row r="201" spans="2:40" ht="15.75" customHeight="1" thickBot="1" x14ac:dyDescent="0.4">
      <c r="B201" s="524" t="s">
        <v>651</v>
      </c>
      <c r="C201" s="525">
        <v>0.03</v>
      </c>
      <c r="D201" s="521"/>
      <c r="E201" s="533" t="s">
        <v>671</v>
      </c>
      <c r="F201" s="534">
        <v>6.9599999999999995E-2</v>
      </c>
      <c r="G201" s="1634" t="s">
        <v>672</v>
      </c>
      <c r="H201" s="1635"/>
      <c r="I201" s="1635"/>
      <c r="J201" s="1635"/>
      <c r="K201" s="1635"/>
      <c r="L201" s="1636"/>
    </row>
    <row r="202" spans="2:40" ht="15.75" customHeight="1" x14ac:dyDescent="0.35">
      <c r="B202" s="524" t="s">
        <v>653</v>
      </c>
      <c r="C202" s="525">
        <v>0.02</v>
      </c>
      <c r="D202" s="521"/>
      <c r="E202" s="58"/>
      <c r="F202" s="58"/>
      <c r="G202" s="58"/>
      <c r="H202" s="58"/>
      <c r="I202" s="58"/>
      <c r="J202" s="58"/>
      <c r="K202" s="58"/>
      <c r="L202" s="58"/>
    </row>
    <row r="203" spans="2:40" ht="15.75" customHeight="1" thickBot="1" x14ac:dyDescent="0.4">
      <c r="B203" s="527" t="s">
        <v>654</v>
      </c>
      <c r="C203" s="526">
        <f>SUM(C200:C202)</f>
        <v>9.0000000000000011E-2</v>
      </c>
      <c r="D203" s="521"/>
      <c r="E203" s="58"/>
      <c r="F203" s="58"/>
      <c r="G203" s="58"/>
      <c r="H203" s="58"/>
      <c r="I203" s="58"/>
      <c r="J203" s="58"/>
      <c r="K203" s="58"/>
      <c r="L203" s="58"/>
    </row>
    <row r="204" spans="2:40" x14ac:dyDescent="0.35">
      <c r="B204" s="535"/>
      <c r="C204" s="535"/>
      <c r="D204" s="535"/>
      <c r="E204" s="536"/>
    </row>
    <row r="205" spans="2:40" ht="16" thickBot="1" x14ac:dyDescent="0.4"/>
    <row r="206" spans="2:40" ht="31" x14ac:dyDescent="0.35">
      <c r="B206" s="537" t="s">
        <v>673</v>
      </c>
      <c r="C206" s="520" t="s">
        <v>616</v>
      </c>
      <c r="D206" s="520" t="s">
        <v>674</v>
      </c>
      <c r="E206" s="520" t="s">
        <v>675</v>
      </c>
      <c r="F206" s="520" t="s">
        <v>676</v>
      </c>
      <c r="G206" s="520" t="s">
        <v>677</v>
      </c>
      <c r="H206" s="520" t="s">
        <v>678</v>
      </c>
      <c r="I206" s="520" t="s">
        <v>655</v>
      </c>
      <c r="J206" s="520" t="s">
        <v>679</v>
      </c>
      <c r="K206" s="520" t="s">
        <v>680</v>
      </c>
      <c r="L206" s="538" t="s">
        <v>681</v>
      </c>
      <c r="AM206" s="539" t="s">
        <v>948</v>
      </c>
      <c r="AN206" s="540" t="s">
        <v>677</v>
      </c>
    </row>
    <row r="207" spans="2:40" x14ac:dyDescent="0.35">
      <c r="B207" s="541" t="s">
        <v>992</v>
      </c>
      <c r="C207" s="542">
        <v>1</v>
      </c>
      <c r="D207" s="543" t="s">
        <v>685</v>
      </c>
      <c r="E207" s="542">
        <v>30</v>
      </c>
      <c r="F207" s="544">
        <v>4500000</v>
      </c>
      <c r="G207" s="542" t="s">
        <v>338</v>
      </c>
      <c r="H207" s="545">
        <f t="shared" ref="H207:H219" si="0">IF(F207=0,0,(IF(D207="Servicios",0,(IF(F207&lt;(2*$C$188),$C$189,0)))))</f>
        <v>0</v>
      </c>
      <c r="I207" s="545">
        <f>(IF(D207="Servicios",0,(IF(G207="I",(F207*$C$196),IF(G207="II",(F207*$C$196),IF(G207="III",(F207*$C$196),IF(G207="IV",(F207*$C$196),IF(G207="V",(F207*$C$196),0))))))))+AD207</f>
        <v>982350</v>
      </c>
      <c r="J207" s="545">
        <f t="shared" ref="J207:J219" si="1">IFERROR((IF(D207="Servicios",0,(IF(G207="I",(F207*($G$193+$F$197)),IF(G207="II",(F207*($G$193+$F$198)),IF(G207="III",(F207*($G$193+$F$199)),IF(G207="IV",(F207*($G$193+$F$200)),IF(G207="V",(F207*($G$193+$F$201)),0))))))))+AD207,"REVISAR DATO")</f>
        <v>945990.00000000012</v>
      </c>
      <c r="K207" s="545">
        <f>(IF(D207="Servicios",0,(IF(G207="I",(F207*$C$203),IF(G207="II",(F207*$C$203),IF(G207="III",(F207*$C$203),IF(G207="IV",(F207*$C$203),IF(G207="V",(F207*$C$203),0))))))))+AD207</f>
        <v>405000.00000000006</v>
      </c>
      <c r="L207" s="546">
        <f>+F207+H207+I207+J207+K207</f>
        <v>6833340</v>
      </c>
      <c r="AD207" s="547">
        <f>+H207*AD206</f>
        <v>0</v>
      </c>
      <c r="AM207" s="548" t="s">
        <v>30</v>
      </c>
      <c r="AN207" s="57" t="s">
        <v>338</v>
      </c>
    </row>
    <row r="208" spans="2:40" x14ac:dyDescent="0.35">
      <c r="B208" s="549" t="s">
        <v>1013</v>
      </c>
      <c r="C208" s="542">
        <v>1</v>
      </c>
      <c r="D208" s="543" t="s">
        <v>685</v>
      </c>
      <c r="E208" s="542">
        <v>30</v>
      </c>
      <c r="F208" s="544">
        <v>2000000</v>
      </c>
      <c r="G208" s="542" t="s">
        <v>338</v>
      </c>
      <c r="H208" s="545">
        <f t="shared" si="0"/>
        <v>162000</v>
      </c>
      <c r="I208" s="545">
        <f t="shared" ref="I208:I219" si="2">(IF(D208="Servicios",0,(IF(G208="I",(F208*$C$196),IF(G208="II",(F208*$C$196),IF(G208="III",(F208*$C$196),IF(G208="IV",(F208*$C$196),IF(G208="V",(F208*$C$196),0))))))))+AD208</f>
        <v>436600</v>
      </c>
      <c r="J208" s="545">
        <f t="shared" si="1"/>
        <v>420440.00000000006</v>
      </c>
      <c r="K208" s="545">
        <f t="shared" ref="K208:K219" si="3">(IF(D208="Servicios",0,(IF(G208="I",(F208*$C$203),IF(G208="II",(F208*$C$203),IF(G208="III",(F208*$C$203),IF(G208="IV",(F208*$C$203),IF(G208="V",(F208*$C$203),0))))))))+AD208</f>
        <v>180000.00000000003</v>
      </c>
      <c r="L208" s="546">
        <f t="shared" ref="L208:L219" si="4">+F208+H208+I208+J208+K208</f>
        <v>3199040</v>
      </c>
      <c r="AD208" s="547">
        <f t="shared" ref="AD208:AD220" si="5">+H208*AD207</f>
        <v>0</v>
      </c>
      <c r="AM208" s="548" t="s">
        <v>682</v>
      </c>
      <c r="AN208" s="57" t="s">
        <v>684</v>
      </c>
    </row>
    <row r="209" spans="2:40" x14ac:dyDescent="0.35">
      <c r="B209" s="549" t="s">
        <v>999</v>
      </c>
      <c r="C209" s="542">
        <v>1</v>
      </c>
      <c r="D209" s="543" t="s">
        <v>685</v>
      </c>
      <c r="E209" s="542">
        <v>30</v>
      </c>
      <c r="F209" s="544">
        <v>3000000</v>
      </c>
      <c r="G209" s="542" t="s">
        <v>338</v>
      </c>
      <c r="H209" s="545">
        <f t="shared" si="0"/>
        <v>0</v>
      </c>
      <c r="I209" s="545">
        <f t="shared" si="2"/>
        <v>654900</v>
      </c>
      <c r="J209" s="545">
        <f t="shared" si="1"/>
        <v>630660</v>
      </c>
      <c r="K209" s="545">
        <f t="shared" si="3"/>
        <v>270000.00000000006</v>
      </c>
      <c r="L209" s="546">
        <f t="shared" si="4"/>
        <v>4555560</v>
      </c>
      <c r="AD209" s="547">
        <f t="shared" si="5"/>
        <v>0</v>
      </c>
      <c r="AM209" s="548" t="s">
        <v>685</v>
      </c>
      <c r="AN209" s="57" t="s">
        <v>683</v>
      </c>
    </row>
    <row r="210" spans="2:40" x14ac:dyDescent="0.35">
      <c r="B210" s="549" t="s">
        <v>1002</v>
      </c>
      <c r="C210" s="542">
        <v>1</v>
      </c>
      <c r="D210" s="543" t="s">
        <v>685</v>
      </c>
      <c r="E210" s="542">
        <v>30</v>
      </c>
      <c r="F210" s="544">
        <v>3500000</v>
      </c>
      <c r="G210" s="542" t="s">
        <v>338</v>
      </c>
      <c r="H210" s="545">
        <f t="shared" si="0"/>
        <v>0</v>
      </c>
      <c r="I210" s="545">
        <f t="shared" si="2"/>
        <v>764050</v>
      </c>
      <c r="J210" s="545">
        <f t="shared" si="1"/>
        <v>735770.00000000012</v>
      </c>
      <c r="K210" s="545">
        <f t="shared" si="3"/>
        <v>315000.00000000006</v>
      </c>
      <c r="L210" s="546">
        <f t="shared" si="4"/>
        <v>5314820</v>
      </c>
      <c r="AD210" s="547">
        <f t="shared" si="5"/>
        <v>0</v>
      </c>
      <c r="AM210" s="548" t="s">
        <v>687</v>
      </c>
      <c r="AN210" s="57" t="s">
        <v>686</v>
      </c>
    </row>
    <row r="211" spans="2:40" x14ac:dyDescent="0.35">
      <c r="B211" s="549" t="s">
        <v>1014</v>
      </c>
      <c r="C211" s="542">
        <v>1</v>
      </c>
      <c r="D211" s="543" t="s">
        <v>685</v>
      </c>
      <c r="E211" s="542">
        <v>30</v>
      </c>
      <c r="F211" s="544">
        <v>2100000</v>
      </c>
      <c r="G211" s="542" t="s">
        <v>338</v>
      </c>
      <c r="H211" s="545">
        <f t="shared" si="0"/>
        <v>162000</v>
      </c>
      <c r="I211" s="545">
        <f t="shared" si="2"/>
        <v>458430</v>
      </c>
      <c r="J211" s="545">
        <f t="shared" si="1"/>
        <v>441462.00000000006</v>
      </c>
      <c r="K211" s="545">
        <f t="shared" si="3"/>
        <v>189000.00000000003</v>
      </c>
      <c r="L211" s="546">
        <f t="shared" si="4"/>
        <v>3350892</v>
      </c>
      <c r="AD211" s="547">
        <f t="shared" si="5"/>
        <v>0</v>
      </c>
      <c r="AM211" s="548"/>
      <c r="AN211" s="57" t="s">
        <v>671</v>
      </c>
    </row>
    <row r="212" spans="2:40" x14ac:dyDescent="0.35">
      <c r="B212" s="549"/>
      <c r="C212" s="542"/>
      <c r="D212" s="543"/>
      <c r="E212" s="542"/>
      <c r="F212" s="544"/>
      <c r="G212" s="542"/>
      <c r="H212" s="545">
        <f t="shared" si="0"/>
        <v>0</v>
      </c>
      <c r="I212" s="545">
        <f t="shared" si="2"/>
        <v>0</v>
      </c>
      <c r="J212" s="545">
        <f t="shared" si="1"/>
        <v>0</v>
      </c>
      <c r="K212" s="545">
        <f t="shared" si="3"/>
        <v>0</v>
      </c>
      <c r="L212" s="546">
        <f t="shared" si="4"/>
        <v>0</v>
      </c>
      <c r="AD212" s="547">
        <f t="shared" si="5"/>
        <v>0</v>
      </c>
    </row>
    <row r="213" spans="2:40" x14ac:dyDescent="0.35">
      <c r="B213" s="549"/>
      <c r="C213" s="542"/>
      <c r="D213" s="543"/>
      <c r="E213" s="542"/>
      <c r="F213" s="544"/>
      <c r="G213" s="542"/>
      <c r="H213" s="545">
        <f t="shared" si="0"/>
        <v>0</v>
      </c>
      <c r="I213" s="545">
        <f t="shared" si="2"/>
        <v>0</v>
      </c>
      <c r="J213" s="545">
        <f t="shared" si="1"/>
        <v>0</v>
      </c>
      <c r="K213" s="545">
        <f t="shared" si="3"/>
        <v>0</v>
      </c>
      <c r="L213" s="546">
        <f t="shared" si="4"/>
        <v>0</v>
      </c>
      <c r="AD213" s="547">
        <f t="shared" si="5"/>
        <v>0</v>
      </c>
    </row>
    <row r="214" spans="2:40" x14ac:dyDescent="0.35">
      <c r="B214" s="549"/>
      <c r="C214" s="542"/>
      <c r="D214" s="543"/>
      <c r="E214" s="542"/>
      <c r="F214" s="544"/>
      <c r="G214" s="542"/>
      <c r="H214" s="545">
        <f t="shared" si="0"/>
        <v>0</v>
      </c>
      <c r="I214" s="545">
        <f t="shared" si="2"/>
        <v>0</v>
      </c>
      <c r="J214" s="545">
        <f t="shared" si="1"/>
        <v>0</v>
      </c>
      <c r="K214" s="545">
        <f t="shared" si="3"/>
        <v>0</v>
      </c>
      <c r="L214" s="546">
        <f t="shared" si="4"/>
        <v>0</v>
      </c>
      <c r="AD214" s="547">
        <f t="shared" si="5"/>
        <v>0</v>
      </c>
    </row>
    <row r="215" spans="2:40" x14ac:dyDescent="0.35">
      <c r="B215" s="549"/>
      <c r="C215" s="542"/>
      <c r="D215" s="543"/>
      <c r="E215" s="542"/>
      <c r="F215" s="544"/>
      <c r="G215" s="542"/>
      <c r="H215" s="545">
        <f t="shared" si="0"/>
        <v>0</v>
      </c>
      <c r="I215" s="545">
        <f t="shared" si="2"/>
        <v>0</v>
      </c>
      <c r="J215" s="545">
        <f t="shared" si="1"/>
        <v>0</v>
      </c>
      <c r="K215" s="545">
        <f t="shared" si="3"/>
        <v>0</v>
      </c>
      <c r="L215" s="546">
        <f t="shared" si="4"/>
        <v>0</v>
      </c>
      <c r="AD215" s="547">
        <f t="shared" si="5"/>
        <v>0</v>
      </c>
    </row>
    <row r="216" spans="2:40" x14ac:dyDescent="0.35">
      <c r="B216" s="549"/>
      <c r="C216" s="542"/>
      <c r="D216" s="543"/>
      <c r="E216" s="542"/>
      <c r="F216" s="544"/>
      <c r="G216" s="542"/>
      <c r="H216" s="545">
        <f t="shared" si="0"/>
        <v>0</v>
      </c>
      <c r="I216" s="545">
        <f t="shared" si="2"/>
        <v>0</v>
      </c>
      <c r="J216" s="545">
        <f t="shared" si="1"/>
        <v>0</v>
      </c>
      <c r="K216" s="545">
        <f t="shared" si="3"/>
        <v>0</v>
      </c>
      <c r="L216" s="546">
        <f t="shared" si="4"/>
        <v>0</v>
      </c>
      <c r="AD216" s="547">
        <f t="shared" si="5"/>
        <v>0</v>
      </c>
    </row>
    <row r="217" spans="2:40" x14ac:dyDescent="0.35">
      <c r="B217" s="549"/>
      <c r="C217" s="542"/>
      <c r="D217" s="543"/>
      <c r="E217" s="542"/>
      <c r="F217" s="544"/>
      <c r="G217" s="542"/>
      <c r="H217" s="545">
        <f t="shared" si="0"/>
        <v>0</v>
      </c>
      <c r="I217" s="545">
        <f t="shared" si="2"/>
        <v>0</v>
      </c>
      <c r="J217" s="545">
        <f t="shared" si="1"/>
        <v>0</v>
      </c>
      <c r="K217" s="545">
        <f t="shared" si="3"/>
        <v>0</v>
      </c>
      <c r="L217" s="546">
        <f t="shared" si="4"/>
        <v>0</v>
      </c>
      <c r="AD217" s="547">
        <f t="shared" si="5"/>
        <v>0</v>
      </c>
    </row>
    <row r="218" spans="2:40" x14ac:dyDescent="0.35">
      <c r="B218" s="549"/>
      <c r="C218" s="542"/>
      <c r="D218" s="543"/>
      <c r="E218" s="542"/>
      <c r="F218" s="544"/>
      <c r="G218" s="542"/>
      <c r="H218" s="545">
        <f t="shared" si="0"/>
        <v>0</v>
      </c>
      <c r="I218" s="545">
        <f t="shared" si="2"/>
        <v>0</v>
      </c>
      <c r="J218" s="545">
        <f t="shared" si="1"/>
        <v>0</v>
      </c>
      <c r="K218" s="545">
        <f t="shared" si="3"/>
        <v>0</v>
      </c>
      <c r="L218" s="546">
        <f t="shared" si="4"/>
        <v>0</v>
      </c>
      <c r="AD218" s="547">
        <f t="shared" si="5"/>
        <v>0</v>
      </c>
    </row>
    <row r="219" spans="2:40" x14ac:dyDescent="0.35">
      <c r="B219" s="549"/>
      <c r="C219" s="542"/>
      <c r="D219" s="543"/>
      <c r="E219" s="542"/>
      <c r="F219" s="544"/>
      <c r="G219" s="542"/>
      <c r="H219" s="545">
        <f t="shared" si="0"/>
        <v>0</v>
      </c>
      <c r="I219" s="545">
        <f t="shared" si="2"/>
        <v>0</v>
      </c>
      <c r="J219" s="545">
        <f t="shared" si="1"/>
        <v>0</v>
      </c>
      <c r="K219" s="545">
        <f t="shared" si="3"/>
        <v>0</v>
      </c>
      <c r="L219" s="546">
        <f t="shared" si="4"/>
        <v>0</v>
      </c>
      <c r="AD219" s="547">
        <f t="shared" si="5"/>
        <v>0</v>
      </c>
    </row>
    <row r="220" spans="2:40" ht="16" thickBot="1" x14ac:dyDescent="0.4">
      <c r="B220" s="550" t="s">
        <v>688</v>
      </c>
      <c r="C220" s="551">
        <f>SUM(C207:C219)</f>
        <v>5</v>
      </c>
      <c r="D220" s="552"/>
      <c r="E220" s="552"/>
      <c r="F220" s="553">
        <f>SUM(F207:F219)</f>
        <v>15100000</v>
      </c>
      <c r="G220" s="552"/>
      <c r="H220" s="553">
        <f>SUM(H207:H219)</f>
        <v>324000</v>
      </c>
      <c r="I220" s="553">
        <f>SUM(I207:I219)</f>
        <v>3296330</v>
      </c>
      <c r="J220" s="553">
        <f>SUM(J207:J219)</f>
        <v>3174322.0000000005</v>
      </c>
      <c r="K220" s="553">
        <f>SUM(K207:K219)</f>
        <v>1359000.0000000002</v>
      </c>
      <c r="L220" s="554">
        <f>SUM(L207:L219)</f>
        <v>23253652</v>
      </c>
      <c r="AD220" s="547">
        <f t="shared" si="5"/>
        <v>0</v>
      </c>
    </row>
    <row r="222" spans="2:40" x14ac:dyDescent="0.35">
      <c r="B222" s="1610" t="s">
        <v>689</v>
      </c>
      <c r="C222" s="1610"/>
      <c r="D222" s="1610"/>
      <c r="E222" s="1610"/>
      <c r="F222" s="1610"/>
      <c r="G222" s="1610"/>
      <c r="H222" s="1610"/>
      <c r="I222" s="1610"/>
      <c r="J222" s="1610"/>
      <c r="K222" s="1610"/>
      <c r="L222" s="1610"/>
    </row>
    <row r="224" spans="2:40" x14ac:dyDescent="0.35">
      <c r="B224" s="1610" t="s">
        <v>949</v>
      </c>
      <c r="C224" s="1610"/>
      <c r="D224" s="1610"/>
      <c r="E224" s="1610"/>
      <c r="F224" s="1610"/>
      <c r="G224" s="1610"/>
      <c r="H224" s="1610"/>
      <c r="I224" s="1610"/>
      <c r="J224" s="1610"/>
      <c r="K224" s="1610"/>
      <c r="L224" s="1610"/>
    </row>
    <row r="226" spans="2:12" x14ac:dyDescent="0.35">
      <c r="B226" s="1610" t="s">
        <v>950</v>
      </c>
      <c r="C226" s="1610"/>
      <c r="D226" s="1610"/>
      <c r="E226" s="1610"/>
      <c r="F226" s="1610"/>
      <c r="G226" s="1610"/>
      <c r="H226" s="1610"/>
      <c r="I226" s="1610"/>
      <c r="J226" s="1610"/>
      <c r="K226" s="1610"/>
      <c r="L226" s="1610"/>
    </row>
    <row r="227" spans="2:12" ht="16" thickBot="1" x14ac:dyDescent="0.4"/>
    <row r="228" spans="2:12" x14ac:dyDescent="0.35">
      <c r="B228" s="1587" t="s">
        <v>692</v>
      </c>
      <c r="C228" s="1588"/>
      <c r="D228" s="1589"/>
      <c r="E228" s="555" t="s">
        <v>146</v>
      </c>
      <c r="F228" s="555" t="s">
        <v>147</v>
      </c>
      <c r="G228" s="555" t="s">
        <v>148</v>
      </c>
      <c r="H228" s="556" t="s">
        <v>149</v>
      </c>
      <c r="J228" s="557"/>
    </row>
    <row r="229" spans="2:12" ht="16" thickBot="1" x14ac:dyDescent="0.4">
      <c r="B229" s="1590"/>
      <c r="C229" s="1591"/>
      <c r="D229" s="1592"/>
      <c r="E229" s="616">
        <f>'Estudio de Mercados'!C51</f>
        <v>4.7699999999999999E-2</v>
      </c>
      <c r="F229" s="616">
        <f>'Estudio de Mercados'!D51</f>
        <v>3.6999999999999998E-2</v>
      </c>
      <c r="G229" s="616">
        <f>'Estudio de Mercados'!E51</f>
        <v>3.1E-2</v>
      </c>
      <c r="H229" s="617">
        <f>'Estudio de Mercados'!F51</f>
        <v>3.49E-2</v>
      </c>
    </row>
    <row r="231" spans="2:12" ht="16" thickBot="1" x14ac:dyDescent="0.4"/>
    <row r="232" spans="2:12" ht="16" thickBot="1" x14ac:dyDescent="0.4">
      <c r="C232" s="58"/>
      <c r="D232" s="58"/>
      <c r="E232" s="58"/>
      <c r="F232" s="58"/>
      <c r="G232" s="58"/>
      <c r="H232" s="1611" t="s">
        <v>693</v>
      </c>
      <c r="I232" s="1612"/>
      <c r="J232" s="1612"/>
      <c r="K232" s="1613"/>
    </row>
    <row r="233" spans="2:12" ht="31" x14ac:dyDescent="0.35">
      <c r="C233" s="1614" t="s">
        <v>673</v>
      </c>
      <c r="D233" s="1615"/>
      <c r="E233" s="520" t="s">
        <v>694</v>
      </c>
      <c r="F233" s="520" t="s">
        <v>695</v>
      </c>
      <c r="G233" s="520" t="s">
        <v>631</v>
      </c>
      <c r="H233" s="520" t="s">
        <v>632</v>
      </c>
      <c r="I233" s="520" t="s">
        <v>633</v>
      </c>
      <c r="J233" s="520" t="s">
        <v>634</v>
      </c>
      <c r="K233" s="538" t="s">
        <v>635</v>
      </c>
    </row>
    <row r="234" spans="2:12" x14ac:dyDescent="0.35">
      <c r="C234" s="1626" t="str">
        <f>+B207</f>
        <v>Administrador</v>
      </c>
      <c r="D234" s="1567"/>
      <c r="E234" s="509">
        <v>12</v>
      </c>
      <c r="F234" s="558">
        <f>+L207</f>
        <v>6833340</v>
      </c>
      <c r="G234" s="558">
        <f>+(F234*E234)</f>
        <v>82000080</v>
      </c>
      <c r="H234" s="558">
        <f>+(G234*$E$229)+G234</f>
        <v>85911483.816</v>
      </c>
      <c r="I234" s="558">
        <f>+(H234*$F$229)+H234</f>
        <v>89090208.717191994</v>
      </c>
      <c r="J234" s="558">
        <f>+(I234*$G$229)+I234</f>
        <v>91852005.187424943</v>
      </c>
      <c r="K234" s="559">
        <f>+(J234*$H$229)+J234</f>
        <v>95057640.168466076</v>
      </c>
    </row>
    <row r="235" spans="2:12" x14ac:dyDescent="0.35">
      <c r="C235" s="1626" t="str">
        <f t="shared" ref="C235:C246" si="6">+B208</f>
        <v>Auxiliar Administrativo</v>
      </c>
      <c r="D235" s="1567"/>
      <c r="E235" s="509">
        <v>12</v>
      </c>
      <c r="F235" s="558">
        <f t="shared" ref="F235:F246" si="7">+L208</f>
        <v>3199040</v>
      </c>
      <c r="G235" s="558">
        <f t="shared" ref="G235:G246" si="8">+(F235*E235)</f>
        <v>38388480</v>
      </c>
      <c r="H235" s="558">
        <f t="shared" ref="H235:H246" si="9">+(G235*$E$229)+G235</f>
        <v>40219610.495999999</v>
      </c>
      <c r="I235" s="558">
        <f t="shared" ref="I235:I246" si="10">+(H235*$F$229)+H235</f>
        <v>41707736.084352002</v>
      </c>
      <c r="J235" s="558">
        <f t="shared" ref="J235:J246" si="11">+(I235*$G$229)+I235</f>
        <v>43000675.902966917</v>
      </c>
      <c r="K235" s="559">
        <f t="shared" ref="K235:K246" si="12">+(J235*$H$229)+J235</f>
        <v>44501399.491980463</v>
      </c>
    </row>
    <row r="236" spans="2:12" x14ac:dyDescent="0.35">
      <c r="C236" s="1626" t="str">
        <f t="shared" si="6"/>
        <v>Líder de ventas</v>
      </c>
      <c r="D236" s="1567"/>
      <c r="E236" s="509">
        <v>12</v>
      </c>
      <c r="F236" s="558">
        <f t="shared" si="7"/>
        <v>4555560</v>
      </c>
      <c r="G236" s="558">
        <f t="shared" si="8"/>
        <v>54666720</v>
      </c>
      <c r="H236" s="558">
        <f t="shared" si="9"/>
        <v>57274322.544</v>
      </c>
      <c r="I236" s="558">
        <f t="shared" si="10"/>
        <v>59393472.478128001</v>
      </c>
      <c r="J236" s="558">
        <f t="shared" si="11"/>
        <v>61234670.124949969</v>
      </c>
      <c r="K236" s="559">
        <f t="shared" si="12"/>
        <v>63371760.112310722</v>
      </c>
    </row>
    <row r="237" spans="2:12" x14ac:dyDescent="0.35">
      <c r="C237" s="1626" t="str">
        <f t="shared" si="6"/>
        <v>Tesorero contador</v>
      </c>
      <c r="D237" s="1567"/>
      <c r="E237" s="509">
        <v>12</v>
      </c>
      <c r="F237" s="558">
        <f t="shared" si="7"/>
        <v>5314820</v>
      </c>
      <c r="G237" s="558">
        <f t="shared" si="8"/>
        <v>63777840</v>
      </c>
      <c r="H237" s="558">
        <f t="shared" si="9"/>
        <v>66820042.968000002</v>
      </c>
      <c r="I237" s="558">
        <f t="shared" si="10"/>
        <v>69292384.557815999</v>
      </c>
      <c r="J237" s="558">
        <f t="shared" si="11"/>
        <v>71440448.479108289</v>
      </c>
      <c r="K237" s="559">
        <f t="shared" si="12"/>
        <v>73933720.131029174</v>
      </c>
    </row>
    <row r="238" spans="2:12" x14ac:dyDescent="0.35">
      <c r="C238" s="1626" t="str">
        <f t="shared" si="6"/>
        <v>Lider de Sistemas</v>
      </c>
      <c r="D238" s="1567"/>
      <c r="E238" s="509">
        <v>12</v>
      </c>
      <c r="F238" s="558">
        <f t="shared" si="7"/>
        <v>3350892</v>
      </c>
      <c r="G238" s="558">
        <f t="shared" si="8"/>
        <v>40210704</v>
      </c>
      <c r="H238" s="558">
        <f t="shared" si="9"/>
        <v>42128754.580799997</v>
      </c>
      <c r="I238" s="558">
        <f t="shared" si="10"/>
        <v>43687518.500289597</v>
      </c>
      <c r="J238" s="558">
        <f t="shared" si="11"/>
        <v>45041831.573798575</v>
      </c>
      <c r="K238" s="559">
        <f t="shared" si="12"/>
        <v>46613791.495724142</v>
      </c>
    </row>
    <row r="239" spans="2:12" x14ac:dyDescent="0.35">
      <c r="C239" s="1626">
        <f t="shared" si="6"/>
        <v>0</v>
      </c>
      <c r="D239" s="1567"/>
      <c r="E239" s="509">
        <v>12</v>
      </c>
      <c r="F239" s="558">
        <f t="shared" si="7"/>
        <v>0</v>
      </c>
      <c r="G239" s="558">
        <f t="shared" si="8"/>
        <v>0</v>
      </c>
      <c r="H239" s="558">
        <f t="shared" si="9"/>
        <v>0</v>
      </c>
      <c r="I239" s="558">
        <f t="shared" si="10"/>
        <v>0</v>
      </c>
      <c r="J239" s="558">
        <f t="shared" si="11"/>
        <v>0</v>
      </c>
      <c r="K239" s="559">
        <f t="shared" si="12"/>
        <v>0</v>
      </c>
    </row>
    <row r="240" spans="2:12" x14ac:dyDescent="0.35">
      <c r="C240" s="1626">
        <f t="shared" si="6"/>
        <v>0</v>
      </c>
      <c r="D240" s="1567"/>
      <c r="E240" s="509">
        <v>12</v>
      </c>
      <c r="F240" s="558">
        <f t="shared" si="7"/>
        <v>0</v>
      </c>
      <c r="G240" s="558">
        <f t="shared" si="8"/>
        <v>0</v>
      </c>
      <c r="H240" s="558">
        <f t="shared" si="9"/>
        <v>0</v>
      </c>
      <c r="I240" s="558">
        <f t="shared" si="10"/>
        <v>0</v>
      </c>
      <c r="J240" s="558">
        <f t="shared" si="11"/>
        <v>0</v>
      </c>
      <c r="K240" s="559">
        <f t="shared" si="12"/>
        <v>0</v>
      </c>
    </row>
    <row r="241" spans="2:13" x14ac:dyDescent="0.35">
      <c r="C241" s="1626">
        <f t="shared" si="6"/>
        <v>0</v>
      </c>
      <c r="D241" s="1567"/>
      <c r="E241" s="509">
        <v>12</v>
      </c>
      <c r="F241" s="558">
        <f t="shared" si="7"/>
        <v>0</v>
      </c>
      <c r="G241" s="558">
        <f t="shared" si="8"/>
        <v>0</v>
      </c>
      <c r="H241" s="558">
        <f t="shared" si="9"/>
        <v>0</v>
      </c>
      <c r="I241" s="558">
        <f t="shared" si="10"/>
        <v>0</v>
      </c>
      <c r="J241" s="558">
        <f t="shared" si="11"/>
        <v>0</v>
      </c>
      <c r="K241" s="559">
        <f t="shared" si="12"/>
        <v>0</v>
      </c>
    </row>
    <row r="242" spans="2:13" x14ac:dyDescent="0.35">
      <c r="C242" s="1626">
        <f t="shared" si="6"/>
        <v>0</v>
      </c>
      <c r="D242" s="1567"/>
      <c r="E242" s="509">
        <v>12</v>
      </c>
      <c r="F242" s="558">
        <f t="shared" si="7"/>
        <v>0</v>
      </c>
      <c r="G242" s="558">
        <f t="shared" si="8"/>
        <v>0</v>
      </c>
      <c r="H242" s="558">
        <f t="shared" si="9"/>
        <v>0</v>
      </c>
      <c r="I242" s="558">
        <f t="shared" si="10"/>
        <v>0</v>
      </c>
      <c r="J242" s="558">
        <f t="shared" si="11"/>
        <v>0</v>
      </c>
      <c r="K242" s="559">
        <f t="shared" si="12"/>
        <v>0</v>
      </c>
    </row>
    <row r="243" spans="2:13" x14ac:dyDescent="0.35">
      <c r="C243" s="1626">
        <f t="shared" si="6"/>
        <v>0</v>
      </c>
      <c r="D243" s="1567"/>
      <c r="E243" s="509">
        <v>12</v>
      </c>
      <c r="F243" s="558">
        <f t="shared" si="7"/>
        <v>0</v>
      </c>
      <c r="G243" s="558">
        <f t="shared" si="8"/>
        <v>0</v>
      </c>
      <c r="H243" s="558">
        <f t="shared" si="9"/>
        <v>0</v>
      </c>
      <c r="I243" s="558">
        <f t="shared" si="10"/>
        <v>0</v>
      </c>
      <c r="J243" s="558">
        <f t="shared" si="11"/>
        <v>0</v>
      </c>
      <c r="K243" s="559">
        <f t="shared" si="12"/>
        <v>0</v>
      </c>
    </row>
    <row r="244" spans="2:13" x14ac:dyDescent="0.35">
      <c r="C244" s="1626">
        <f t="shared" si="6"/>
        <v>0</v>
      </c>
      <c r="D244" s="1567"/>
      <c r="E244" s="509">
        <v>12</v>
      </c>
      <c r="F244" s="558">
        <f t="shared" si="7"/>
        <v>0</v>
      </c>
      <c r="G244" s="558">
        <f t="shared" si="8"/>
        <v>0</v>
      </c>
      <c r="H244" s="558">
        <f t="shared" si="9"/>
        <v>0</v>
      </c>
      <c r="I244" s="558">
        <f t="shared" si="10"/>
        <v>0</v>
      </c>
      <c r="J244" s="558">
        <f t="shared" si="11"/>
        <v>0</v>
      </c>
      <c r="K244" s="559">
        <f t="shared" si="12"/>
        <v>0</v>
      </c>
    </row>
    <row r="245" spans="2:13" x14ac:dyDescent="0.35">
      <c r="C245" s="1626">
        <f t="shared" si="6"/>
        <v>0</v>
      </c>
      <c r="D245" s="1567"/>
      <c r="E245" s="509">
        <v>12</v>
      </c>
      <c r="F245" s="558">
        <f t="shared" si="7"/>
        <v>0</v>
      </c>
      <c r="G245" s="558">
        <f t="shared" si="8"/>
        <v>0</v>
      </c>
      <c r="H245" s="558">
        <f t="shared" si="9"/>
        <v>0</v>
      </c>
      <c r="I245" s="558">
        <f t="shared" si="10"/>
        <v>0</v>
      </c>
      <c r="J245" s="558">
        <f t="shared" si="11"/>
        <v>0</v>
      </c>
      <c r="K245" s="559">
        <f t="shared" si="12"/>
        <v>0</v>
      </c>
    </row>
    <row r="246" spans="2:13" x14ac:dyDescent="0.35">
      <c r="C246" s="1626">
        <f t="shared" si="6"/>
        <v>0</v>
      </c>
      <c r="D246" s="1567"/>
      <c r="E246" s="509">
        <v>12</v>
      </c>
      <c r="F246" s="558">
        <f t="shared" si="7"/>
        <v>0</v>
      </c>
      <c r="G246" s="558">
        <f t="shared" si="8"/>
        <v>0</v>
      </c>
      <c r="H246" s="558">
        <f t="shared" si="9"/>
        <v>0</v>
      </c>
      <c r="I246" s="558">
        <f t="shared" si="10"/>
        <v>0</v>
      </c>
      <c r="J246" s="558">
        <f t="shared" si="11"/>
        <v>0</v>
      </c>
      <c r="K246" s="559">
        <f t="shared" si="12"/>
        <v>0</v>
      </c>
    </row>
    <row r="247" spans="2:13" ht="16" thickBot="1" x14ac:dyDescent="0.4">
      <c r="C247" s="1627" t="s">
        <v>688</v>
      </c>
      <c r="D247" s="1628"/>
      <c r="E247" s="560"/>
      <c r="F247" s="561">
        <f t="shared" ref="F247:K247" si="13">SUM(F234:F246)</f>
        <v>23253652</v>
      </c>
      <c r="G247" s="561">
        <f t="shared" si="13"/>
        <v>279043824</v>
      </c>
      <c r="H247" s="561">
        <f t="shared" si="13"/>
        <v>292354214.4048</v>
      </c>
      <c r="I247" s="561">
        <f t="shared" si="13"/>
        <v>303171320.33777761</v>
      </c>
      <c r="J247" s="561">
        <f t="shared" si="13"/>
        <v>312569631.26824874</v>
      </c>
      <c r="K247" s="562">
        <f t="shared" si="13"/>
        <v>323478311.39951056</v>
      </c>
    </row>
    <row r="250" spans="2:13" ht="51" customHeight="1" x14ac:dyDescent="0.35">
      <c r="B250" s="1608" t="s">
        <v>951</v>
      </c>
      <c r="C250" s="1609"/>
      <c r="D250" s="1609"/>
      <c r="E250" s="1609"/>
      <c r="F250" s="1609"/>
      <c r="G250" s="1609"/>
      <c r="H250" s="1609"/>
      <c r="I250" s="1609"/>
      <c r="J250" s="1609"/>
      <c r="K250" s="1609"/>
      <c r="L250" s="1609"/>
      <c r="M250" s="1609"/>
    </row>
    <row r="251" spans="2:13" ht="16" thickBot="1" x14ac:dyDescent="0.4"/>
    <row r="252" spans="2:13" ht="45" customHeight="1" x14ac:dyDescent="0.35">
      <c r="B252" s="1629" t="s">
        <v>698</v>
      </c>
      <c r="C252" s="1630"/>
      <c r="D252" s="563"/>
      <c r="E252" s="58"/>
      <c r="F252" s="537" t="s">
        <v>673</v>
      </c>
      <c r="G252" s="520" t="s">
        <v>616</v>
      </c>
      <c r="H252" s="520" t="s">
        <v>674</v>
      </c>
      <c r="I252" s="520" t="s">
        <v>675</v>
      </c>
      <c r="J252" s="520" t="s">
        <v>676</v>
      </c>
      <c r="K252" s="564" t="s">
        <v>699</v>
      </c>
      <c r="L252" s="538" t="s">
        <v>681</v>
      </c>
    </row>
    <row r="253" spans="2:13" ht="16" thickBot="1" x14ac:dyDescent="0.4">
      <c r="B253" s="58"/>
      <c r="C253" s="58"/>
      <c r="D253" s="58"/>
      <c r="E253" s="58"/>
      <c r="F253" s="541"/>
      <c r="G253" s="542"/>
      <c r="H253" s="543"/>
      <c r="I253" s="542"/>
      <c r="J253" s="544"/>
      <c r="K253" s="545">
        <f>+(J253*$D$266)</f>
        <v>0</v>
      </c>
      <c r="L253" s="546">
        <f>+(J253+K253)*G253</f>
        <v>0</v>
      </c>
    </row>
    <row r="254" spans="2:13" ht="15" customHeight="1" x14ac:dyDescent="0.35">
      <c r="B254" s="1618" t="s">
        <v>700</v>
      </c>
      <c r="C254" s="1619"/>
      <c r="D254" s="1620"/>
      <c r="E254" s="58"/>
      <c r="F254" s="549"/>
      <c r="G254" s="542"/>
      <c r="H254" s="543"/>
      <c r="I254" s="542"/>
      <c r="J254" s="544"/>
      <c r="K254" s="545">
        <f t="shared" ref="K254:K265" si="14">+(J254*$D$266)</f>
        <v>0</v>
      </c>
      <c r="L254" s="546">
        <f t="shared" ref="L254:L265" si="15">+(J254+K254)*G254</f>
        <v>0</v>
      </c>
    </row>
    <row r="255" spans="2:13" x14ac:dyDescent="0.35">
      <c r="B255" s="1621"/>
      <c r="C255" s="1622"/>
      <c r="D255" s="1623"/>
      <c r="E255" s="58"/>
      <c r="F255" s="549"/>
      <c r="G255" s="542"/>
      <c r="H255" s="543"/>
      <c r="I255" s="542"/>
      <c r="J255" s="544"/>
      <c r="K255" s="545">
        <f t="shared" si="14"/>
        <v>0</v>
      </c>
      <c r="L255" s="546">
        <f t="shared" si="15"/>
        <v>0</v>
      </c>
    </row>
    <row r="256" spans="2:13" ht="15" customHeight="1" x14ac:dyDescent="0.35">
      <c r="B256" s="1624" t="s">
        <v>131</v>
      </c>
      <c r="C256" s="1625"/>
      <c r="D256" s="565" t="s">
        <v>645</v>
      </c>
      <c r="E256" s="58"/>
      <c r="F256" s="549"/>
      <c r="G256" s="542"/>
      <c r="H256" s="543"/>
      <c r="I256" s="542"/>
      <c r="J256" s="544"/>
      <c r="K256" s="545">
        <f t="shared" si="14"/>
        <v>0</v>
      </c>
      <c r="L256" s="546">
        <f t="shared" si="15"/>
        <v>0</v>
      </c>
    </row>
    <row r="257" spans="2:13" x14ac:dyDescent="0.35">
      <c r="B257" s="1616"/>
      <c r="C257" s="1617"/>
      <c r="D257" s="566"/>
      <c r="E257" s="58"/>
      <c r="F257" s="549"/>
      <c r="G257" s="542"/>
      <c r="H257" s="543"/>
      <c r="I257" s="542"/>
      <c r="J257" s="544"/>
      <c r="K257" s="545">
        <f t="shared" si="14"/>
        <v>0</v>
      </c>
      <c r="L257" s="546">
        <f t="shared" si="15"/>
        <v>0</v>
      </c>
    </row>
    <row r="258" spans="2:13" x14ac:dyDescent="0.35">
      <c r="B258" s="1616"/>
      <c r="C258" s="1617">
        <v>0.02</v>
      </c>
      <c r="D258" s="566"/>
      <c r="E258" s="58"/>
      <c r="F258" s="549"/>
      <c r="G258" s="542"/>
      <c r="H258" s="543"/>
      <c r="I258" s="542"/>
      <c r="J258" s="544"/>
      <c r="K258" s="545">
        <f t="shared" si="14"/>
        <v>0</v>
      </c>
      <c r="L258" s="546">
        <f t="shared" si="15"/>
        <v>0</v>
      </c>
    </row>
    <row r="259" spans="2:13" x14ac:dyDescent="0.35">
      <c r="B259" s="1616"/>
      <c r="C259" s="1617">
        <v>0.03</v>
      </c>
      <c r="D259" s="566"/>
      <c r="E259" s="58"/>
      <c r="F259" s="549"/>
      <c r="G259" s="542"/>
      <c r="H259" s="543"/>
      <c r="I259" s="542"/>
      <c r="J259" s="544"/>
      <c r="K259" s="545">
        <f t="shared" si="14"/>
        <v>0</v>
      </c>
      <c r="L259" s="546">
        <f t="shared" si="15"/>
        <v>0</v>
      </c>
    </row>
    <row r="260" spans="2:13" x14ac:dyDescent="0.35">
      <c r="B260" s="1616"/>
      <c r="C260" s="1617"/>
      <c r="D260" s="566"/>
      <c r="E260" s="58"/>
      <c r="F260" s="549"/>
      <c r="G260" s="542"/>
      <c r="H260" s="543"/>
      <c r="I260" s="542"/>
      <c r="J260" s="544"/>
      <c r="K260" s="545">
        <f t="shared" si="14"/>
        <v>0</v>
      </c>
      <c r="L260" s="546">
        <f t="shared" si="15"/>
        <v>0</v>
      </c>
    </row>
    <row r="261" spans="2:13" x14ac:dyDescent="0.35">
      <c r="B261" s="1616"/>
      <c r="C261" s="1617"/>
      <c r="D261" s="566"/>
      <c r="E261" s="58"/>
      <c r="F261" s="549"/>
      <c r="G261" s="542"/>
      <c r="H261" s="543"/>
      <c r="I261" s="542"/>
      <c r="J261" s="544"/>
      <c r="K261" s="545">
        <f t="shared" si="14"/>
        <v>0</v>
      </c>
      <c r="L261" s="546">
        <f t="shared" si="15"/>
        <v>0</v>
      </c>
    </row>
    <row r="262" spans="2:13" x14ac:dyDescent="0.35">
      <c r="B262" s="1616"/>
      <c r="C262" s="1617"/>
      <c r="D262" s="566"/>
      <c r="E262" s="58"/>
      <c r="F262" s="549"/>
      <c r="G262" s="542"/>
      <c r="H262" s="543"/>
      <c r="I262" s="542"/>
      <c r="J262" s="544"/>
      <c r="K262" s="545">
        <f t="shared" si="14"/>
        <v>0</v>
      </c>
      <c r="L262" s="546">
        <f t="shared" si="15"/>
        <v>0</v>
      </c>
    </row>
    <row r="263" spans="2:13" x14ac:dyDescent="0.35">
      <c r="B263" s="1616"/>
      <c r="C263" s="1617"/>
      <c r="D263" s="566"/>
      <c r="E263" s="58"/>
      <c r="F263" s="549"/>
      <c r="G263" s="542"/>
      <c r="H263" s="543"/>
      <c r="I263" s="542"/>
      <c r="J263" s="544"/>
      <c r="K263" s="545">
        <f t="shared" si="14"/>
        <v>0</v>
      </c>
      <c r="L263" s="546">
        <f t="shared" si="15"/>
        <v>0</v>
      </c>
    </row>
    <row r="264" spans="2:13" x14ac:dyDescent="0.35">
      <c r="B264" s="1616"/>
      <c r="C264" s="1617"/>
      <c r="D264" s="566"/>
      <c r="E264" s="58"/>
      <c r="F264" s="549"/>
      <c r="G264" s="542"/>
      <c r="H264" s="543"/>
      <c r="I264" s="542"/>
      <c r="J264" s="544"/>
      <c r="K264" s="545">
        <f t="shared" si="14"/>
        <v>0</v>
      </c>
      <c r="L264" s="546">
        <f t="shared" si="15"/>
        <v>0</v>
      </c>
    </row>
    <row r="265" spans="2:13" x14ac:dyDescent="0.35">
      <c r="B265" s="1616"/>
      <c r="C265" s="1617"/>
      <c r="D265" s="566"/>
      <c r="E265" s="58"/>
      <c r="F265" s="549"/>
      <c r="G265" s="542"/>
      <c r="H265" s="543"/>
      <c r="I265" s="542"/>
      <c r="J265" s="544"/>
      <c r="K265" s="545">
        <f t="shared" si="14"/>
        <v>0</v>
      </c>
      <c r="L265" s="546">
        <f t="shared" si="15"/>
        <v>0</v>
      </c>
    </row>
    <row r="266" spans="2:13" ht="16" thickBot="1" x14ac:dyDescent="0.4">
      <c r="B266" s="1605" t="s">
        <v>654</v>
      </c>
      <c r="C266" s="1606"/>
      <c r="D266" s="567">
        <f>SUM(D257:D265)</f>
        <v>0</v>
      </c>
      <c r="E266" s="58"/>
      <c r="F266" s="550" t="s">
        <v>654</v>
      </c>
      <c r="G266" s="551"/>
      <c r="H266" s="552"/>
      <c r="I266" s="551"/>
      <c r="J266" s="553">
        <f>SUM(J253:J265)</f>
        <v>0</v>
      </c>
      <c r="K266" s="553">
        <f>SUM(K253:K265)</f>
        <v>0</v>
      </c>
      <c r="L266" s="554">
        <f>SUM(L253:L265)</f>
        <v>0</v>
      </c>
      <c r="M266" s="557"/>
    </row>
    <row r="268" spans="2:13" x14ac:dyDescent="0.35">
      <c r="B268" s="1610" t="s">
        <v>689</v>
      </c>
      <c r="C268" s="1610"/>
      <c r="D268" s="1610"/>
      <c r="E268" s="1610"/>
      <c r="F268" s="1610"/>
      <c r="G268" s="1610"/>
      <c r="H268" s="1610"/>
      <c r="I268" s="1610"/>
      <c r="J268" s="1610"/>
      <c r="K268" s="1610"/>
      <c r="L268" s="1610"/>
    </row>
    <row r="270" spans="2:13" x14ac:dyDescent="0.35">
      <c r="B270" s="1610" t="s">
        <v>949</v>
      </c>
      <c r="C270" s="1610"/>
      <c r="D270" s="1610"/>
      <c r="E270" s="1610"/>
      <c r="F270" s="1610"/>
      <c r="G270" s="1610"/>
      <c r="H270" s="1610"/>
      <c r="I270" s="1610"/>
      <c r="J270" s="1610"/>
      <c r="K270" s="1610"/>
      <c r="L270" s="1610"/>
    </row>
    <row r="271" spans="2:13" ht="15" customHeight="1" x14ac:dyDescent="0.35"/>
    <row r="272" spans="2:13" x14ac:dyDescent="0.35">
      <c r="B272" s="1610" t="s">
        <v>950</v>
      </c>
      <c r="C272" s="1610"/>
      <c r="D272" s="1610"/>
      <c r="E272" s="1610"/>
      <c r="F272" s="1610"/>
      <c r="G272" s="1610"/>
      <c r="H272" s="1610"/>
      <c r="I272" s="1610"/>
      <c r="J272" s="1610"/>
      <c r="K272" s="1610"/>
      <c r="L272" s="1610"/>
    </row>
    <row r="273" spans="2:11" ht="16" thickBot="1" x14ac:dyDescent="0.4"/>
    <row r="274" spans="2:11" x14ac:dyDescent="0.35">
      <c r="B274" s="1587" t="s">
        <v>692</v>
      </c>
      <c r="C274" s="1588"/>
      <c r="D274" s="1589"/>
      <c r="E274" s="555" t="s">
        <v>146</v>
      </c>
      <c r="F274" s="555" t="s">
        <v>147</v>
      </c>
      <c r="G274" s="555" t="s">
        <v>148</v>
      </c>
      <c r="H274" s="556" t="s">
        <v>149</v>
      </c>
      <c r="I274" s="58"/>
      <c r="J274" s="58"/>
      <c r="K274" s="58"/>
    </row>
    <row r="275" spans="2:11" ht="16" thickBot="1" x14ac:dyDescent="0.4">
      <c r="B275" s="1590"/>
      <c r="C275" s="1591"/>
      <c r="D275" s="1592"/>
      <c r="E275" s="616">
        <f>'Estudio de Mercados'!C51</f>
        <v>4.7699999999999999E-2</v>
      </c>
      <c r="F275" s="616">
        <f>'Estudio de Mercados'!D51</f>
        <v>3.6999999999999998E-2</v>
      </c>
      <c r="G275" s="616">
        <f>'Estudio de Mercados'!E51</f>
        <v>3.1E-2</v>
      </c>
      <c r="H275" s="616">
        <f>'Estudio de Mercados'!F51</f>
        <v>3.49E-2</v>
      </c>
      <c r="I275" s="58"/>
      <c r="J275" s="58"/>
      <c r="K275" s="58"/>
    </row>
    <row r="276" spans="2:11" x14ac:dyDescent="0.35">
      <c r="B276" s="58"/>
      <c r="C276" s="58"/>
      <c r="D276" s="58"/>
      <c r="E276" s="58"/>
      <c r="F276" s="58"/>
      <c r="G276" s="58"/>
      <c r="H276" s="58"/>
      <c r="I276" s="58"/>
      <c r="J276" s="58"/>
      <c r="K276" s="58"/>
    </row>
    <row r="277" spans="2:11" ht="16" thickBot="1" x14ac:dyDescent="0.4">
      <c r="B277" s="58"/>
      <c r="C277" s="58"/>
      <c r="D277" s="58"/>
      <c r="E277" s="58"/>
      <c r="F277" s="58"/>
      <c r="G277" s="58"/>
      <c r="H277" s="58"/>
      <c r="I277" s="58"/>
      <c r="J277" s="58"/>
      <c r="K277" s="58"/>
    </row>
    <row r="278" spans="2:11" ht="16" thickBot="1" x14ac:dyDescent="0.4">
      <c r="B278" s="58"/>
      <c r="C278" s="58"/>
      <c r="D278" s="58"/>
      <c r="E278" s="58"/>
      <c r="F278" s="58"/>
      <c r="G278" s="58"/>
      <c r="H278" s="1611" t="s">
        <v>693</v>
      </c>
      <c r="I278" s="1612"/>
      <c r="J278" s="1612"/>
      <c r="K278" s="1613"/>
    </row>
    <row r="279" spans="2:11" ht="31" x14ac:dyDescent="0.35">
      <c r="B279" s="58"/>
      <c r="C279" s="1614" t="s">
        <v>673</v>
      </c>
      <c r="D279" s="1615"/>
      <c r="E279" s="520" t="s">
        <v>694</v>
      </c>
      <c r="F279" s="520" t="s">
        <v>695</v>
      </c>
      <c r="G279" s="520" t="s">
        <v>631</v>
      </c>
      <c r="H279" s="520" t="s">
        <v>632</v>
      </c>
      <c r="I279" s="520" t="s">
        <v>633</v>
      </c>
      <c r="J279" s="520" t="s">
        <v>634</v>
      </c>
      <c r="K279" s="538" t="s">
        <v>635</v>
      </c>
    </row>
    <row r="280" spans="2:11" ht="15" customHeight="1" x14ac:dyDescent="0.35">
      <c r="B280" s="58"/>
      <c r="C280" s="1603">
        <f t="shared" ref="C280:C292" si="16">+F253</f>
        <v>0</v>
      </c>
      <c r="D280" s="1604"/>
      <c r="E280" s="542"/>
      <c r="F280" s="545">
        <f t="shared" ref="F280:F292" si="17">+L253</f>
        <v>0</v>
      </c>
      <c r="G280" s="545">
        <f>+E280*F280</f>
        <v>0</v>
      </c>
      <c r="H280" s="545">
        <f>+(G280*$E$275)+G280</f>
        <v>0</v>
      </c>
      <c r="I280" s="545">
        <f>+(H280*$F$275)+H280</f>
        <v>0</v>
      </c>
      <c r="J280" s="545">
        <f>+(I280*$G$275)+I280</f>
        <v>0</v>
      </c>
      <c r="K280" s="546">
        <f>+(J280*$H$275)+J280</f>
        <v>0</v>
      </c>
    </row>
    <row r="281" spans="2:11" x14ac:dyDescent="0.35">
      <c r="B281" s="58"/>
      <c r="C281" s="1603">
        <f t="shared" si="16"/>
        <v>0</v>
      </c>
      <c r="D281" s="1604"/>
      <c r="E281" s="542"/>
      <c r="F281" s="545">
        <f t="shared" si="17"/>
        <v>0</v>
      </c>
      <c r="G281" s="545">
        <f t="shared" ref="G281:G292" si="18">+E281*F281</f>
        <v>0</v>
      </c>
      <c r="H281" s="545">
        <f t="shared" ref="H281:H292" si="19">+(G281*$E$275)+G281</f>
        <v>0</v>
      </c>
      <c r="I281" s="545">
        <f t="shared" ref="I281:I292" si="20">+(H281*$F$275)+H281</f>
        <v>0</v>
      </c>
      <c r="J281" s="545">
        <f t="shared" ref="J281:J292" si="21">+(I281*$G$275)+I281</f>
        <v>0</v>
      </c>
      <c r="K281" s="546">
        <f t="shared" ref="K281:K292" si="22">+(J281*$H$275)+J281</f>
        <v>0</v>
      </c>
    </row>
    <row r="282" spans="2:11" x14ac:dyDescent="0.35">
      <c r="B282" s="58"/>
      <c r="C282" s="1603">
        <f t="shared" si="16"/>
        <v>0</v>
      </c>
      <c r="D282" s="1604"/>
      <c r="E282" s="542"/>
      <c r="F282" s="545">
        <f t="shared" si="17"/>
        <v>0</v>
      </c>
      <c r="G282" s="545">
        <f t="shared" si="18"/>
        <v>0</v>
      </c>
      <c r="H282" s="545">
        <f t="shared" si="19"/>
        <v>0</v>
      </c>
      <c r="I282" s="545">
        <f t="shared" si="20"/>
        <v>0</v>
      </c>
      <c r="J282" s="545">
        <f t="shared" si="21"/>
        <v>0</v>
      </c>
      <c r="K282" s="546">
        <f t="shared" si="22"/>
        <v>0</v>
      </c>
    </row>
    <row r="283" spans="2:11" x14ac:dyDescent="0.35">
      <c r="B283" s="58"/>
      <c r="C283" s="1603">
        <f t="shared" si="16"/>
        <v>0</v>
      </c>
      <c r="D283" s="1604"/>
      <c r="E283" s="542"/>
      <c r="F283" s="545">
        <f t="shared" si="17"/>
        <v>0</v>
      </c>
      <c r="G283" s="545">
        <f t="shared" si="18"/>
        <v>0</v>
      </c>
      <c r="H283" s="545">
        <f t="shared" si="19"/>
        <v>0</v>
      </c>
      <c r="I283" s="545">
        <f t="shared" si="20"/>
        <v>0</v>
      </c>
      <c r="J283" s="545">
        <f t="shared" si="21"/>
        <v>0</v>
      </c>
      <c r="K283" s="546">
        <f t="shared" si="22"/>
        <v>0</v>
      </c>
    </row>
    <row r="284" spans="2:11" x14ac:dyDescent="0.35">
      <c r="B284" s="58"/>
      <c r="C284" s="1603">
        <f t="shared" si="16"/>
        <v>0</v>
      </c>
      <c r="D284" s="1604"/>
      <c r="E284" s="542"/>
      <c r="F284" s="545">
        <f t="shared" si="17"/>
        <v>0</v>
      </c>
      <c r="G284" s="545">
        <f t="shared" si="18"/>
        <v>0</v>
      </c>
      <c r="H284" s="545">
        <f t="shared" si="19"/>
        <v>0</v>
      </c>
      <c r="I284" s="545">
        <f t="shared" si="20"/>
        <v>0</v>
      </c>
      <c r="J284" s="545">
        <f t="shared" si="21"/>
        <v>0</v>
      </c>
      <c r="K284" s="546">
        <f t="shared" si="22"/>
        <v>0</v>
      </c>
    </row>
    <row r="285" spans="2:11" ht="15" customHeight="1" x14ac:dyDescent="0.35">
      <c r="B285" s="58"/>
      <c r="C285" s="1603">
        <f t="shared" si="16"/>
        <v>0</v>
      </c>
      <c r="D285" s="1604"/>
      <c r="E285" s="542"/>
      <c r="F285" s="545">
        <f t="shared" si="17"/>
        <v>0</v>
      </c>
      <c r="G285" s="545">
        <f t="shared" si="18"/>
        <v>0</v>
      </c>
      <c r="H285" s="545">
        <f t="shared" si="19"/>
        <v>0</v>
      </c>
      <c r="I285" s="545">
        <f t="shared" si="20"/>
        <v>0</v>
      </c>
      <c r="J285" s="545">
        <f t="shared" si="21"/>
        <v>0</v>
      </c>
      <c r="K285" s="546">
        <f t="shared" si="22"/>
        <v>0</v>
      </c>
    </row>
    <row r="286" spans="2:11" x14ac:dyDescent="0.35">
      <c r="B286" s="58"/>
      <c r="C286" s="1603">
        <f t="shared" si="16"/>
        <v>0</v>
      </c>
      <c r="D286" s="1604"/>
      <c r="E286" s="542"/>
      <c r="F286" s="545">
        <f t="shared" si="17"/>
        <v>0</v>
      </c>
      <c r="G286" s="545">
        <f t="shared" si="18"/>
        <v>0</v>
      </c>
      <c r="H286" s="545">
        <f t="shared" si="19"/>
        <v>0</v>
      </c>
      <c r="I286" s="545">
        <f t="shared" si="20"/>
        <v>0</v>
      </c>
      <c r="J286" s="545">
        <f t="shared" si="21"/>
        <v>0</v>
      </c>
      <c r="K286" s="546">
        <f t="shared" si="22"/>
        <v>0</v>
      </c>
    </row>
    <row r="287" spans="2:11" ht="15" customHeight="1" x14ac:dyDescent="0.35">
      <c r="B287" s="58"/>
      <c r="C287" s="1603">
        <f t="shared" si="16"/>
        <v>0</v>
      </c>
      <c r="D287" s="1604"/>
      <c r="E287" s="542"/>
      <c r="F287" s="545">
        <f t="shared" si="17"/>
        <v>0</v>
      </c>
      <c r="G287" s="545">
        <f t="shared" si="18"/>
        <v>0</v>
      </c>
      <c r="H287" s="545">
        <f t="shared" si="19"/>
        <v>0</v>
      </c>
      <c r="I287" s="545">
        <f t="shared" si="20"/>
        <v>0</v>
      </c>
      <c r="J287" s="545">
        <f t="shared" si="21"/>
        <v>0</v>
      </c>
      <c r="K287" s="546">
        <f t="shared" si="22"/>
        <v>0</v>
      </c>
    </row>
    <row r="288" spans="2:11" x14ac:dyDescent="0.35">
      <c r="B288" s="58"/>
      <c r="C288" s="1603">
        <f t="shared" si="16"/>
        <v>0</v>
      </c>
      <c r="D288" s="1604"/>
      <c r="E288" s="542"/>
      <c r="F288" s="545">
        <f t="shared" si="17"/>
        <v>0</v>
      </c>
      <c r="G288" s="545">
        <f t="shared" si="18"/>
        <v>0</v>
      </c>
      <c r="H288" s="545">
        <f t="shared" si="19"/>
        <v>0</v>
      </c>
      <c r="I288" s="545">
        <f t="shared" si="20"/>
        <v>0</v>
      </c>
      <c r="J288" s="545">
        <f t="shared" si="21"/>
        <v>0</v>
      </c>
      <c r="K288" s="546">
        <f t="shared" si="22"/>
        <v>0</v>
      </c>
    </row>
    <row r="289" spans="2:13" ht="15" customHeight="1" x14ac:dyDescent="0.35">
      <c r="B289" s="58"/>
      <c r="C289" s="1603">
        <f t="shared" si="16"/>
        <v>0</v>
      </c>
      <c r="D289" s="1604"/>
      <c r="E289" s="542"/>
      <c r="F289" s="545">
        <f t="shared" si="17"/>
        <v>0</v>
      </c>
      <c r="G289" s="545">
        <f t="shared" si="18"/>
        <v>0</v>
      </c>
      <c r="H289" s="545">
        <f t="shared" si="19"/>
        <v>0</v>
      </c>
      <c r="I289" s="545">
        <f t="shared" si="20"/>
        <v>0</v>
      </c>
      <c r="J289" s="545">
        <f t="shared" si="21"/>
        <v>0</v>
      </c>
      <c r="K289" s="546">
        <f t="shared" si="22"/>
        <v>0</v>
      </c>
    </row>
    <row r="290" spans="2:13" x14ac:dyDescent="0.35">
      <c r="B290" s="58"/>
      <c r="C290" s="1603">
        <f t="shared" si="16"/>
        <v>0</v>
      </c>
      <c r="D290" s="1604"/>
      <c r="E290" s="542"/>
      <c r="F290" s="545">
        <f t="shared" si="17"/>
        <v>0</v>
      </c>
      <c r="G290" s="545">
        <f t="shared" si="18"/>
        <v>0</v>
      </c>
      <c r="H290" s="545">
        <f t="shared" si="19"/>
        <v>0</v>
      </c>
      <c r="I290" s="545">
        <f t="shared" si="20"/>
        <v>0</v>
      </c>
      <c r="J290" s="545">
        <f t="shared" si="21"/>
        <v>0</v>
      </c>
      <c r="K290" s="546">
        <f t="shared" si="22"/>
        <v>0</v>
      </c>
    </row>
    <row r="291" spans="2:13" x14ac:dyDescent="0.35">
      <c r="B291" s="58"/>
      <c r="C291" s="1603">
        <f t="shared" si="16"/>
        <v>0</v>
      </c>
      <c r="D291" s="1604"/>
      <c r="E291" s="542"/>
      <c r="F291" s="545">
        <f t="shared" si="17"/>
        <v>0</v>
      </c>
      <c r="G291" s="545">
        <f t="shared" si="18"/>
        <v>0</v>
      </c>
      <c r="H291" s="545">
        <f t="shared" si="19"/>
        <v>0</v>
      </c>
      <c r="I291" s="545">
        <f t="shared" si="20"/>
        <v>0</v>
      </c>
      <c r="J291" s="545">
        <f t="shared" si="21"/>
        <v>0</v>
      </c>
      <c r="K291" s="546">
        <f t="shared" si="22"/>
        <v>0</v>
      </c>
    </row>
    <row r="292" spans="2:13" x14ac:dyDescent="0.35">
      <c r="B292" s="58"/>
      <c r="C292" s="1603">
        <f t="shared" si="16"/>
        <v>0</v>
      </c>
      <c r="D292" s="1604"/>
      <c r="E292" s="542"/>
      <c r="F292" s="545">
        <f t="shared" si="17"/>
        <v>0</v>
      </c>
      <c r="G292" s="545">
        <f t="shared" si="18"/>
        <v>0</v>
      </c>
      <c r="H292" s="545">
        <f t="shared" si="19"/>
        <v>0</v>
      </c>
      <c r="I292" s="545">
        <f t="shared" si="20"/>
        <v>0</v>
      </c>
      <c r="J292" s="545">
        <f t="shared" si="21"/>
        <v>0</v>
      </c>
      <c r="K292" s="546">
        <f t="shared" si="22"/>
        <v>0</v>
      </c>
    </row>
    <row r="293" spans="2:13" ht="16" thickBot="1" x14ac:dyDescent="0.4">
      <c r="B293" s="58"/>
      <c r="C293" s="1605" t="s">
        <v>688</v>
      </c>
      <c r="D293" s="1606"/>
      <c r="E293" s="552"/>
      <c r="F293" s="553">
        <f t="shared" ref="F293:K293" si="23">SUM(F280:F292)</f>
        <v>0</v>
      </c>
      <c r="G293" s="553">
        <f t="shared" si="23"/>
        <v>0</v>
      </c>
      <c r="H293" s="553">
        <f t="shared" si="23"/>
        <v>0</v>
      </c>
      <c r="I293" s="553">
        <f t="shared" si="23"/>
        <v>0</v>
      </c>
      <c r="J293" s="553">
        <f t="shared" si="23"/>
        <v>0</v>
      </c>
      <c r="K293" s="554">
        <f t="shared" si="23"/>
        <v>0</v>
      </c>
    </row>
    <row r="296" spans="2:13" ht="26" x14ac:dyDescent="0.6">
      <c r="B296" s="1607" t="s">
        <v>952</v>
      </c>
      <c r="C296" s="1607"/>
      <c r="D296" s="1607"/>
      <c r="E296" s="1607"/>
      <c r="F296" s="1607"/>
      <c r="G296" s="1607"/>
      <c r="H296" s="1607"/>
      <c r="I296" s="1607"/>
      <c r="J296" s="1607"/>
      <c r="K296" s="1607"/>
      <c r="L296" s="1607"/>
      <c r="M296" s="1607"/>
    </row>
    <row r="298" spans="2:13" ht="54.75" customHeight="1" x14ac:dyDescent="0.35">
      <c r="B298" s="1608" t="s">
        <v>1016</v>
      </c>
      <c r="C298" s="1609"/>
      <c r="D298" s="1609"/>
      <c r="E298" s="1609"/>
      <c r="F298" s="1609"/>
      <c r="G298" s="1609"/>
      <c r="H298" s="1609"/>
      <c r="I298" s="1609"/>
      <c r="J298" s="1609"/>
      <c r="K298" s="1609"/>
      <c r="L298" s="1609"/>
      <c r="M298" s="1609"/>
    </row>
    <row r="299" spans="2:13" x14ac:dyDescent="0.35">
      <c r="B299" s="514"/>
      <c r="C299" s="515"/>
      <c r="D299" s="515"/>
      <c r="E299" s="515"/>
      <c r="F299" s="515"/>
      <c r="G299" s="515"/>
      <c r="H299" s="515"/>
      <c r="I299" s="515"/>
      <c r="J299" s="515"/>
      <c r="K299" s="515"/>
      <c r="L299" s="515"/>
      <c r="M299" s="515"/>
    </row>
    <row r="300" spans="2:13" x14ac:dyDescent="0.35">
      <c r="B300" s="1566" t="s">
        <v>953</v>
      </c>
      <c r="C300" s="1566"/>
      <c r="D300" s="1566"/>
      <c r="E300" s="1566"/>
      <c r="F300" s="1566"/>
      <c r="G300" s="1566"/>
      <c r="H300" s="1566"/>
      <c r="I300" s="1566"/>
      <c r="J300" s="1566"/>
      <c r="K300" s="1566"/>
      <c r="L300" s="1566"/>
      <c r="M300" s="1566"/>
    </row>
    <row r="301" spans="2:13" x14ac:dyDescent="0.35">
      <c r="K301" s="515"/>
      <c r="L301" s="515"/>
      <c r="M301" s="515"/>
    </row>
    <row r="302" spans="2:13" x14ac:dyDescent="0.35">
      <c r="B302" s="1566" t="s">
        <v>950</v>
      </c>
      <c r="C302" s="1566"/>
      <c r="D302" s="1566"/>
      <c r="E302" s="1566"/>
      <c r="F302" s="1566"/>
      <c r="G302" s="1566"/>
      <c r="H302" s="1566"/>
      <c r="I302" s="1566"/>
      <c r="J302" s="1566"/>
      <c r="K302" s="1566"/>
      <c r="L302" s="1566"/>
      <c r="M302" s="1566"/>
    </row>
    <row r="303" spans="2:13" ht="16" thickBot="1" x14ac:dyDescent="0.4">
      <c r="K303" s="515"/>
      <c r="L303" s="515"/>
      <c r="M303" s="515"/>
    </row>
    <row r="304" spans="2:13" ht="15.75" customHeight="1" x14ac:dyDescent="0.35">
      <c r="B304" s="1587" t="s">
        <v>692</v>
      </c>
      <c r="C304" s="1588"/>
      <c r="D304" s="1589"/>
      <c r="E304" s="555" t="s">
        <v>146</v>
      </c>
      <c r="F304" s="555" t="s">
        <v>147</v>
      </c>
      <c r="G304" s="555" t="s">
        <v>148</v>
      </c>
      <c r="H304" s="556" t="s">
        <v>149</v>
      </c>
      <c r="I304" s="58"/>
      <c r="J304" s="58"/>
      <c r="K304" s="58"/>
      <c r="L304" s="58"/>
    </row>
    <row r="305" spans="2:45" ht="16" thickBot="1" x14ac:dyDescent="0.4">
      <c r="B305" s="1590"/>
      <c r="C305" s="1591"/>
      <c r="D305" s="1592"/>
      <c r="E305" s="616">
        <f>'Estudio de Mercados'!C51</f>
        <v>4.7699999999999999E-2</v>
      </c>
      <c r="F305" s="616">
        <f>'Estudio de Mercados'!D51</f>
        <v>3.6999999999999998E-2</v>
      </c>
      <c r="G305" s="616">
        <f>'Estudio de Mercados'!E51</f>
        <v>3.1E-2</v>
      </c>
      <c r="H305" s="616">
        <f>'Estudio de Mercados'!F51</f>
        <v>3.49E-2</v>
      </c>
      <c r="I305" s="58"/>
      <c r="J305" s="58"/>
      <c r="K305" s="58"/>
      <c r="L305" s="58"/>
    </row>
    <row r="306" spans="2:45" ht="16" thickBot="1" x14ac:dyDescent="0.4">
      <c r="B306" s="569"/>
      <c r="C306" s="58"/>
      <c r="D306" s="58"/>
      <c r="E306" s="58"/>
      <c r="F306" s="58"/>
      <c r="G306" s="58"/>
      <c r="H306" s="58"/>
      <c r="I306" s="58"/>
      <c r="J306" s="58"/>
      <c r="K306" s="58"/>
      <c r="L306" s="58"/>
    </row>
    <row r="307" spans="2:45" ht="16" thickBot="1" x14ac:dyDescent="0.4">
      <c r="B307" s="1593" t="s">
        <v>954</v>
      </c>
      <c r="C307" s="1594"/>
      <c r="D307" s="1594"/>
      <c r="E307" s="1594"/>
      <c r="F307" s="1595"/>
      <c r="G307" s="1593" t="s">
        <v>955</v>
      </c>
      <c r="H307" s="1596"/>
      <c r="I307" s="1593" t="s">
        <v>693</v>
      </c>
      <c r="J307" s="1594"/>
      <c r="K307" s="1594"/>
      <c r="L307" s="1596"/>
      <c r="M307" s="570"/>
    </row>
    <row r="308" spans="2:45" ht="16" thickBot="1" x14ac:dyDescent="0.4">
      <c r="B308" s="1597" t="s">
        <v>956</v>
      </c>
      <c r="C308" s="1598"/>
      <c r="D308" s="1598"/>
      <c r="E308" s="1598"/>
      <c r="F308" s="1599"/>
      <c r="G308" s="571" t="s">
        <v>957</v>
      </c>
      <c r="H308" s="573" t="s">
        <v>631</v>
      </c>
      <c r="I308" s="571" t="s">
        <v>632</v>
      </c>
      <c r="J308" s="572" t="s">
        <v>633</v>
      </c>
      <c r="K308" s="572" t="s">
        <v>634</v>
      </c>
      <c r="L308" s="573" t="s">
        <v>635</v>
      </c>
    </row>
    <row r="309" spans="2:45" x14ac:dyDescent="0.35">
      <c r="B309" s="1600" t="s">
        <v>958</v>
      </c>
      <c r="C309" s="1601"/>
      <c r="D309" s="1601"/>
      <c r="E309" s="1601"/>
      <c r="F309" s="1602"/>
      <c r="G309" s="574">
        <f>+H309/12</f>
        <v>3141089.4583333335</v>
      </c>
      <c r="H309" s="575">
        <f>'Estudio de Mercados'!H368</f>
        <v>37693073.5</v>
      </c>
      <c r="I309" s="575">
        <f>'Estudio de Mercados'!I368</f>
        <v>39491033.105949998</v>
      </c>
      <c r="J309" s="575">
        <f>'Estudio de Mercados'!J368</f>
        <v>40952201.330870152</v>
      </c>
      <c r="K309" s="575">
        <f>'Estudio de Mercados'!K368</f>
        <v>42221719.572127119</v>
      </c>
      <c r="L309" s="575">
        <f>'Estudio de Mercados'!L368</f>
        <v>43695257.585194364</v>
      </c>
    </row>
    <row r="310" spans="2:45" x14ac:dyDescent="0.35">
      <c r="B310" s="1574" t="s">
        <v>813</v>
      </c>
      <c r="C310" s="1575"/>
      <c r="D310" s="1575"/>
      <c r="E310" s="1575"/>
      <c r="F310" s="1576"/>
      <c r="G310" s="579">
        <v>58000</v>
      </c>
      <c r="H310" s="580">
        <f t="shared" ref="H310:H316" si="24">G310</f>
        <v>58000</v>
      </c>
      <c r="I310" s="576">
        <f t="shared" ref="I310:I324" si="25">+(H310*$E$305)+H310</f>
        <v>60766.6</v>
      </c>
      <c r="J310" s="577">
        <f t="shared" ref="J310:J324" si="26">+(I310*$F$305)+I310</f>
        <v>63014.964200000002</v>
      </c>
      <c r="K310" s="577">
        <f t="shared" ref="K310:K324" si="27">+(J310*$G$305)+J310</f>
        <v>64968.428090200003</v>
      </c>
      <c r="L310" s="578">
        <f t="shared" ref="L310:L324" si="28">+(K310*$H$305)+K310</f>
        <v>67235.826230547988</v>
      </c>
    </row>
    <row r="311" spans="2:45" x14ac:dyDescent="0.35">
      <c r="B311" s="1574" t="s">
        <v>809</v>
      </c>
      <c r="C311" s="1575"/>
      <c r="D311" s="1575"/>
      <c r="E311" s="1575"/>
      <c r="F311" s="1576"/>
      <c r="G311" s="579">
        <v>189000</v>
      </c>
      <c r="H311" s="580">
        <f t="shared" si="24"/>
        <v>189000</v>
      </c>
      <c r="I311" s="576">
        <f t="shared" si="25"/>
        <v>198015.3</v>
      </c>
      <c r="J311" s="577">
        <f t="shared" si="26"/>
        <v>205341.86609999998</v>
      </c>
      <c r="K311" s="577">
        <f t="shared" si="27"/>
        <v>211707.4639491</v>
      </c>
      <c r="L311" s="578">
        <f t="shared" si="28"/>
        <v>219096.05444092359</v>
      </c>
    </row>
    <row r="312" spans="2:45" x14ac:dyDescent="0.35">
      <c r="B312" s="1574" t="s">
        <v>810</v>
      </c>
      <c r="C312" s="1575"/>
      <c r="D312" s="1575"/>
      <c r="E312" s="1575"/>
      <c r="F312" s="1576"/>
      <c r="G312" s="579">
        <v>7900</v>
      </c>
      <c r="H312" s="580">
        <f t="shared" si="24"/>
        <v>7900</v>
      </c>
      <c r="I312" s="576">
        <f t="shared" si="25"/>
        <v>8276.83</v>
      </c>
      <c r="J312" s="577">
        <f t="shared" si="26"/>
        <v>8583.0727100000004</v>
      </c>
      <c r="K312" s="577">
        <f t="shared" si="27"/>
        <v>8849.1479640100006</v>
      </c>
      <c r="L312" s="578">
        <f t="shared" si="28"/>
        <v>9157.9832279539496</v>
      </c>
    </row>
    <row r="313" spans="2:45" x14ac:dyDescent="0.35">
      <c r="B313" s="1574" t="s">
        <v>811</v>
      </c>
      <c r="C313" s="1575"/>
      <c r="D313" s="1575"/>
      <c r="E313" s="1575"/>
      <c r="F313" s="1576"/>
      <c r="G313" s="579">
        <v>11600</v>
      </c>
      <c r="H313" s="580">
        <f t="shared" si="24"/>
        <v>11600</v>
      </c>
      <c r="I313" s="576">
        <f t="shared" si="25"/>
        <v>12153.32</v>
      </c>
      <c r="J313" s="577">
        <f>+(I313*$F$305)+I313</f>
        <v>12602.992839999999</v>
      </c>
      <c r="K313" s="577">
        <f t="shared" si="27"/>
        <v>12993.685618039999</v>
      </c>
      <c r="L313" s="578">
        <f t="shared" si="28"/>
        <v>13447.165246109595</v>
      </c>
      <c r="AN313" s="497" t="s">
        <v>1183</v>
      </c>
      <c r="AO313" s="497" t="s">
        <v>631</v>
      </c>
      <c r="AP313" s="497" t="s">
        <v>632</v>
      </c>
      <c r="AQ313" s="497" t="s">
        <v>633</v>
      </c>
      <c r="AR313" s="497" t="s">
        <v>634</v>
      </c>
      <c r="AS313" s="497" t="s">
        <v>635</v>
      </c>
    </row>
    <row r="314" spans="2:45" x14ac:dyDescent="0.35">
      <c r="B314" s="1574" t="s">
        <v>1021</v>
      </c>
      <c r="C314" s="1575"/>
      <c r="D314" s="1575"/>
      <c r="E314" s="1575"/>
      <c r="F314" s="1576"/>
      <c r="G314" s="579">
        <v>40000</v>
      </c>
      <c r="H314" s="580">
        <f t="shared" si="24"/>
        <v>40000</v>
      </c>
      <c r="I314" s="576">
        <f t="shared" si="25"/>
        <v>41908</v>
      </c>
      <c r="J314" s="577">
        <f t="shared" si="26"/>
        <v>43458.595999999998</v>
      </c>
      <c r="K314" s="577">
        <f t="shared" si="27"/>
        <v>44805.812475999999</v>
      </c>
      <c r="L314" s="578">
        <f t="shared" si="28"/>
        <v>46369.5353314124</v>
      </c>
      <c r="AN314" s="721">
        <f>SUM(G317,G318,G322:G324)</f>
        <v>6400000</v>
      </c>
      <c r="AO314" s="721">
        <f>AN314*12</f>
        <v>76800000</v>
      </c>
      <c r="AP314" s="722">
        <f>AO314*(1+E305)</f>
        <v>80463360</v>
      </c>
      <c r="AQ314" s="722">
        <f>AP314*(1+F305)</f>
        <v>83440504.319999993</v>
      </c>
      <c r="AR314" s="722">
        <f>AQ314*(1+G305)</f>
        <v>86027159.953919992</v>
      </c>
      <c r="AS314" s="722">
        <f>AR314*(1+H305)</f>
        <v>89029507.836311787</v>
      </c>
    </row>
    <row r="315" spans="2:45" x14ac:dyDescent="0.35">
      <c r="B315" s="1574" t="s">
        <v>814</v>
      </c>
      <c r="C315" s="1575"/>
      <c r="D315" s="1575"/>
      <c r="E315" s="1575"/>
      <c r="F315" s="1576"/>
      <c r="G315" s="579">
        <v>58000</v>
      </c>
      <c r="H315" s="580">
        <f t="shared" si="24"/>
        <v>58000</v>
      </c>
      <c r="I315" s="576">
        <f t="shared" si="25"/>
        <v>60766.6</v>
      </c>
      <c r="J315" s="577">
        <f t="shared" si="26"/>
        <v>63014.964200000002</v>
      </c>
      <c r="K315" s="577">
        <f t="shared" si="27"/>
        <v>64968.428090200003</v>
      </c>
      <c r="L315" s="578">
        <f t="shared" si="28"/>
        <v>67235.826230547988</v>
      </c>
    </row>
    <row r="316" spans="2:45" x14ac:dyDescent="0.35">
      <c r="B316" s="1574" t="s">
        <v>812</v>
      </c>
      <c r="C316" s="1575"/>
      <c r="D316" s="1575"/>
      <c r="E316" s="1575"/>
      <c r="F316" s="1576"/>
      <c r="G316" s="579">
        <v>560000</v>
      </c>
      <c r="H316" s="580">
        <f t="shared" si="24"/>
        <v>560000</v>
      </c>
      <c r="I316" s="576">
        <f t="shared" si="25"/>
        <v>586712</v>
      </c>
      <c r="J316" s="577">
        <f t="shared" si="26"/>
        <v>608420.34400000004</v>
      </c>
      <c r="K316" s="577">
        <f t="shared" si="27"/>
        <v>627281.374664</v>
      </c>
      <c r="L316" s="578">
        <f t="shared" si="28"/>
        <v>649173.49463977362</v>
      </c>
    </row>
    <row r="317" spans="2:45" x14ac:dyDescent="0.35">
      <c r="B317" s="1574" t="s">
        <v>1151</v>
      </c>
      <c r="C317" s="1575"/>
      <c r="D317" s="1575"/>
      <c r="E317" s="1575"/>
      <c r="F317" s="1576"/>
      <c r="G317" s="579">
        <v>590000</v>
      </c>
      <c r="H317" s="580">
        <f>G317*12</f>
        <v>7080000</v>
      </c>
      <c r="I317" s="576">
        <f t="shared" si="25"/>
        <v>7417716</v>
      </c>
      <c r="J317" s="577">
        <f t="shared" si="26"/>
        <v>7692171.4919999996</v>
      </c>
      <c r="K317" s="577">
        <f t="shared" si="27"/>
        <v>7930628.8082519993</v>
      </c>
      <c r="L317" s="578">
        <f t="shared" si="28"/>
        <v>8207407.7536599943</v>
      </c>
    </row>
    <row r="318" spans="2:45" x14ac:dyDescent="0.35">
      <c r="B318" s="1574" t="s">
        <v>1020</v>
      </c>
      <c r="C318" s="1575"/>
      <c r="D318" s="1575"/>
      <c r="E318" s="1575"/>
      <c r="F318" s="1576"/>
      <c r="G318" s="579">
        <v>850000</v>
      </c>
      <c r="H318" s="580">
        <f>G318*12</f>
        <v>10200000</v>
      </c>
      <c r="I318" s="576">
        <f t="shared" si="25"/>
        <v>10686540</v>
      </c>
      <c r="J318" s="577">
        <f t="shared" si="26"/>
        <v>11081941.98</v>
      </c>
      <c r="K318" s="577">
        <f t="shared" si="27"/>
        <v>11425482.18138</v>
      </c>
      <c r="L318" s="578">
        <f t="shared" si="28"/>
        <v>11824231.509510161</v>
      </c>
    </row>
    <row r="319" spans="2:45" x14ac:dyDescent="0.35">
      <c r="B319" s="1574" t="s">
        <v>1190</v>
      </c>
      <c r="C319" s="1575"/>
      <c r="D319" s="1575"/>
      <c r="E319" s="1575"/>
      <c r="F319" s="1576"/>
      <c r="G319" s="579">
        <v>1500000</v>
      </c>
      <c r="H319" s="580">
        <f>G319*5</f>
        <v>7500000</v>
      </c>
      <c r="I319" s="576">
        <f t="shared" si="25"/>
        <v>7857750</v>
      </c>
      <c r="J319" s="577">
        <f t="shared" si="26"/>
        <v>8148486.75</v>
      </c>
      <c r="K319" s="577">
        <f t="shared" si="27"/>
        <v>8401089.8392500002</v>
      </c>
      <c r="L319" s="578">
        <f t="shared" si="28"/>
        <v>8694287.8746398259</v>
      </c>
    </row>
    <row r="320" spans="2:45" x14ac:dyDescent="0.35">
      <c r="B320" s="1574" t="s">
        <v>1153</v>
      </c>
      <c r="C320" s="1575"/>
      <c r="D320" s="1575"/>
      <c r="E320" s="1575"/>
      <c r="F320" s="1576"/>
      <c r="G320" s="579">
        <v>0</v>
      </c>
      <c r="H320" s="580"/>
      <c r="I320" s="576">
        <f t="shared" si="25"/>
        <v>0</v>
      </c>
      <c r="J320" s="577">
        <f t="shared" si="26"/>
        <v>0</v>
      </c>
      <c r="K320" s="577">
        <f t="shared" si="27"/>
        <v>0</v>
      </c>
      <c r="L320" s="578">
        <f t="shared" si="28"/>
        <v>0</v>
      </c>
    </row>
    <row r="321" spans="2:30" x14ac:dyDescent="0.35">
      <c r="B321" s="1574" t="s">
        <v>1022</v>
      </c>
      <c r="C321" s="1575"/>
      <c r="D321" s="1575"/>
      <c r="E321" s="1575"/>
      <c r="F321" s="1576"/>
      <c r="G321" s="579">
        <f>60000*4</f>
        <v>240000</v>
      </c>
      <c r="H321" s="580">
        <f>G321*12</f>
        <v>2880000</v>
      </c>
      <c r="I321" s="576">
        <f t="shared" si="25"/>
        <v>3017376</v>
      </c>
      <c r="J321" s="577">
        <f t="shared" si="26"/>
        <v>3129018.912</v>
      </c>
      <c r="K321" s="577">
        <f t="shared" si="27"/>
        <v>3226018.4982719999</v>
      </c>
      <c r="L321" s="578">
        <f t="shared" si="28"/>
        <v>3338606.5438616928</v>
      </c>
    </row>
    <row r="322" spans="2:30" x14ac:dyDescent="0.35">
      <c r="B322" s="1584" t="s">
        <v>1024</v>
      </c>
      <c r="C322" s="1585"/>
      <c r="D322" s="1585"/>
      <c r="E322" s="1585"/>
      <c r="F322" s="1586"/>
      <c r="G322" s="579">
        <v>1860000</v>
      </c>
      <c r="H322" s="580">
        <f>G322*12</f>
        <v>22320000</v>
      </c>
      <c r="I322" s="576">
        <f t="shared" si="25"/>
        <v>23384664</v>
      </c>
      <c r="J322" s="577">
        <f t="shared" ref="J322" si="29">+(I322*$F$305)+I322</f>
        <v>24249896.568</v>
      </c>
      <c r="K322" s="577">
        <f t="shared" ref="K322" si="30">+(J322*$G$305)+J322</f>
        <v>25001643.361607999</v>
      </c>
      <c r="L322" s="578">
        <f t="shared" ref="L322" si="31">+(K322*$H$305)+K322</f>
        <v>25874200.714928117</v>
      </c>
    </row>
    <row r="323" spans="2:30" x14ac:dyDescent="0.35">
      <c r="B323" s="1574" t="s">
        <v>1027</v>
      </c>
      <c r="C323" s="1575"/>
      <c r="D323" s="1575"/>
      <c r="E323" s="1575"/>
      <c r="F323" s="1576"/>
      <c r="G323" s="579">
        <v>2000000</v>
      </c>
      <c r="H323" s="580">
        <f>G323*12</f>
        <v>24000000</v>
      </c>
      <c r="I323" s="576">
        <f t="shared" si="25"/>
        <v>25144800</v>
      </c>
      <c r="J323" s="577">
        <f t="shared" si="26"/>
        <v>26075157.600000001</v>
      </c>
      <c r="K323" s="577">
        <f t="shared" si="27"/>
        <v>26883487.485600002</v>
      </c>
      <c r="L323" s="578">
        <f t="shared" si="28"/>
        <v>27821721.198847443</v>
      </c>
    </row>
    <row r="324" spans="2:30" ht="16" thickBot="1" x14ac:dyDescent="0.4">
      <c r="B324" s="1577" t="s">
        <v>1025</v>
      </c>
      <c r="C324" s="1578"/>
      <c r="D324" s="1578"/>
      <c r="E324" s="1578"/>
      <c r="F324" s="1579"/>
      <c r="G324" s="581">
        <v>1100000</v>
      </c>
      <c r="H324" s="582">
        <f>G324*12</f>
        <v>13200000</v>
      </c>
      <c r="I324" s="583">
        <f t="shared" si="25"/>
        <v>13829640</v>
      </c>
      <c r="J324" s="584">
        <f t="shared" si="26"/>
        <v>14341336.68</v>
      </c>
      <c r="K324" s="584">
        <f t="shared" si="27"/>
        <v>14785918.117079999</v>
      </c>
      <c r="L324" s="585">
        <f t="shared" si="28"/>
        <v>15301946.659366092</v>
      </c>
    </row>
    <row r="325" spans="2:30" ht="16" thickBot="1" x14ac:dyDescent="0.4">
      <c r="B325" s="1580" t="s">
        <v>654</v>
      </c>
      <c r="C325" s="1581"/>
      <c r="D325" s="1581"/>
      <c r="E325" s="1581"/>
      <c r="F325" s="1581"/>
      <c r="G325" s="586">
        <f t="shared" ref="G325:L325" si="32">SUM(G309:G324)</f>
        <v>12205589.458333334</v>
      </c>
      <c r="H325" s="587">
        <f t="shared" si="32"/>
        <v>125797573.5</v>
      </c>
      <c r="I325" s="587">
        <f t="shared" si="32"/>
        <v>131798117.75595</v>
      </c>
      <c r="J325" s="587">
        <f t="shared" si="32"/>
        <v>136674648.11292017</v>
      </c>
      <c r="K325" s="587">
        <f t="shared" si="32"/>
        <v>140911562.20442069</v>
      </c>
      <c r="L325" s="587">
        <f t="shared" si="32"/>
        <v>145829375.72535497</v>
      </c>
    </row>
    <row r="327" spans="2:30" ht="21" x14ac:dyDescent="0.5">
      <c r="B327" s="588" t="s">
        <v>959</v>
      </c>
      <c r="C327" s="44"/>
      <c r="D327" s="44"/>
      <c r="E327" s="44"/>
      <c r="F327" s="44"/>
      <c r="G327" s="44"/>
      <c r="H327" s="44"/>
      <c r="I327" s="44"/>
      <c r="J327" s="44"/>
      <c r="K327" s="44"/>
      <c r="L327" s="44"/>
      <c r="M327" s="44"/>
    </row>
    <row r="328" spans="2:30" ht="16.5" customHeight="1" thickBot="1" x14ac:dyDescent="0.4">
      <c r="B328" s="1582"/>
      <c r="C328" s="1583"/>
      <c r="D328" s="1583"/>
      <c r="E328" s="1583"/>
      <c r="F328" s="1583"/>
      <c r="G328" s="1583"/>
      <c r="H328" s="1583"/>
      <c r="I328" s="1583"/>
      <c r="J328" s="1583"/>
      <c r="K328" s="1583"/>
      <c r="L328" s="1583"/>
    </row>
    <row r="329" spans="2:30" x14ac:dyDescent="0.35">
      <c r="B329" s="1561" t="s">
        <v>960</v>
      </c>
      <c r="C329" s="883"/>
      <c r="D329" s="883"/>
      <c r="E329" s="883"/>
      <c r="F329" s="477" t="s">
        <v>631</v>
      </c>
      <c r="G329" s="477" t="s">
        <v>632</v>
      </c>
      <c r="H329" s="477" t="s">
        <v>633</v>
      </c>
      <c r="I329" s="477" t="s">
        <v>634</v>
      </c>
      <c r="J329" s="589" t="s">
        <v>635</v>
      </c>
    </row>
    <row r="330" spans="2:30" x14ac:dyDescent="0.35">
      <c r="B330" s="1569" t="s">
        <v>961</v>
      </c>
      <c r="C330" s="1570"/>
      <c r="D330" s="1570"/>
      <c r="E330" s="1570"/>
      <c r="F330" s="545">
        <f>+G247</f>
        <v>279043824</v>
      </c>
      <c r="G330" s="545">
        <f>+H247</f>
        <v>292354214.4048</v>
      </c>
      <c r="H330" s="545">
        <f>+I247</f>
        <v>303171320.33777761</v>
      </c>
      <c r="I330" s="545">
        <f>+J247</f>
        <v>312569631.26824874</v>
      </c>
      <c r="J330" s="546">
        <f>+K247</f>
        <v>323478311.39951056</v>
      </c>
    </row>
    <row r="331" spans="2:30" x14ac:dyDescent="0.35">
      <c r="B331" s="1569" t="s">
        <v>962</v>
      </c>
      <c r="C331" s="1570"/>
      <c r="D331" s="1570"/>
      <c r="E331" s="1570"/>
      <c r="F331" s="545">
        <f>+G293</f>
        <v>0</v>
      </c>
      <c r="G331" s="545">
        <f>+H293</f>
        <v>0</v>
      </c>
      <c r="H331" s="545">
        <f>+I293</f>
        <v>0</v>
      </c>
      <c r="I331" s="545">
        <f>+J293</f>
        <v>0</v>
      </c>
      <c r="J331" s="546">
        <f>+K293</f>
        <v>0</v>
      </c>
    </row>
    <row r="332" spans="2:30" x14ac:dyDescent="0.35">
      <c r="B332" s="1569" t="s">
        <v>963</v>
      </c>
      <c r="C332" s="1570"/>
      <c r="D332" s="1570"/>
      <c r="E332" s="1570"/>
      <c r="F332" s="545">
        <f>+H325</f>
        <v>125797573.5</v>
      </c>
      <c r="G332" s="545">
        <f>+I325</f>
        <v>131798117.75595</v>
      </c>
      <c r="H332" s="545">
        <f>+J325</f>
        <v>136674648.11292017</v>
      </c>
      <c r="I332" s="545">
        <f>+K325</f>
        <v>140911562.20442069</v>
      </c>
      <c r="J332" s="546">
        <f>+L325</f>
        <v>145829375.72535497</v>
      </c>
    </row>
    <row r="333" spans="2:30" ht="16" thickBot="1" x14ac:dyDescent="0.4">
      <c r="B333" s="1571" t="s">
        <v>688</v>
      </c>
      <c r="C333" s="1572"/>
      <c r="D333" s="1572"/>
      <c r="E333" s="1573"/>
      <c r="F333" s="553">
        <f>SUM(F330:F332)</f>
        <v>404841397.5</v>
      </c>
      <c r="G333" s="553">
        <f>SUM(G330:G332)</f>
        <v>424152332.16075003</v>
      </c>
      <c r="H333" s="553">
        <f>SUM(H330:H332)</f>
        <v>439845968.45069778</v>
      </c>
      <c r="I333" s="553">
        <f>SUM(I330:I332)</f>
        <v>453481193.47266942</v>
      </c>
      <c r="J333" s="554">
        <f>SUM(J330:J332)</f>
        <v>469307687.12486553</v>
      </c>
    </row>
    <row r="334" spans="2:30" x14ac:dyDescent="0.35">
      <c r="B334" s="590"/>
      <c r="C334" s="590"/>
      <c r="D334" s="590"/>
      <c r="E334" s="590"/>
      <c r="F334" s="557"/>
      <c r="G334" s="557"/>
      <c r="H334" s="557"/>
      <c r="I334" s="557"/>
      <c r="J334" s="557"/>
    </row>
    <row r="335" spans="2:30" x14ac:dyDescent="0.35">
      <c r="B335" s="1566" t="s">
        <v>964</v>
      </c>
      <c r="C335" s="1566"/>
      <c r="D335" s="1566"/>
      <c r="E335" s="1566"/>
      <c r="F335" s="1566"/>
      <c r="G335" s="1566"/>
      <c r="H335" s="1566"/>
      <c r="I335" s="1566"/>
      <c r="J335" s="1566"/>
      <c r="K335" s="1566"/>
      <c r="L335" s="1566"/>
      <c r="M335" s="1566"/>
      <c r="AD335" s="44" t="s">
        <v>965</v>
      </c>
    </row>
    <row r="337" spans="1:42" x14ac:dyDescent="0.35">
      <c r="B337" s="1566" t="s">
        <v>965</v>
      </c>
      <c r="C337" s="1566"/>
      <c r="D337" s="1566"/>
      <c r="E337" s="1566"/>
      <c r="F337" s="1566"/>
      <c r="G337" s="1566"/>
      <c r="H337" s="1566"/>
      <c r="I337" s="1566"/>
      <c r="J337" s="1566"/>
      <c r="K337" s="1566"/>
      <c r="L337" s="1566"/>
      <c r="M337" s="1566"/>
      <c r="AD337" s="1567" t="s">
        <v>966</v>
      </c>
      <c r="AE337" s="1567"/>
      <c r="AF337" s="1567"/>
      <c r="AG337" s="1567"/>
      <c r="AH337" s="1567"/>
      <c r="AI337" s="1567"/>
      <c r="AJ337" s="1567"/>
      <c r="AK337" s="1567"/>
      <c r="AL337" s="1567"/>
      <c r="AM337" s="1567" t="s">
        <v>967</v>
      </c>
      <c r="AN337" s="1567"/>
      <c r="AO337" s="1567"/>
      <c r="AP337" s="1567"/>
    </row>
    <row r="338" spans="1:42" ht="16" thickBot="1" x14ac:dyDescent="0.4">
      <c r="AD338" s="591"/>
      <c r="AE338" s="1568" t="s">
        <v>632</v>
      </c>
      <c r="AF338" s="1568"/>
      <c r="AG338" s="1568" t="s">
        <v>633</v>
      </c>
      <c r="AH338" s="1568"/>
      <c r="AI338" s="1568" t="s">
        <v>634</v>
      </c>
      <c r="AJ338" s="1568"/>
      <c r="AK338" s="1568" t="s">
        <v>635</v>
      </c>
      <c r="AL338" s="1568"/>
      <c r="AM338" s="591"/>
      <c r="AN338" s="591"/>
      <c r="AO338" s="591"/>
      <c r="AP338" s="591"/>
    </row>
    <row r="339" spans="1:42" x14ac:dyDescent="0.35">
      <c r="B339" s="1561" t="s">
        <v>968</v>
      </c>
      <c r="C339" s="883"/>
      <c r="D339" s="477" t="s">
        <v>969</v>
      </c>
      <c r="E339" s="477" t="s">
        <v>645</v>
      </c>
      <c r="F339" s="477" t="s">
        <v>631</v>
      </c>
      <c r="G339" s="477" t="s">
        <v>632</v>
      </c>
      <c r="H339" s="477" t="s">
        <v>633</v>
      </c>
      <c r="I339" s="477" t="s">
        <v>634</v>
      </c>
      <c r="J339" s="589" t="s">
        <v>635</v>
      </c>
      <c r="AD339" s="592" t="s">
        <v>968</v>
      </c>
      <c r="AE339" s="592" t="s">
        <v>969</v>
      </c>
      <c r="AF339" s="592" t="s">
        <v>645</v>
      </c>
      <c r="AG339" s="592" t="s">
        <v>969</v>
      </c>
      <c r="AH339" s="592" t="s">
        <v>645</v>
      </c>
      <c r="AI339" s="592" t="s">
        <v>969</v>
      </c>
      <c r="AJ339" s="592" t="s">
        <v>645</v>
      </c>
      <c r="AK339" s="592" t="s">
        <v>969</v>
      </c>
      <c r="AL339" s="592" t="s">
        <v>645</v>
      </c>
      <c r="AM339" s="592" t="s">
        <v>632</v>
      </c>
      <c r="AN339" s="592" t="s">
        <v>633</v>
      </c>
      <c r="AO339" s="592" t="s">
        <v>634</v>
      </c>
      <c r="AP339" s="592" t="s">
        <v>635</v>
      </c>
    </row>
    <row r="340" spans="1:42" x14ac:dyDescent="0.35">
      <c r="B340" s="1562" t="str">
        <f>'Estudio Técnico'!$D$393</f>
        <v>Gestión integral de Cartera y Cobranza</v>
      </c>
      <c r="C340" s="1563"/>
      <c r="D340" s="545">
        <f>'Estudio Técnico'!T268</f>
        <v>216</v>
      </c>
      <c r="E340" s="593">
        <f>+D340/$D$344</f>
        <v>1</v>
      </c>
      <c r="F340" s="545">
        <f>IFERROR(+($F$333*E340)/D340,0)</f>
        <v>1874265.7291666667</v>
      </c>
      <c r="G340" s="545">
        <f>+AM340</f>
        <v>1836157.2820811691</v>
      </c>
      <c r="H340" s="545">
        <f>+AN340</f>
        <v>1787991.7416695033</v>
      </c>
      <c r="I340" s="545">
        <f>+AO340</f>
        <v>1757679.0444677109</v>
      </c>
      <c r="J340" s="546">
        <f>+AP340</f>
        <v>1744638.2420998719</v>
      </c>
      <c r="AD340" s="497" t="s">
        <v>1017</v>
      </c>
      <c r="AE340" s="594">
        <f>'Estudio Técnico'!U268</f>
        <v>231</v>
      </c>
      <c r="AF340" s="595">
        <f>+AE340/$AE$344</f>
        <v>1</v>
      </c>
      <c r="AG340" s="558">
        <f>'Estudio Técnico'!V268</f>
        <v>246</v>
      </c>
      <c r="AH340" s="595">
        <f>+AG340/AG344</f>
        <v>1</v>
      </c>
      <c r="AI340" s="558">
        <f>'Estudio Técnico'!W268</f>
        <v>258</v>
      </c>
      <c r="AJ340" s="595">
        <f>+AI340/$AI$344</f>
        <v>1</v>
      </c>
      <c r="AK340" s="558">
        <f>'Estudio Técnico'!X268</f>
        <v>269</v>
      </c>
      <c r="AL340" s="595">
        <f>+AK340/$AK$344</f>
        <v>1</v>
      </c>
      <c r="AM340" s="618">
        <f>IFERROR(+($G$333*AF340)/AE340,0)</f>
        <v>1836157.2820811691</v>
      </c>
      <c r="AN340" s="618">
        <f>IFERROR(+($H$333*AH340)/AG340,0)</f>
        <v>1787991.7416695033</v>
      </c>
      <c r="AO340" s="618">
        <f>IFERROR(+($I$333*AJ340)/AI340,0)</f>
        <v>1757679.0444677109</v>
      </c>
      <c r="AP340" s="618">
        <f>IFERROR(+($J$333*AL340)/AK340,0)</f>
        <v>1744638.2420998719</v>
      </c>
    </row>
    <row r="341" spans="1:42" x14ac:dyDescent="0.35">
      <c r="B341" s="1562" t="str">
        <f>'Estudio de Mercados'!$B$226</f>
        <v>Escriba aquì el nombre de su producto ó servicio 2</v>
      </c>
      <c r="C341" s="1563"/>
      <c r="D341" s="545">
        <f>'Estudio Técnico'!T269</f>
        <v>0</v>
      </c>
      <c r="E341" s="593">
        <f>+D341/$D$344</f>
        <v>0</v>
      </c>
      <c r="F341" s="545">
        <f t="shared" ref="F341:F343" si="33">IFERROR(+($F$333*E341)/D341,0)</f>
        <v>0</v>
      </c>
      <c r="G341" s="545">
        <f>+AM341</f>
        <v>0</v>
      </c>
      <c r="H341" s="545">
        <f t="shared" ref="G341:J343" si="34">+AN341</f>
        <v>0</v>
      </c>
      <c r="I341" s="545">
        <f t="shared" si="34"/>
        <v>0</v>
      </c>
      <c r="J341" s="546">
        <f t="shared" si="34"/>
        <v>0</v>
      </c>
      <c r="AD341" s="497" t="s">
        <v>545</v>
      </c>
      <c r="AE341" s="594">
        <f>'Estudio Técnico'!U269</f>
        <v>0</v>
      </c>
      <c r="AF341" s="595">
        <f>+AE341/$AE$344</f>
        <v>0</v>
      </c>
      <c r="AG341" s="558">
        <f>'Estudio Técnico'!V269</f>
        <v>0</v>
      </c>
      <c r="AH341" s="595">
        <f>+AG341/$AG$344</f>
        <v>0</v>
      </c>
      <c r="AI341" s="558">
        <f>'Estudio Técnico'!W269</f>
        <v>0</v>
      </c>
      <c r="AJ341" s="595">
        <f>+AI341/$AI$344</f>
        <v>0</v>
      </c>
      <c r="AK341" s="558">
        <f>'Estudio Técnico'!X269</f>
        <v>0</v>
      </c>
      <c r="AL341" s="595">
        <f>+AK341/$AK$344</f>
        <v>0</v>
      </c>
      <c r="AM341" s="618">
        <f>IFERROR(+($G$333*AF341)/AE341,0)</f>
        <v>0</v>
      </c>
      <c r="AN341" s="618">
        <f t="shared" ref="AN341:AN343" si="35">IFERROR(+($H$333*AH341)/AG341,0)</f>
        <v>0</v>
      </c>
      <c r="AO341" s="618">
        <f t="shared" ref="AO341:AO343" si="36">IFERROR(+($I$333*AJ341)/AI341,0)</f>
        <v>0</v>
      </c>
      <c r="AP341" s="618">
        <f t="shared" ref="AP341:AP343" si="37">IFERROR(+($J$333*AL341)/AK341,0)</f>
        <v>0</v>
      </c>
    </row>
    <row r="342" spans="1:42" x14ac:dyDescent="0.35">
      <c r="B342" s="1562" t="str">
        <f>'Estudio de Mercados'!$B$232</f>
        <v>Escriba aquì el nombre de su producto ó servicio 3</v>
      </c>
      <c r="C342" s="1563"/>
      <c r="D342" s="545">
        <f>'Estudio Técnico'!T270</f>
        <v>0</v>
      </c>
      <c r="E342" s="593">
        <f>+D342/$D$344</f>
        <v>0</v>
      </c>
      <c r="F342" s="545">
        <f t="shared" si="33"/>
        <v>0</v>
      </c>
      <c r="G342" s="545">
        <f t="shared" si="34"/>
        <v>0</v>
      </c>
      <c r="H342" s="545">
        <f t="shared" si="34"/>
        <v>0</v>
      </c>
      <c r="I342" s="545">
        <f t="shared" si="34"/>
        <v>0</v>
      </c>
      <c r="J342" s="546">
        <f t="shared" si="34"/>
        <v>0</v>
      </c>
      <c r="AD342" s="497" t="s">
        <v>545</v>
      </c>
      <c r="AE342" s="594">
        <f>'Estudio Técnico'!U270</f>
        <v>0</v>
      </c>
      <c r="AF342" s="595">
        <f>+AE342/$AE$344</f>
        <v>0</v>
      </c>
      <c r="AG342" s="558">
        <f>'Estudio Técnico'!V270</f>
        <v>0</v>
      </c>
      <c r="AH342" s="595">
        <f>+AG342/$AG$344</f>
        <v>0</v>
      </c>
      <c r="AI342" s="558">
        <f>'Estudio Técnico'!W270</f>
        <v>0</v>
      </c>
      <c r="AJ342" s="595">
        <f>+AI342/$AI$344</f>
        <v>0</v>
      </c>
      <c r="AK342" s="558">
        <f>'Estudio Técnico'!X270</f>
        <v>0</v>
      </c>
      <c r="AL342" s="595">
        <f>+AK342/$AK$344</f>
        <v>0</v>
      </c>
      <c r="AM342" s="618">
        <f t="shared" ref="AM342:AM343" si="38">IFERROR(+($G$333*AF342)/AE342,0)</f>
        <v>0</v>
      </c>
      <c r="AN342" s="618">
        <f t="shared" si="35"/>
        <v>0</v>
      </c>
      <c r="AO342" s="618">
        <f t="shared" si="36"/>
        <v>0</v>
      </c>
      <c r="AP342" s="618">
        <f t="shared" si="37"/>
        <v>0</v>
      </c>
    </row>
    <row r="343" spans="1:42" x14ac:dyDescent="0.35">
      <c r="B343" s="1562" t="str">
        <f>'Estudio de Mercados'!$B$238</f>
        <v>Escriba aquì el nombre de su producto ó servicio 4</v>
      </c>
      <c r="C343" s="1563"/>
      <c r="D343" s="545">
        <f>'Estudio Técnico'!T271</f>
        <v>0</v>
      </c>
      <c r="E343" s="593">
        <f>+D343/$D$344</f>
        <v>0</v>
      </c>
      <c r="F343" s="545">
        <f t="shared" si="33"/>
        <v>0</v>
      </c>
      <c r="G343" s="545">
        <f t="shared" si="34"/>
        <v>0</v>
      </c>
      <c r="H343" s="545">
        <f t="shared" si="34"/>
        <v>0</v>
      </c>
      <c r="I343" s="545">
        <f t="shared" si="34"/>
        <v>0</v>
      </c>
      <c r="J343" s="546">
        <f t="shared" si="34"/>
        <v>0</v>
      </c>
      <c r="AD343" s="497" t="s">
        <v>545</v>
      </c>
      <c r="AE343" s="594">
        <f>'Estudio Técnico'!U271</f>
        <v>0</v>
      </c>
      <c r="AF343" s="595">
        <f>+AE343/$AE$344</f>
        <v>0</v>
      </c>
      <c r="AG343" s="558">
        <f>'Estudio Técnico'!V271</f>
        <v>0</v>
      </c>
      <c r="AH343" s="595">
        <f>+AG343/$AG$344</f>
        <v>0</v>
      </c>
      <c r="AI343" s="558">
        <f>'Estudio Técnico'!W271</f>
        <v>0</v>
      </c>
      <c r="AJ343" s="595">
        <f>+AI343/$AI$344</f>
        <v>0</v>
      </c>
      <c r="AK343" s="558">
        <f>'Estudio Técnico'!X271</f>
        <v>0</v>
      </c>
      <c r="AL343" s="595">
        <f>+AK343/$AK$344</f>
        <v>0</v>
      </c>
      <c r="AM343" s="618">
        <f t="shared" si="38"/>
        <v>0</v>
      </c>
      <c r="AN343" s="618">
        <f t="shared" si="35"/>
        <v>0</v>
      </c>
      <c r="AO343" s="618">
        <f t="shared" si="36"/>
        <v>0</v>
      </c>
      <c r="AP343" s="618">
        <f t="shared" si="37"/>
        <v>0</v>
      </c>
    </row>
    <row r="344" spans="1:42" ht="16" thickBot="1" x14ac:dyDescent="0.4">
      <c r="B344" s="1564" t="s">
        <v>654</v>
      </c>
      <c r="C344" s="1565"/>
      <c r="D344" s="553">
        <f>SUM(D340:D343)</f>
        <v>216</v>
      </c>
      <c r="E344" s="596">
        <f t="shared" ref="E344:J344" si="39">SUM(E340:E343)</f>
        <v>1</v>
      </c>
      <c r="F344" s="553">
        <f t="shared" si="39"/>
        <v>1874265.7291666667</v>
      </c>
      <c r="G344" s="553">
        <f t="shared" si="39"/>
        <v>1836157.2820811691</v>
      </c>
      <c r="H344" s="553">
        <f t="shared" si="39"/>
        <v>1787991.7416695033</v>
      </c>
      <c r="I344" s="553">
        <f t="shared" si="39"/>
        <v>1757679.0444677109</v>
      </c>
      <c r="J344" s="554">
        <f t="shared" si="39"/>
        <v>1744638.2420998719</v>
      </c>
      <c r="AD344" s="591" t="s">
        <v>654</v>
      </c>
      <c r="AE344" s="597">
        <f>SUM(AE340:AE343)</f>
        <v>231</v>
      </c>
      <c r="AF344" s="598">
        <f t="shared" ref="AF344:AP344" si="40">SUM(AF340:AF343)</f>
        <v>1</v>
      </c>
      <c r="AG344" s="597">
        <f t="shared" si="40"/>
        <v>246</v>
      </c>
      <c r="AH344" s="598">
        <f t="shared" si="40"/>
        <v>1</v>
      </c>
      <c r="AI344" s="597">
        <f t="shared" si="40"/>
        <v>258</v>
      </c>
      <c r="AJ344" s="598">
        <f t="shared" si="40"/>
        <v>1</v>
      </c>
      <c r="AK344" s="597">
        <f t="shared" si="40"/>
        <v>269</v>
      </c>
      <c r="AL344" s="598">
        <f t="shared" si="40"/>
        <v>1</v>
      </c>
      <c r="AM344" s="619">
        <f t="shared" si="40"/>
        <v>1836157.2820811691</v>
      </c>
      <c r="AN344" s="619">
        <f t="shared" si="40"/>
        <v>1787991.7416695033</v>
      </c>
      <c r="AO344" s="619">
        <f t="shared" si="40"/>
        <v>1757679.0444677109</v>
      </c>
      <c r="AP344" s="619">
        <f t="shared" si="40"/>
        <v>1744638.2420998719</v>
      </c>
    </row>
    <row r="348" spans="1:42" s="44" customFormat="1" x14ac:dyDescent="0.35">
      <c r="A348" s="568"/>
    </row>
    <row r="349" spans="1:42" s="44" customFormat="1" x14ac:dyDescent="0.35">
      <c r="A349" s="568"/>
    </row>
    <row r="350" spans="1:42" s="44" customFormat="1" x14ac:dyDescent="0.35">
      <c r="A350" s="568"/>
    </row>
    <row r="351" spans="1:42" s="44" customFormat="1" x14ac:dyDescent="0.35">
      <c r="A351" s="568"/>
    </row>
    <row r="352" spans="1:42" s="44" customFormat="1" x14ac:dyDescent="0.35">
      <c r="A352" s="568"/>
    </row>
    <row r="353" spans="1:1" s="44" customFormat="1" x14ac:dyDescent="0.35">
      <c r="A353" s="568"/>
    </row>
    <row r="354" spans="1:1" s="44" customFormat="1" x14ac:dyDescent="0.35">
      <c r="A354" s="568"/>
    </row>
    <row r="355" spans="1:1" s="44" customFormat="1" x14ac:dyDescent="0.35">
      <c r="A355" s="568"/>
    </row>
    <row r="356" spans="1:1" s="44" customFormat="1" x14ac:dyDescent="0.35">
      <c r="A356" s="568"/>
    </row>
    <row r="357" spans="1:1" s="44" customFormat="1" x14ac:dyDescent="0.35">
      <c r="A357" s="568"/>
    </row>
    <row r="358" spans="1:1" s="44" customFormat="1" x14ac:dyDescent="0.35">
      <c r="A358" s="568"/>
    </row>
    <row r="359" spans="1:1" s="44" customFormat="1" x14ac:dyDescent="0.35">
      <c r="A359" s="568"/>
    </row>
    <row r="360" spans="1:1" s="44" customFormat="1" x14ac:dyDescent="0.35">
      <c r="A360" s="568"/>
    </row>
    <row r="361" spans="1:1" s="44" customFormat="1" x14ac:dyDescent="0.35">
      <c r="A361" s="568"/>
    </row>
    <row r="362" spans="1:1" s="44" customFormat="1" x14ac:dyDescent="0.35">
      <c r="A362" s="568"/>
    </row>
    <row r="363" spans="1:1" s="44" customFormat="1" x14ac:dyDescent="0.35">
      <c r="A363" s="568"/>
    </row>
    <row r="364" spans="1:1" s="44" customFormat="1" x14ac:dyDescent="0.35">
      <c r="A364" s="568"/>
    </row>
    <row r="365" spans="1:1" s="44" customFormat="1" x14ac:dyDescent="0.35">
      <c r="A365" s="568"/>
    </row>
    <row r="366" spans="1:1" s="44" customFormat="1" x14ac:dyDescent="0.35">
      <c r="A366" s="568"/>
    </row>
    <row r="367" spans="1:1" s="44" customFormat="1" x14ac:dyDescent="0.35">
      <c r="A367" s="568"/>
    </row>
    <row r="368" spans="1:1" s="44" customFormat="1" x14ac:dyDescent="0.35">
      <c r="A368" s="568"/>
    </row>
    <row r="369" spans="1:1" s="44" customFormat="1" x14ac:dyDescent="0.35">
      <c r="A369" s="568"/>
    </row>
    <row r="370" spans="1:1" s="44" customFormat="1" x14ac:dyDescent="0.35">
      <c r="A370" s="568"/>
    </row>
    <row r="371" spans="1:1" s="44" customFormat="1" x14ac:dyDescent="0.35">
      <c r="A371" s="568"/>
    </row>
    <row r="372" spans="1:1" s="44" customFormat="1" x14ac:dyDescent="0.35">
      <c r="A372" s="568"/>
    </row>
    <row r="373" spans="1:1" s="44" customFormat="1" x14ac:dyDescent="0.35">
      <c r="A373" s="568"/>
    </row>
    <row r="374" spans="1:1" s="44" customFormat="1" x14ac:dyDescent="0.35">
      <c r="A374" s="568"/>
    </row>
    <row r="375" spans="1:1" s="44" customFormat="1" x14ac:dyDescent="0.35">
      <c r="A375" s="568"/>
    </row>
    <row r="376" spans="1:1" s="44" customFormat="1" x14ac:dyDescent="0.35">
      <c r="A376" s="568"/>
    </row>
    <row r="377" spans="1:1" s="44" customFormat="1" x14ac:dyDescent="0.35">
      <c r="A377" s="568"/>
    </row>
    <row r="378" spans="1:1" s="44" customFormat="1" x14ac:dyDescent="0.35">
      <c r="A378" s="568"/>
    </row>
    <row r="379" spans="1:1" s="44" customFormat="1" x14ac:dyDescent="0.35">
      <c r="A379" s="568"/>
    </row>
    <row r="380" spans="1:1" s="44" customFormat="1" x14ac:dyDescent="0.35">
      <c r="A380" s="568"/>
    </row>
    <row r="381" spans="1:1" s="44" customFormat="1" x14ac:dyDescent="0.35">
      <c r="A381" s="568"/>
    </row>
    <row r="382" spans="1:1" s="44" customFormat="1" x14ac:dyDescent="0.35">
      <c r="A382" s="568"/>
    </row>
    <row r="383" spans="1:1" s="44" customFormat="1" x14ac:dyDescent="0.35">
      <c r="A383" s="568"/>
    </row>
    <row r="384" spans="1:1" s="44" customFormat="1" x14ac:dyDescent="0.35">
      <c r="A384" s="568"/>
    </row>
    <row r="385" spans="1:1" s="44" customFormat="1" x14ac:dyDescent="0.35">
      <c r="A385" s="568"/>
    </row>
    <row r="386" spans="1:1" s="44" customFormat="1" x14ac:dyDescent="0.35">
      <c r="A386" s="568"/>
    </row>
    <row r="387" spans="1:1" s="44" customFormat="1" x14ac:dyDescent="0.35">
      <c r="A387" s="568"/>
    </row>
    <row r="388" spans="1:1" s="44" customFormat="1" x14ac:dyDescent="0.35">
      <c r="A388" s="568"/>
    </row>
    <row r="389" spans="1:1" s="44" customFormat="1" x14ac:dyDescent="0.35">
      <c r="A389" s="568"/>
    </row>
    <row r="390" spans="1:1" s="44" customFormat="1" x14ac:dyDescent="0.35">
      <c r="A390" s="568"/>
    </row>
    <row r="391" spans="1:1" s="44" customFormat="1" x14ac:dyDescent="0.35">
      <c r="A391" s="568"/>
    </row>
    <row r="392" spans="1:1" s="44" customFormat="1" x14ac:dyDescent="0.35">
      <c r="A392" s="568"/>
    </row>
    <row r="393" spans="1:1" s="44" customFormat="1" x14ac:dyDescent="0.35">
      <c r="A393" s="568"/>
    </row>
    <row r="394" spans="1:1" s="44" customFormat="1" x14ac:dyDescent="0.35">
      <c r="A394" s="568"/>
    </row>
    <row r="395" spans="1:1" s="44" customFormat="1" x14ac:dyDescent="0.35">
      <c r="A395" s="568"/>
    </row>
    <row r="396" spans="1:1" s="44" customFormat="1" x14ac:dyDescent="0.35">
      <c r="A396" s="568"/>
    </row>
    <row r="397" spans="1:1" s="44" customFormat="1" x14ac:dyDescent="0.35">
      <c r="A397" s="568"/>
    </row>
    <row r="398" spans="1:1" s="44" customFormat="1" x14ac:dyDescent="0.35">
      <c r="A398" s="568"/>
    </row>
    <row r="399" spans="1:1" s="44" customFormat="1" x14ac:dyDescent="0.35">
      <c r="A399" s="568"/>
    </row>
    <row r="400" spans="1:1" s="44" customFormat="1" x14ac:dyDescent="0.35">
      <c r="A400" s="568"/>
    </row>
    <row r="401" spans="1:1" s="44" customFormat="1" x14ac:dyDescent="0.35">
      <c r="A401" s="568"/>
    </row>
    <row r="402" spans="1:1" s="44" customFormat="1" x14ac:dyDescent="0.35">
      <c r="A402" s="568"/>
    </row>
    <row r="403" spans="1:1" s="44" customFormat="1" x14ac:dyDescent="0.35">
      <c r="A403" s="568"/>
    </row>
    <row r="404" spans="1:1" s="44" customFormat="1" x14ac:dyDescent="0.35">
      <c r="A404" s="568"/>
    </row>
    <row r="405" spans="1:1" s="44" customFormat="1" x14ac:dyDescent="0.35">
      <c r="A405" s="568"/>
    </row>
    <row r="406" spans="1:1" s="44" customFormat="1" x14ac:dyDescent="0.35">
      <c r="A406" s="568"/>
    </row>
    <row r="407" spans="1:1" s="44" customFormat="1" x14ac:dyDescent="0.35">
      <c r="A407" s="568"/>
    </row>
    <row r="408" spans="1:1" s="44" customFormat="1" x14ac:dyDescent="0.35">
      <c r="A408" s="568"/>
    </row>
    <row r="409" spans="1:1" s="44" customFormat="1" x14ac:dyDescent="0.35">
      <c r="A409" s="568"/>
    </row>
    <row r="410" spans="1:1" s="44" customFormat="1" x14ac:dyDescent="0.35">
      <c r="A410" s="568"/>
    </row>
    <row r="411" spans="1:1" s="44" customFormat="1" x14ac:dyDescent="0.35">
      <c r="A411" s="568"/>
    </row>
    <row r="412" spans="1:1" s="44" customFormat="1" x14ac:dyDescent="0.35">
      <c r="A412" s="568"/>
    </row>
    <row r="413" spans="1:1" s="44" customFormat="1" x14ac:dyDescent="0.35">
      <c r="A413" s="568"/>
    </row>
    <row r="414" spans="1:1" s="44" customFormat="1" x14ac:dyDescent="0.35">
      <c r="A414" s="568"/>
    </row>
    <row r="415" spans="1:1" s="44" customFormat="1" x14ac:dyDescent="0.35">
      <c r="A415" s="568"/>
    </row>
    <row r="416" spans="1:1" s="44" customFormat="1" x14ac:dyDescent="0.35">
      <c r="A416" s="568"/>
    </row>
    <row r="417" spans="1:1" s="44" customFormat="1" x14ac:dyDescent="0.35">
      <c r="A417" s="568"/>
    </row>
    <row r="418" spans="1:1" s="44" customFormat="1" x14ac:dyDescent="0.35">
      <c r="A418" s="568"/>
    </row>
    <row r="419" spans="1:1" s="44" customFormat="1" x14ac:dyDescent="0.35">
      <c r="A419" s="568"/>
    </row>
    <row r="420" spans="1:1" s="44" customFormat="1" x14ac:dyDescent="0.35">
      <c r="A420" s="568"/>
    </row>
    <row r="421" spans="1:1" s="44" customFormat="1" x14ac:dyDescent="0.35">
      <c r="A421" s="568"/>
    </row>
    <row r="422" spans="1:1" s="44" customFormat="1" x14ac:dyDescent="0.35">
      <c r="A422" s="568"/>
    </row>
    <row r="423" spans="1:1" s="44" customFormat="1" x14ac:dyDescent="0.35">
      <c r="A423" s="568"/>
    </row>
    <row r="424" spans="1:1" s="44" customFormat="1" x14ac:dyDescent="0.35">
      <c r="A424" s="568"/>
    </row>
    <row r="425" spans="1:1" s="44" customFormat="1" x14ac:dyDescent="0.35">
      <c r="A425" s="568"/>
    </row>
    <row r="426" spans="1:1" s="44" customFormat="1" x14ac:dyDescent="0.35">
      <c r="A426" s="568"/>
    </row>
    <row r="427" spans="1:1" s="44" customFormat="1" x14ac:dyDescent="0.35">
      <c r="A427" s="568"/>
    </row>
    <row r="428" spans="1:1" s="44" customFormat="1" x14ac:dyDescent="0.35">
      <c r="A428" s="568"/>
    </row>
    <row r="429" spans="1:1" s="44" customFormat="1" x14ac:dyDescent="0.35">
      <c r="A429" s="568"/>
    </row>
    <row r="430" spans="1:1" s="44" customFormat="1" x14ac:dyDescent="0.35">
      <c r="A430" s="568"/>
    </row>
    <row r="431" spans="1:1" s="44" customFormat="1" x14ac:dyDescent="0.35">
      <c r="A431" s="568"/>
    </row>
    <row r="432" spans="1:1" s="44" customFormat="1" x14ac:dyDescent="0.35">
      <c r="A432" s="568"/>
    </row>
    <row r="433" spans="1:1" s="44" customFormat="1" x14ac:dyDescent="0.35">
      <c r="A433" s="568"/>
    </row>
    <row r="434" spans="1:1" s="44" customFormat="1" x14ac:dyDescent="0.35">
      <c r="A434" s="568"/>
    </row>
    <row r="435" spans="1:1" s="44" customFormat="1" x14ac:dyDescent="0.35">
      <c r="A435" s="568"/>
    </row>
    <row r="436" spans="1:1" s="44" customFormat="1" x14ac:dyDescent="0.35">
      <c r="A436" s="568"/>
    </row>
    <row r="437" spans="1:1" s="44" customFormat="1" x14ac:dyDescent="0.35">
      <c r="A437" s="568"/>
    </row>
    <row r="438" spans="1:1" s="44" customFormat="1" x14ac:dyDescent="0.35">
      <c r="A438" s="568"/>
    </row>
    <row r="439" spans="1:1" s="44" customFormat="1" x14ac:dyDescent="0.35">
      <c r="A439" s="568"/>
    </row>
    <row r="440" spans="1:1" s="44" customFormat="1" x14ac:dyDescent="0.35">
      <c r="A440" s="568"/>
    </row>
    <row r="441" spans="1:1" s="44" customFormat="1" x14ac:dyDescent="0.35">
      <c r="A441" s="568"/>
    </row>
    <row r="442" spans="1:1" s="44" customFormat="1" x14ac:dyDescent="0.35">
      <c r="A442" s="568"/>
    </row>
    <row r="443" spans="1:1" s="44" customFormat="1" x14ac:dyDescent="0.35">
      <c r="A443" s="568"/>
    </row>
    <row r="444" spans="1:1" s="44" customFormat="1" x14ac:dyDescent="0.35">
      <c r="A444" s="568"/>
    </row>
    <row r="445" spans="1:1" s="44" customFormat="1" x14ac:dyDescent="0.35">
      <c r="A445" s="568"/>
    </row>
    <row r="446" spans="1:1" s="44" customFormat="1" x14ac:dyDescent="0.35">
      <c r="A446" s="568"/>
    </row>
    <row r="447" spans="1:1" s="44" customFormat="1" x14ac:dyDescent="0.35">
      <c r="A447" s="568"/>
    </row>
    <row r="448" spans="1:1" s="44" customFormat="1" x14ac:dyDescent="0.35">
      <c r="A448" s="568"/>
    </row>
    <row r="449" spans="1:1" s="44" customFormat="1" x14ac:dyDescent="0.35">
      <c r="A449" s="568"/>
    </row>
    <row r="450" spans="1:1" s="44" customFormat="1" x14ac:dyDescent="0.35">
      <c r="A450" s="568"/>
    </row>
    <row r="451" spans="1:1" s="44" customFormat="1" x14ac:dyDescent="0.35">
      <c r="A451" s="568"/>
    </row>
    <row r="452" spans="1:1" s="44" customFormat="1" x14ac:dyDescent="0.35">
      <c r="A452" s="568"/>
    </row>
    <row r="453" spans="1:1" s="44" customFormat="1" x14ac:dyDescent="0.35">
      <c r="A453" s="568"/>
    </row>
    <row r="454" spans="1:1" s="44" customFormat="1" x14ac:dyDescent="0.35">
      <c r="A454" s="568"/>
    </row>
    <row r="455" spans="1:1" s="44" customFormat="1" x14ac:dyDescent="0.35">
      <c r="A455" s="568"/>
    </row>
    <row r="456" spans="1:1" s="44" customFormat="1" x14ac:dyDescent="0.35">
      <c r="A456" s="568"/>
    </row>
    <row r="457" spans="1:1" s="44" customFormat="1" x14ac:dyDescent="0.35">
      <c r="A457" s="568"/>
    </row>
    <row r="458" spans="1:1" s="44" customFormat="1" x14ac:dyDescent="0.35">
      <c r="A458" s="568"/>
    </row>
    <row r="459" spans="1:1" s="44" customFormat="1" x14ac:dyDescent="0.35">
      <c r="A459" s="568"/>
    </row>
    <row r="460" spans="1:1" s="44" customFormat="1" x14ac:dyDescent="0.35">
      <c r="A460" s="568"/>
    </row>
    <row r="461" spans="1:1" s="44" customFormat="1" x14ac:dyDescent="0.35">
      <c r="A461" s="568"/>
    </row>
    <row r="462" spans="1:1" s="44" customFormat="1" x14ac:dyDescent="0.35">
      <c r="A462" s="568"/>
    </row>
    <row r="463" spans="1:1" s="44" customFormat="1" x14ac:dyDescent="0.35">
      <c r="A463" s="568"/>
    </row>
    <row r="464" spans="1:1" s="44" customFormat="1" x14ac:dyDescent="0.35">
      <c r="A464" s="568"/>
    </row>
    <row r="465" spans="1:1" s="44" customFormat="1" x14ac:dyDescent="0.35">
      <c r="A465" s="568"/>
    </row>
    <row r="466" spans="1:1" s="44" customFormat="1" x14ac:dyDescent="0.35">
      <c r="A466" s="568"/>
    </row>
    <row r="467" spans="1:1" s="44" customFormat="1" x14ac:dyDescent="0.35">
      <c r="A467" s="568"/>
    </row>
    <row r="468" spans="1:1" s="44" customFormat="1" x14ac:dyDescent="0.35">
      <c r="A468" s="568"/>
    </row>
    <row r="469" spans="1:1" s="44" customFormat="1" x14ac:dyDescent="0.35">
      <c r="A469" s="568"/>
    </row>
    <row r="470" spans="1:1" s="44" customFormat="1" x14ac:dyDescent="0.35">
      <c r="A470" s="568"/>
    </row>
    <row r="471" spans="1:1" s="44" customFormat="1" x14ac:dyDescent="0.35">
      <c r="A471" s="568"/>
    </row>
    <row r="472" spans="1:1" s="44" customFormat="1" x14ac:dyDescent="0.35">
      <c r="A472" s="568"/>
    </row>
    <row r="473" spans="1:1" s="44" customFormat="1" x14ac:dyDescent="0.35">
      <c r="A473" s="568"/>
    </row>
    <row r="474" spans="1:1" s="44" customFormat="1" x14ac:dyDescent="0.35">
      <c r="A474" s="568"/>
    </row>
    <row r="475" spans="1:1" s="44" customFormat="1" x14ac:dyDescent="0.35">
      <c r="A475" s="568"/>
    </row>
    <row r="476" spans="1:1" s="44" customFormat="1" x14ac:dyDescent="0.35">
      <c r="A476" s="568"/>
    </row>
    <row r="477" spans="1:1" s="44" customFormat="1" x14ac:dyDescent="0.35">
      <c r="A477" s="568"/>
    </row>
    <row r="478" spans="1:1" s="44" customFormat="1" x14ac:dyDescent="0.35">
      <c r="A478" s="568"/>
    </row>
    <row r="479" spans="1:1" s="44" customFormat="1" x14ac:dyDescent="0.35">
      <c r="A479" s="568"/>
    </row>
    <row r="480" spans="1:1" s="44" customFormat="1" x14ac:dyDescent="0.35">
      <c r="A480" s="568"/>
    </row>
    <row r="481" spans="1:1" s="44" customFormat="1" x14ac:dyDescent="0.35">
      <c r="A481" s="568"/>
    </row>
    <row r="482" spans="1:1" s="44" customFormat="1" x14ac:dyDescent="0.35">
      <c r="A482" s="568"/>
    </row>
    <row r="483" spans="1:1" s="44" customFormat="1" x14ac:dyDescent="0.35">
      <c r="A483" s="568"/>
    </row>
    <row r="484" spans="1:1" s="44" customFormat="1" x14ac:dyDescent="0.35">
      <c r="A484" s="568"/>
    </row>
    <row r="485" spans="1:1" s="44" customFormat="1" x14ac:dyDescent="0.35">
      <c r="A485" s="568"/>
    </row>
    <row r="486" spans="1:1" s="44" customFormat="1" x14ac:dyDescent="0.35">
      <c r="A486" s="568"/>
    </row>
    <row r="487" spans="1:1" s="44" customFormat="1" x14ac:dyDescent="0.35">
      <c r="A487" s="568"/>
    </row>
    <row r="488" spans="1:1" s="44" customFormat="1" x14ac:dyDescent="0.35">
      <c r="A488" s="568"/>
    </row>
    <row r="489" spans="1:1" s="44" customFormat="1" x14ac:dyDescent="0.35">
      <c r="A489" s="568"/>
    </row>
    <row r="490" spans="1:1" s="44" customFormat="1" x14ac:dyDescent="0.35">
      <c r="A490" s="568"/>
    </row>
    <row r="491" spans="1:1" s="44" customFormat="1" x14ac:dyDescent="0.35">
      <c r="A491" s="568"/>
    </row>
    <row r="492" spans="1:1" s="44" customFormat="1" x14ac:dyDescent="0.35">
      <c r="A492" s="568"/>
    </row>
    <row r="493" spans="1:1" s="44" customFormat="1" x14ac:dyDescent="0.35">
      <c r="A493" s="568"/>
    </row>
    <row r="494" spans="1:1" s="44" customFormat="1" x14ac:dyDescent="0.35">
      <c r="A494" s="568"/>
    </row>
    <row r="495" spans="1:1" s="44" customFormat="1" x14ac:dyDescent="0.35">
      <c r="A495" s="568"/>
    </row>
    <row r="496" spans="1:1" s="44" customFormat="1" x14ac:dyDescent="0.35">
      <c r="A496" s="568"/>
    </row>
    <row r="497" spans="1:1" s="44" customFormat="1" x14ac:dyDescent="0.35">
      <c r="A497" s="568"/>
    </row>
    <row r="498" spans="1:1" s="44" customFormat="1" x14ac:dyDescent="0.35">
      <c r="A498" s="568"/>
    </row>
    <row r="499" spans="1:1" s="44" customFormat="1" x14ac:dyDescent="0.35">
      <c r="A499" s="568"/>
    </row>
    <row r="500" spans="1:1" s="44" customFormat="1" x14ac:dyDescent="0.35">
      <c r="A500" s="568"/>
    </row>
    <row r="501" spans="1:1" s="44" customFormat="1" x14ac:dyDescent="0.35">
      <c r="A501" s="568"/>
    </row>
    <row r="502" spans="1:1" s="44" customFormat="1" x14ac:dyDescent="0.35">
      <c r="A502" s="568"/>
    </row>
    <row r="503" spans="1:1" s="44" customFormat="1" x14ac:dyDescent="0.35">
      <c r="A503" s="568"/>
    </row>
    <row r="504" spans="1:1" s="44" customFormat="1" x14ac:dyDescent="0.35">
      <c r="A504" s="568"/>
    </row>
    <row r="505" spans="1:1" s="44" customFormat="1" x14ac:dyDescent="0.35">
      <c r="A505" s="568"/>
    </row>
    <row r="506" spans="1:1" s="44" customFormat="1" x14ac:dyDescent="0.35">
      <c r="A506" s="568"/>
    </row>
    <row r="507" spans="1:1" s="44" customFormat="1" x14ac:dyDescent="0.35">
      <c r="A507" s="568"/>
    </row>
    <row r="508" spans="1:1" s="44" customFormat="1" x14ac:dyDescent="0.35">
      <c r="A508" s="568"/>
    </row>
    <row r="509" spans="1:1" s="44" customFormat="1" x14ac:dyDescent="0.35">
      <c r="A509" s="568"/>
    </row>
    <row r="510" spans="1:1" s="44" customFormat="1" x14ac:dyDescent="0.35">
      <c r="A510" s="568"/>
    </row>
    <row r="511" spans="1:1" s="44" customFormat="1" x14ac:dyDescent="0.35">
      <c r="A511" s="568"/>
    </row>
    <row r="512" spans="1:1" s="44" customFormat="1" x14ac:dyDescent="0.35">
      <c r="A512" s="568"/>
    </row>
    <row r="513" spans="1:1" s="44" customFormat="1" x14ac:dyDescent="0.35">
      <c r="A513" s="568"/>
    </row>
    <row r="514" spans="1:1" s="44" customFormat="1" x14ac:dyDescent="0.35">
      <c r="A514" s="568"/>
    </row>
    <row r="515" spans="1:1" s="44" customFormat="1" x14ac:dyDescent="0.35">
      <c r="A515" s="568"/>
    </row>
    <row r="516" spans="1:1" s="44" customFormat="1" x14ac:dyDescent="0.35">
      <c r="A516" s="568"/>
    </row>
    <row r="517" spans="1:1" s="44" customFormat="1" x14ac:dyDescent="0.35">
      <c r="A517" s="568"/>
    </row>
    <row r="518" spans="1:1" s="44" customFormat="1" x14ac:dyDescent="0.35">
      <c r="A518" s="568"/>
    </row>
    <row r="519" spans="1:1" s="44" customFormat="1" x14ac:dyDescent="0.35">
      <c r="A519" s="568"/>
    </row>
    <row r="520" spans="1:1" s="44" customFormat="1" x14ac:dyDescent="0.35">
      <c r="A520" s="568"/>
    </row>
    <row r="521" spans="1:1" s="44" customFormat="1" x14ac:dyDescent="0.35">
      <c r="A521" s="568"/>
    </row>
    <row r="522" spans="1:1" s="44" customFormat="1" x14ac:dyDescent="0.35">
      <c r="A522" s="568"/>
    </row>
    <row r="523" spans="1:1" s="44" customFormat="1" x14ac:dyDescent="0.35">
      <c r="A523" s="568"/>
    </row>
    <row r="524" spans="1:1" s="44" customFormat="1" x14ac:dyDescent="0.35">
      <c r="A524" s="568"/>
    </row>
    <row r="525" spans="1:1" s="44" customFormat="1" x14ac:dyDescent="0.35">
      <c r="A525" s="568"/>
    </row>
    <row r="526" spans="1:1" s="44" customFormat="1" x14ac:dyDescent="0.35">
      <c r="A526" s="568"/>
    </row>
    <row r="527" spans="1:1" s="44" customFormat="1" x14ac:dyDescent="0.35">
      <c r="A527" s="568"/>
    </row>
    <row r="528" spans="1:1" s="44" customFormat="1" x14ac:dyDescent="0.35">
      <c r="A528" s="568"/>
    </row>
    <row r="529" spans="1:1" s="44" customFormat="1" x14ac:dyDescent="0.35">
      <c r="A529" s="568"/>
    </row>
    <row r="530" spans="1:1" s="44" customFormat="1" x14ac:dyDescent="0.35">
      <c r="A530" s="568"/>
    </row>
    <row r="531" spans="1:1" s="44" customFormat="1" x14ac:dyDescent="0.35">
      <c r="A531" s="568"/>
    </row>
    <row r="532" spans="1:1" s="44" customFormat="1" x14ac:dyDescent="0.35">
      <c r="A532" s="568"/>
    </row>
    <row r="533" spans="1:1" s="44" customFormat="1" x14ac:dyDescent="0.35">
      <c r="A533" s="568"/>
    </row>
    <row r="534" spans="1:1" s="44" customFormat="1" x14ac:dyDescent="0.35">
      <c r="A534" s="568"/>
    </row>
    <row r="535" spans="1:1" s="44" customFormat="1" x14ac:dyDescent="0.35">
      <c r="A535" s="568"/>
    </row>
    <row r="536" spans="1:1" s="44" customFormat="1" x14ac:dyDescent="0.35">
      <c r="A536" s="568"/>
    </row>
    <row r="537" spans="1:1" s="44" customFormat="1" x14ac:dyDescent="0.35">
      <c r="A537" s="568"/>
    </row>
    <row r="538" spans="1:1" s="44" customFormat="1" x14ac:dyDescent="0.35">
      <c r="A538" s="568"/>
    </row>
    <row r="539" spans="1:1" s="44" customFormat="1" x14ac:dyDescent="0.35">
      <c r="A539" s="568"/>
    </row>
    <row r="540" spans="1:1" s="44" customFormat="1" x14ac:dyDescent="0.35">
      <c r="A540" s="568"/>
    </row>
    <row r="541" spans="1:1" s="44" customFormat="1" x14ac:dyDescent="0.35">
      <c r="A541" s="568"/>
    </row>
    <row r="542" spans="1:1" s="44" customFormat="1" x14ac:dyDescent="0.35">
      <c r="A542" s="568"/>
    </row>
    <row r="543" spans="1:1" s="44" customFormat="1" x14ac:dyDescent="0.35">
      <c r="A543" s="568"/>
    </row>
    <row r="544" spans="1:1" s="44" customFormat="1" x14ac:dyDescent="0.35">
      <c r="A544" s="568"/>
    </row>
    <row r="545" spans="1:1" s="44" customFormat="1" x14ac:dyDescent="0.35">
      <c r="A545" s="568"/>
    </row>
    <row r="546" spans="1:1" s="44" customFormat="1" x14ac:dyDescent="0.35">
      <c r="A546" s="568"/>
    </row>
    <row r="547" spans="1:1" s="44" customFormat="1" x14ac:dyDescent="0.35">
      <c r="A547" s="568"/>
    </row>
    <row r="548" spans="1:1" s="44" customFormat="1" x14ac:dyDescent="0.35">
      <c r="A548" s="568"/>
    </row>
    <row r="549" spans="1:1" s="44" customFormat="1" x14ac:dyDescent="0.35">
      <c r="A549" s="568"/>
    </row>
    <row r="550" spans="1:1" s="44" customFormat="1" x14ac:dyDescent="0.35">
      <c r="A550" s="568"/>
    </row>
    <row r="551" spans="1:1" s="44" customFormat="1" x14ac:dyDescent="0.35">
      <c r="A551" s="568"/>
    </row>
    <row r="552" spans="1:1" s="44" customFormat="1" x14ac:dyDescent="0.35">
      <c r="A552" s="568"/>
    </row>
    <row r="553" spans="1:1" s="44" customFormat="1" x14ac:dyDescent="0.35">
      <c r="A553" s="568"/>
    </row>
    <row r="554" spans="1:1" s="44" customFormat="1" x14ac:dyDescent="0.35">
      <c r="A554" s="568"/>
    </row>
    <row r="555" spans="1:1" s="44" customFormat="1" x14ac:dyDescent="0.35">
      <c r="A555" s="568"/>
    </row>
    <row r="556" spans="1:1" s="44" customFormat="1" x14ac:dyDescent="0.35">
      <c r="A556" s="568"/>
    </row>
    <row r="557" spans="1:1" s="44" customFormat="1" x14ac:dyDescent="0.35">
      <c r="A557" s="568"/>
    </row>
    <row r="558" spans="1:1" s="44" customFormat="1" x14ac:dyDescent="0.35">
      <c r="A558" s="568"/>
    </row>
    <row r="559" spans="1:1" s="44" customFormat="1" x14ac:dyDescent="0.35">
      <c r="A559" s="568"/>
    </row>
    <row r="560" spans="1:1" s="44" customFormat="1" x14ac:dyDescent="0.35">
      <c r="A560" s="568"/>
    </row>
    <row r="561" spans="1:1" s="44" customFormat="1" x14ac:dyDescent="0.35">
      <c r="A561" s="568"/>
    </row>
    <row r="562" spans="1:1" s="44" customFormat="1" x14ac:dyDescent="0.35">
      <c r="A562" s="568"/>
    </row>
    <row r="563" spans="1:1" s="44" customFormat="1" x14ac:dyDescent="0.35">
      <c r="A563" s="568"/>
    </row>
    <row r="564" spans="1:1" s="44" customFormat="1" x14ac:dyDescent="0.35">
      <c r="A564" s="568"/>
    </row>
    <row r="565" spans="1:1" s="44" customFormat="1" x14ac:dyDescent="0.35">
      <c r="A565" s="568"/>
    </row>
    <row r="566" spans="1:1" s="44" customFormat="1" x14ac:dyDescent="0.35">
      <c r="A566" s="568"/>
    </row>
    <row r="567" spans="1:1" s="44" customFormat="1" x14ac:dyDescent="0.35">
      <c r="A567" s="568"/>
    </row>
    <row r="568" spans="1:1" s="44" customFormat="1" x14ac:dyDescent="0.35">
      <c r="A568" s="568"/>
    </row>
    <row r="569" spans="1:1" s="44" customFormat="1" x14ac:dyDescent="0.35">
      <c r="A569" s="568"/>
    </row>
    <row r="570" spans="1:1" s="44" customFormat="1" x14ac:dyDescent="0.35">
      <c r="A570" s="568"/>
    </row>
    <row r="571" spans="1:1" s="44" customFormat="1" x14ac:dyDescent="0.35">
      <c r="A571" s="568"/>
    </row>
    <row r="572" spans="1:1" s="44" customFormat="1" x14ac:dyDescent="0.35">
      <c r="A572" s="568"/>
    </row>
    <row r="573" spans="1:1" s="44" customFormat="1" x14ac:dyDescent="0.35">
      <c r="A573" s="568"/>
    </row>
    <row r="574" spans="1:1" s="44" customFormat="1" x14ac:dyDescent="0.35">
      <c r="A574" s="568"/>
    </row>
    <row r="575" spans="1:1" s="44" customFormat="1" x14ac:dyDescent="0.35">
      <c r="A575" s="568"/>
    </row>
    <row r="576" spans="1:1" s="44" customFormat="1" x14ac:dyDescent="0.35">
      <c r="A576" s="568"/>
    </row>
    <row r="577" spans="1:1" s="44" customFormat="1" x14ac:dyDescent="0.35">
      <c r="A577" s="568"/>
    </row>
    <row r="578" spans="1:1" s="44" customFormat="1" x14ac:dyDescent="0.35">
      <c r="A578" s="568"/>
    </row>
    <row r="579" spans="1:1" s="44" customFormat="1" x14ac:dyDescent="0.35">
      <c r="A579" s="568"/>
    </row>
    <row r="580" spans="1:1" s="44" customFormat="1" x14ac:dyDescent="0.35">
      <c r="A580" s="568"/>
    </row>
    <row r="581" spans="1:1" s="44" customFormat="1" x14ac:dyDescent="0.35">
      <c r="A581" s="568"/>
    </row>
    <row r="582" spans="1:1" s="44" customFormat="1" x14ac:dyDescent="0.35">
      <c r="A582" s="568"/>
    </row>
    <row r="583" spans="1:1" s="44" customFormat="1" x14ac:dyDescent="0.35">
      <c r="A583" s="568"/>
    </row>
    <row r="584" spans="1:1" s="44" customFormat="1" x14ac:dyDescent="0.35">
      <c r="A584" s="568"/>
    </row>
    <row r="585" spans="1:1" s="44" customFormat="1" x14ac:dyDescent="0.35">
      <c r="A585" s="568"/>
    </row>
    <row r="586" spans="1:1" s="44" customFormat="1" x14ac:dyDescent="0.35">
      <c r="A586" s="568"/>
    </row>
    <row r="587" spans="1:1" s="44" customFormat="1" x14ac:dyDescent="0.35">
      <c r="A587" s="568"/>
    </row>
    <row r="588" spans="1:1" s="44" customFormat="1" x14ac:dyDescent="0.35">
      <c r="A588" s="568"/>
    </row>
    <row r="589" spans="1:1" s="44" customFormat="1" x14ac:dyDescent="0.35">
      <c r="A589" s="568"/>
    </row>
    <row r="590" spans="1:1" s="44" customFormat="1" x14ac:dyDescent="0.35">
      <c r="A590" s="568"/>
    </row>
    <row r="591" spans="1:1" s="44" customFormat="1" x14ac:dyDescent="0.35">
      <c r="A591" s="568"/>
    </row>
    <row r="592" spans="1:1" s="44" customFormat="1" x14ac:dyDescent="0.35">
      <c r="A592" s="568"/>
    </row>
    <row r="593" spans="1:1" s="44" customFormat="1" x14ac:dyDescent="0.35">
      <c r="A593" s="568"/>
    </row>
    <row r="594" spans="1:1" s="44" customFormat="1" x14ac:dyDescent="0.35">
      <c r="A594" s="568"/>
    </row>
    <row r="595" spans="1:1" s="44" customFormat="1" x14ac:dyDescent="0.35">
      <c r="A595" s="568"/>
    </row>
    <row r="596" spans="1:1" s="44" customFormat="1" x14ac:dyDescent="0.35">
      <c r="A596" s="568"/>
    </row>
    <row r="597" spans="1:1" s="44" customFormat="1" x14ac:dyDescent="0.35">
      <c r="A597" s="568"/>
    </row>
    <row r="598" spans="1:1" s="44" customFormat="1" x14ac:dyDescent="0.35">
      <c r="A598" s="568"/>
    </row>
    <row r="599" spans="1:1" s="44" customFormat="1" x14ac:dyDescent="0.35">
      <c r="A599" s="568"/>
    </row>
    <row r="600" spans="1:1" s="44" customFormat="1" x14ac:dyDescent="0.35">
      <c r="A600" s="568"/>
    </row>
    <row r="601" spans="1:1" s="44" customFormat="1" x14ac:dyDescent="0.35">
      <c r="A601" s="568"/>
    </row>
    <row r="602" spans="1:1" s="44" customFormat="1" x14ac:dyDescent="0.35">
      <c r="A602" s="568"/>
    </row>
    <row r="603" spans="1:1" s="44" customFormat="1" x14ac:dyDescent="0.35">
      <c r="A603" s="568"/>
    </row>
    <row r="604" spans="1:1" s="44" customFormat="1" x14ac:dyDescent="0.35">
      <c r="A604" s="568"/>
    </row>
    <row r="605" spans="1:1" s="44" customFormat="1" x14ac:dyDescent="0.35">
      <c r="A605" s="568"/>
    </row>
    <row r="606" spans="1:1" s="44" customFormat="1" x14ac:dyDescent="0.35">
      <c r="A606" s="568"/>
    </row>
    <row r="607" spans="1:1" s="44" customFormat="1" x14ac:dyDescent="0.35">
      <c r="A607" s="568"/>
    </row>
    <row r="608" spans="1:1" s="44" customFormat="1" x14ac:dyDescent="0.35">
      <c r="A608" s="568"/>
    </row>
    <row r="609" spans="1:1" s="44" customFormat="1" x14ac:dyDescent="0.35">
      <c r="A609" s="568"/>
    </row>
    <row r="610" spans="1:1" s="44" customFormat="1" x14ac:dyDescent="0.35">
      <c r="A610" s="568"/>
    </row>
    <row r="611" spans="1:1" s="44" customFormat="1" x14ac:dyDescent="0.35">
      <c r="A611" s="568"/>
    </row>
    <row r="612" spans="1:1" s="44" customFormat="1" x14ac:dyDescent="0.35">
      <c r="A612" s="568"/>
    </row>
    <row r="613" spans="1:1" s="44" customFormat="1" x14ac:dyDescent="0.35">
      <c r="A613" s="568"/>
    </row>
    <row r="614" spans="1:1" s="44" customFormat="1" x14ac:dyDescent="0.35">
      <c r="A614" s="568"/>
    </row>
    <row r="615" spans="1:1" s="44" customFormat="1" x14ac:dyDescent="0.35">
      <c r="A615" s="568"/>
    </row>
    <row r="616" spans="1:1" s="44" customFormat="1" x14ac:dyDescent="0.35">
      <c r="A616" s="568"/>
    </row>
    <row r="617" spans="1:1" s="44" customFormat="1" x14ac:dyDescent="0.35">
      <c r="A617" s="568"/>
    </row>
    <row r="618" spans="1:1" s="44" customFormat="1" x14ac:dyDescent="0.35">
      <c r="A618" s="568"/>
    </row>
    <row r="619" spans="1:1" s="44" customFormat="1" x14ac:dyDescent="0.35">
      <c r="A619" s="568"/>
    </row>
    <row r="620" spans="1:1" s="44" customFormat="1" x14ac:dyDescent="0.35">
      <c r="A620" s="568"/>
    </row>
    <row r="621" spans="1:1" s="44" customFormat="1" x14ac:dyDescent="0.35">
      <c r="A621" s="568"/>
    </row>
    <row r="622" spans="1:1" s="44" customFormat="1" x14ac:dyDescent="0.35">
      <c r="A622" s="568"/>
    </row>
    <row r="623" spans="1:1" s="44" customFormat="1" x14ac:dyDescent="0.35">
      <c r="A623" s="568"/>
    </row>
    <row r="624" spans="1:1" s="44" customFormat="1" x14ac:dyDescent="0.35">
      <c r="A624" s="568"/>
    </row>
    <row r="625" spans="1:1" s="44" customFormat="1" x14ac:dyDescent="0.35">
      <c r="A625" s="568"/>
    </row>
    <row r="626" spans="1:1" s="44" customFormat="1" x14ac:dyDescent="0.35">
      <c r="A626" s="568"/>
    </row>
    <row r="627" spans="1:1" s="44" customFormat="1" x14ac:dyDescent="0.35">
      <c r="A627" s="568"/>
    </row>
    <row r="628" spans="1:1" s="44" customFormat="1" x14ac:dyDescent="0.35">
      <c r="A628" s="568"/>
    </row>
    <row r="629" spans="1:1" s="44" customFormat="1" x14ac:dyDescent="0.35">
      <c r="A629" s="568"/>
    </row>
    <row r="630" spans="1:1" s="44" customFormat="1" x14ac:dyDescent="0.35">
      <c r="A630" s="568"/>
    </row>
    <row r="631" spans="1:1" s="44" customFormat="1" x14ac:dyDescent="0.35">
      <c r="A631" s="568"/>
    </row>
    <row r="632" spans="1:1" s="44" customFormat="1" x14ac:dyDescent="0.35">
      <c r="A632" s="568"/>
    </row>
    <row r="633" spans="1:1" s="44" customFormat="1" x14ac:dyDescent="0.35">
      <c r="A633" s="568"/>
    </row>
    <row r="634" spans="1:1" s="44" customFormat="1" x14ac:dyDescent="0.35">
      <c r="A634" s="568"/>
    </row>
    <row r="635" spans="1:1" s="44" customFormat="1" x14ac:dyDescent="0.35">
      <c r="A635" s="568"/>
    </row>
    <row r="636" spans="1:1" s="44" customFormat="1" x14ac:dyDescent="0.35">
      <c r="A636" s="568"/>
    </row>
    <row r="637" spans="1:1" s="44" customFormat="1" x14ac:dyDescent="0.35">
      <c r="A637" s="568"/>
    </row>
    <row r="638" spans="1:1" s="44" customFormat="1" x14ac:dyDescent="0.35">
      <c r="A638" s="568"/>
    </row>
    <row r="639" spans="1:1" s="44" customFormat="1" x14ac:dyDescent="0.35">
      <c r="A639" s="568"/>
    </row>
    <row r="640" spans="1:1" s="44" customFormat="1" x14ac:dyDescent="0.35">
      <c r="A640" s="568"/>
    </row>
    <row r="641" spans="1:1" s="44" customFormat="1" x14ac:dyDescent="0.35">
      <c r="A641" s="568"/>
    </row>
    <row r="642" spans="1:1" s="44" customFormat="1" x14ac:dyDescent="0.35">
      <c r="A642" s="568"/>
    </row>
    <row r="643" spans="1:1" s="44" customFormat="1" x14ac:dyDescent="0.35">
      <c r="A643" s="568"/>
    </row>
    <row r="644" spans="1:1" s="44" customFormat="1" x14ac:dyDescent="0.35">
      <c r="A644" s="568"/>
    </row>
    <row r="645" spans="1:1" s="44" customFormat="1" x14ac:dyDescent="0.35">
      <c r="A645" s="568"/>
    </row>
    <row r="646" spans="1:1" s="44" customFormat="1" x14ac:dyDescent="0.35">
      <c r="A646" s="568"/>
    </row>
    <row r="647" spans="1:1" s="44" customFormat="1" x14ac:dyDescent="0.35">
      <c r="A647" s="568"/>
    </row>
    <row r="648" spans="1:1" s="44" customFormat="1" x14ac:dyDescent="0.35">
      <c r="A648" s="568"/>
    </row>
    <row r="649" spans="1:1" s="44" customFormat="1" x14ac:dyDescent="0.35">
      <c r="A649" s="568"/>
    </row>
    <row r="650" spans="1:1" s="44" customFormat="1" x14ac:dyDescent="0.35">
      <c r="A650" s="568"/>
    </row>
    <row r="651" spans="1:1" s="44" customFormat="1" x14ac:dyDescent="0.35">
      <c r="A651" s="568"/>
    </row>
    <row r="652" spans="1:1" s="44" customFormat="1" x14ac:dyDescent="0.35">
      <c r="A652" s="568"/>
    </row>
    <row r="653" spans="1:1" s="44" customFormat="1" x14ac:dyDescent="0.35">
      <c r="A653" s="568"/>
    </row>
    <row r="654" spans="1:1" s="44" customFormat="1" x14ac:dyDescent="0.35">
      <c r="A654" s="568"/>
    </row>
    <row r="655" spans="1:1" s="44" customFormat="1" x14ac:dyDescent="0.35">
      <c r="A655" s="568"/>
    </row>
    <row r="656" spans="1:1" s="44" customFormat="1" x14ac:dyDescent="0.35">
      <c r="A656" s="568"/>
    </row>
    <row r="657" spans="1:1" s="44" customFormat="1" x14ac:dyDescent="0.35">
      <c r="A657" s="568"/>
    </row>
    <row r="658" spans="1:1" s="44" customFormat="1" x14ac:dyDescent="0.35">
      <c r="A658" s="568"/>
    </row>
    <row r="659" spans="1:1" s="44" customFormat="1" x14ac:dyDescent="0.35">
      <c r="A659" s="568"/>
    </row>
    <row r="660" spans="1:1" s="44" customFormat="1" x14ac:dyDescent="0.35">
      <c r="A660" s="568"/>
    </row>
    <row r="661" spans="1:1" s="44" customFormat="1" x14ac:dyDescent="0.35">
      <c r="A661" s="568"/>
    </row>
    <row r="662" spans="1:1" s="44" customFormat="1" x14ac:dyDescent="0.35">
      <c r="A662" s="568"/>
    </row>
    <row r="663" spans="1:1" s="44" customFormat="1" x14ac:dyDescent="0.35">
      <c r="A663" s="568"/>
    </row>
    <row r="664" spans="1:1" s="44" customFormat="1" x14ac:dyDescent="0.35">
      <c r="A664" s="568"/>
    </row>
    <row r="665" spans="1:1" s="44" customFormat="1" x14ac:dyDescent="0.35">
      <c r="A665" s="568"/>
    </row>
    <row r="666" spans="1:1" s="44" customFormat="1" x14ac:dyDescent="0.35">
      <c r="A666" s="568"/>
    </row>
    <row r="667" spans="1:1" s="44" customFormat="1" x14ac:dyDescent="0.35">
      <c r="A667" s="568"/>
    </row>
    <row r="668" spans="1:1" s="44" customFormat="1" x14ac:dyDescent="0.35">
      <c r="A668" s="568"/>
    </row>
    <row r="669" spans="1:1" s="44" customFormat="1" x14ac:dyDescent="0.35">
      <c r="A669" s="568"/>
    </row>
    <row r="670" spans="1:1" s="44" customFormat="1" x14ac:dyDescent="0.35">
      <c r="A670" s="568"/>
    </row>
    <row r="671" spans="1:1" s="44" customFormat="1" x14ac:dyDescent="0.35">
      <c r="A671" s="568"/>
    </row>
    <row r="672" spans="1:1" s="44" customFormat="1" x14ac:dyDescent="0.35">
      <c r="A672" s="568"/>
    </row>
    <row r="673" spans="1:1" s="44" customFormat="1" x14ac:dyDescent="0.35">
      <c r="A673" s="568"/>
    </row>
    <row r="674" spans="1:1" s="44" customFormat="1" x14ac:dyDescent="0.35">
      <c r="A674" s="568"/>
    </row>
    <row r="675" spans="1:1" s="44" customFormat="1" x14ac:dyDescent="0.35">
      <c r="A675" s="568"/>
    </row>
    <row r="676" spans="1:1" s="44" customFormat="1" x14ac:dyDescent="0.35">
      <c r="A676" s="568"/>
    </row>
    <row r="677" spans="1:1" s="44" customFormat="1" x14ac:dyDescent="0.35">
      <c r="A677" s="568"/>
    </row>
    <row r="678" spans="1:1" s="44" customFormat="1" x14ac:dyDescent="0.35">
      <c r="A678" s="568"/>
    </row>
    <row r="679" spans="1:1" s="44" customFormat="1" x14ac:dyDescent="0.35">
      <c r="A679" s="568"/>
    </row>
    <row r="680" spans="1:1" s="44" customFormat="1" x14ac:dyDescent="0.35">
      <c r="A680" s="568"/>
    </row>
    <row r="681" spans="1:1" s="44" customFormat="1" x14ac:dyDescent="0.35">
      <c r="A681" s="568"/>
    </row>
    <row r="682" spans="1:1" s="44" customFormat="1" x14ac:dyDescent="0.35">
      <c r="A682" s="568"/>
    </row>
    <row r="683" spans="1:1" s="44" customFormat="1" x14ac:dyDescent="0.35">
      <c r="A683" s="568"/>
    </row>
    <row r="684" spans="1:1" s="44" customFormat="1" x14ac:dyDescent="0.35">
      <c r="A684" s="568"/>
    </row>
    <row r="685" spans="1:1" s="44" customFormat="1" x14ac:dyDescent="0.35">
      <c r="A685" s="568"/>
    </row>
    <row r="686" spans="1:1" s="44" customFormat="1" x14ac:dyDescent="0.35">
      <c r="A686" s="568"/>
    </row>
    <row r="687" spans="1:1" s="44" customFormat="1" x14ac:dyDescent="0.35">
      <c r="A687" s="568"/>
    </row>
    <row r="688" spans="1:1" s="44" customFormat="1" x14ac:dyDescent="0.35">
      <c r="A688" s="568"/>
    </row>
    <row r="689" spans="1:1" s="44" customFormat="1" x14ac:dyDescent="0.35">
      <c r="A689" s="568"/>
    </row>
    <row r="690" spans="1:1" s="44" customFormat="1" x14ac:dyDescent="0.35">
      <c r="A690" s="568"/>
    </row>
    <row r="691" spans="1:1" s="44" customFormat="1" x14ac:dyDescent="0.35">
      <c r="A691" s="568"/>
    </row>
    <row r="692" spans="1:1" s="44" customFormat="1" x14ac:dyDescent="0.35">
      <c r="A692" s="568"/>
    </row>
    <row r="693" spans="1:1" s="44" customFormat="1" x14ac:dyDescent="0.35">
      <c r="A693" s="568"/>
    </row>
    <row r="694" spans="1:1" s="44" customFormat="1" x14ac:dyDescent="0.35">
      <c r="A694" s="568"/>
    </row>
    <row r="695" spans="1:1" s="44" customFormat="1" x14ac:dyDescent="0.35">
      <c r="A695" s="568"/>
    </row>
    <row r="696" spans="1:1" s="44" customFormat="1" x14ac:dyDescent="0.35">
      <c r="A696" s="568"/>
    </row>
    <row r="697" spans="1:1" s="44" customFormat="1" x14ac:dyDescent="0.35">
      <c r="A697" s="568"/>
    </row>
    <row r="698" spans="1:1" s="44" customFormat="1" x14ac:dyDescent="0.35">
      <c r="A698" s="568"/>
    </row>
    <row r="699" spans="1:1" s="44" customFormat="1" x14ac:dyDescent="0.35">
      <c r="A699" s="568"/>
    </row>
    <row r="700" spans="1:1" s="44" customFormat="1" x14ac:dyDescent="0.35">
      <c r="A700" s="568"/>
    </row>
    <row r="701" spans="1:1" s="44" customFormat="1" x14ac:dyDescent="0.35">
      <c r="A701" s="568"/>
    </row>
    <row r="702" spans="1:1" s="44" customFormat="1" x14ac:dyDescent="0.35">
      <c r="A702" s="568"/>
    </row>
    <row r="703" spans="1:1" s="44" customFormat="1" x14ac:dyDescent="0.35">
      <c r="A703" s="568"/>
    </row>
    <row r="704" spans="1:1" s="44" customFormat="1" x14ac:dyDescent="0.35">
      <c r="A704" s="568"/>
    </row>
    <row r="705" spans="1:1" s="44" customFormat="1" x14ac:dyDescent="0.35">
      <c r="A705" s="568"/>
    </row>
    <row r="706" spans="1:1" s="44" customFormat="1" x14ac:dyDescent="0.35">
      <c r="A706" s="568"/>
    </row>
    <row r="707" spans="1:1" s="44" customFormat="1" x14ac:dyDescent="0.35">
      <c r="A707" s="568"/>
    </row>
    <row r="708" spans="1:1" s="44" customFormat="1" x14ac:dyDescent="0.35">
      <c r="A708" s="568"/>
    </row>
    <row r="709" spans="1:1" s="44" customFormat="1" x14ac:dyDescent="0.35">
      <c r="A709" s="568"/>
    </row>
    <row r="710" spans="1:1" s="44" customFormat="1" x14ac:dyDescent="0.35">
      <c r="A710" s="568"/>
    </row>
    <row r="711" spans="1:1" s="44" customFormat="1" x14ac:dyDescent="0.35">
      <c r="A711" s="568"/>
    </row>
    <row r="712" spans="1:1" s="44" customFormat="1" x14ac:dyDescent="0.35">
      <c r="A712" s="568"/>
    </row>
    <row r="713" spans="1:1" s="44" customFormat="1" x14ac:dyDescent="0.35">
      <c r="A713" s="568"/>
    </row>
    <row r="714" spans="1:1" s="44" customFormat="1" x14ac:dyDescent="0.35">
      <c r="A714" s="568"/>
    </row>
    <row r="715" spans="1:1" s="44" customFormat="1" x14ac:dyDescent="0.35">
      <c r="A715" s="568"/>
    </row>
    <row r="716" spans="1:1" s="44" customFormat="1" x14ac:dyDescent="0.35">
      <c r="A716" s="568"/>
    </row>
    <row r="717" spans="1:1" s="44" customFormat="1" x14ac:dyDescent="0.35">
      <c r="A717" s="568"/>
    </row>
    <row r="718" spans="1:1" s="44" customFormat="1" x14ac:dyDescent="0.35">
      <c r="A718" s="568"/>
    </row>
    <row r="719" spans="1:1" s="44" customFormat="1" x14ac:dyDescent="0.35">
      <c r="A719" s="568"/>
    </row>
    <row r="720" spans="1:1" s="44" customFormat="1" x14ac:dyDescent="0.35">
      <c r="A720" s="568"/>
    </row>
    <row r="721" spans="1:1" s="44" customFormat="1" x14ac:dyDescent="0.35">
      <c r="A721" s="568"/>
    </row>
    <row r="722" spans="1:1" s="44" customFormat="1" x14ac:dyDescent="0.35">
      <c r="A722" s="568"/>
    </row>
    <row r="723" spans="1:1" s="44" customFormat="1" x14ac:dyDescent="0.35">
      <c r="A723" s="568"/>
    </row>
    <row r="724" spans="1:1" s="44" customFormat="1" x14ac:dyDescent="0.35">
      <c r="A724" s="568"/>
    </row>
    <row r="725" spans="1:1" s="44" customFormat="1" x14ac:dyDescent="0.35">
      <c r="A725" s="568"/>
    </row>
    <row r="726" spans="1:1" s="44" customFormat="1" x14ac:dyDescent="0.35">
      <c r="A726" s="568"/>
    </row>
    <row r="727" spans="1:1" s="44" customFormat="1" x14ac:dyDescent="0.35">
      <c r="A727" s="568"/>
    </row>
    <row r="728" spans="1:1" s="44" customFormat="1" x14ac:dyDescent="0.35">
      <c r="A728" s="568"/>
    </row>
    <row r="729" spans="1:1" s="44" customFormat="1" x14ac:dyDescent="0.35">
      <c r="A729" s="568"/>
    </row>
    <row r="730" spans="1:1" s="44" customFormat="1" x14ac:dyDescent="0.35">
      <c r="A730" s="568"/>
    </row>
    <row r="731" spans="1:1" s="44" customFormat="1" x14ac:dyDescent="0.35">
      <c r="A731" s="568"/>
    </row>
    <row r="732" spans="1:1" s="44" customFormat="1" x14ac:dyDescent="0.35">
      <c r="A732" s="568"/>
    </row>
    <row r="733" spans="1:1" s="44" customFormat="1" x14ac:dyDescent="0.35">
      <c r="A733" s="568"/>
    </row>
    <row r="734" spans="1:1" s="44" customFormat="1" x14ac:dyDescent="0.35">
      <c r="A734" s="568"/>
    </row>
    <row r="735" spans="1:1" s="44" customFormat="1" x14ac:dyDescent="0.35">
      <c r="A735" s="568"/>
    </row>
    <row r="736" spans="1:1" s="44" customFormat="1" x14ac:dyDescent="0.35">
      <c r="A736" s="568"/>
    </row>
    <row r="737" spans="1:1" s="44" customFormat="1" x14ac:dyDescent="0.35">
      <c r="A737" s="568"/>
    </row>
    <row r="738" spans="1:1" s="44" customFormat="1" x14ac:dyDescent="0.35">
      <c r="A738" s="568"/>
    </row>
    <row r="739" spans="1:1" s="44" customFormat="1" x14ac:dyDescent="0.35">
      <c r="A739" s="568"/>
    </row>
    <row r="740" spans="1:1" s="44" customFormat="1" x14ac:dyDescent="0.35">
      <c r="A740" s="568"/>
    </row>
    <row r="741" spans="1:1" s="44" customFormat="1" x14ac:dyDescent="0.35">
      <c r="A741" s="568"/>
    </row>
    <row r="742" spans="1:1" s="44" customFormat="1" x14ac:dyDescent="0.35">
      <c r="A742" s="568"/>
    </row>
    <row r="743" spans="1:1" s="44" customFormat="1" x14ac:dyDescent="0.35">
      <c r="A743" s="568"/>
    </row>
    <row r="744" spans="1:1" s="44" customFormat="1" x14ac:dyDescent="0.35">
      <c r="A744" s="568"/>
    </row>
    <row r="745" spans="1:1" s="44" customFormat="1" x14ac:dyDescent="0.35">
      <c r="A745" s="568"/>
    </row>
    <row r="746" spans="1:1" s="44" customFormat="1" x14ac:dyDescent="0.35">
      <c r="A746" s="568"/>
    </row>
    <row r="747" spans="1:1" s="44" customFormat="1" x14ac:dyDescent="0.35">
      <c r="A747" s="568"/>
    </row>
    <row r="748" spans="1:1" s="44" customFormat="1" x14ac:dyDescent="0.35">
      <c r="A748" s="568"/>
    </row>
    <row r="749" spans="1:1" s="44" customFormat="1" x14ac:dyDescent="0.35">
      <c r="A749" s="568"/>
    </row>
    <row r="750" spans="1:1" s="44" customFormat="1" x14ac:dyDescent="0.35">
      <c r="A750" s="568"/>
    </row>
    <row r="751" spans="1:1" s="44" customFormat="1" x14ac:dyDescent="0.35">
      <c r="A751" s="568"/>
    </row>
    <row r="752" spans="1:1" s="44" customFormat="1" x14ac:dyDescent="0.35">
      <c r="A752" s="568"/>
    </row>
    <row r="753" spans="1:1" s="44" customFormat="1" x14ac:dyDescent="0.35">
      <c r="A753" s="568"/>
    </row>
    <row r="754" spans="1:1" s="44" customFormat="1" x14ac:dyDescent="0.35">
      <c r="A754" s="568"/>
    </row>
    <row r="755" spans="1:1" s="44" customFormat="1" x14ac:dyDescent="0.35">
      <c r="A755" s="568"/>
    </row>
    <row r="756" spans="1:1" s="44" customFormat="1" x14ac:dyDescent="0.35">
      <c r="A756" s="568"/>
    </row>
    <row r="757" spans="1:1" s="44" customFormat="1" x14ac:dyDescent="0.35">
      <c r="A757" s="568"/>
    </row>
    <row r="758" spans="1:1" s="44" customFormat="1" x14ac:dyDescent="0.35">
      <c r="A758" s="568"/>
    </row>
    <row r="759" spans="1:1" s="44" customFormat="1" x14ac:dyDescent="0.35">
      <c r="A759" s="568"/>
    </row>
    <row r="760" spans="1:1" s="44" customFormat="1" x14ac:dyDescent="0.35">
      <c r="A760" s="568"/>
    </row>
    <row r="761" spans="1:1" s="44" customFormat="1" x14ac:dyDescent="0.35">
      <c r="A761" s="568"/>
    </row>
    <row r="762" spans="1:1" s="44" customFormat="1" x14ac:dyDescent="0.35">
      <c r="A762" s="568"/>
    </row>
    <row r="763" spans="1:1" s="44" customFormat="1" x14ac:dyDescent="0.35">
      <c r="A763" s="568"/>
    </row>
    <row r="764" spans="1:1" s="44" customFormat="1" x14ac:dyDescent="0.35">
      <c r="A764" s="568"/>
    </row>
    <row r="765" spans="1:1" s="44" customFormat="1" x14ac:dyDescent="0.35">
      <c r="A765" s="568"/>
    </row>
    <row r="766" spans="1:1" s="44" customFormat="1" x14ac:dyDescent="0.35">
      <c r="A766" s="568"/>
    </row>
    <row r="767" spans="1:1" s="44" customFormat="1" x14ac:dyDescent="0.35">
      <c r="A767" s="568"/>
    </row>
    <row r="768" spans="1:1" s="44" customFormat="1" x14ac:dyDescent="0.35">
      <c r="A768" s="568"/>
    </row>
    <row r="769" spans="1:1" s="44" customFormat="1" x14ac:dyDescent="0.35">
      <c r="A769" s="568"/>
    </row>
    <row r="770" spans="1:1" s="44" customFormat="1" x14ac:dyDescent="0.35">
      <c r="A770" s="568"/>
    </row>
    <row r="771" spans="1:1" s="44" customFormat="1" x14ac:dyDescent="0.35">
      <c r="A771" s="568"/>
    </row>
    <row r="772" spans="1:1" s="44" customFormat="1" x14ac:dyDescent="0.35">
      <c r="A772" s="568"/>
    </row>
    <row r="773" spans="1:1" s="44" customFormat="1" x14ac:dyDescent="0.35">
      <c r="A773" s="568"/>
    </row>
    <row r="774" spans="1:1" s="44" customFormat="1" x14ac:dyDescent="0.35">
      <c r="A774" s="568"/>
    </row>
    <row r="775" spans="1:1" s="44" customFormat="1" x14ac:dyDescent="0.35">
      <c r="A775" s="568"/>
    </row>
    <row r="776" spans="1:1" s="44" customFormat="1" x14ac:dyDescent="0.35">
      <c r="A776" s="568"/>
    </row>
    <row r="777" spans="1:1" s="44" customFormat="1" x14ac:dyDescent="0.35">
      <c r="A777" s="568"/>
    </row>
    <row r="778" spans="1:1" s="44" customFormat="1" x14ac:dyDescent="0.35">
      <c r="A778" s="568"/>
    </row>
    <row r="779" spans="1:1" s="44" customFormat="1" x14ac:dyDescent="0.35">
      <c r="A779" s="568"/>
    </row>
    <row r="780" spans="1:1" s="44" customFormat="1" x14ac:dyDescent="0.35">
      <c r="A780" s="568"/>
    </row>
    <row r="781" spans="1:1" s="44" customFormat="1" x14ac:dyDescent="0.35">
      <c r="A781" s="568"/>
    </row>
    <row r="782" spans="1:1" s="44" customFormat="1" x14ac:dyDescent="0.35">
      <c r="A782" s="568"/>
    </row>
    <row r="783" spans="1:1" s="44" customFormat="1" x14ac:dyDescent="0.35">
      <c r="A783" s="568"/>
    </row>
    <row r="784" spans="1:1" s="44" customFormat="1" x14ac:dyDescent="0.35">
      <c r="A784" s="568"/>
    </row>
    <row r="785" spans="1:1" s="44" customFormat="1" x14ac:dyDescent="0.35">
      <c r="A785" s="568"/>
    </row>
    <row r="786" spans="1:1" s="44" customFormat="1" x14ac:dyDescent="0.35">
      <c r="A786" s="568"/>
    </row>
    <row r="787" spans="1:1" s="44" customFormat="1" x14ac:dyDescent="0.35">
      <c r="A787" s="568"/>
    </row>
    <row r="788" spans="1:1" s="44" customFormat="1" x14ac:dyDescent="0.35">
      <c r="A788" s="568"/>
    </row>
    <row r="789" spans="1:1" s="44" customFormat="1" x14ac:dyDescent="0.35">
      <c r="A789" s="568"/>
    </row>
    <row r="790" spans="1:1" s="44" customFormat="1" x14ac:dyDescent="0.35">
      <c r="A790" s="568"/>
    </row>
    <row r="791" spans="1:1" s="44" customFormat="1" x14ac:dyDescent="0.35">
      <c r="A791" s="568"/>
    </row>
    <row r="792" spans="1:1" s="44" customFormat="1" x14ac:dyDescent="0.35">
      <c r="A792" s="568"/>
    </row>
    <row r="793" spans="1:1" s="44" customFormat="1" x14ac:dyDescent="0.35">
      <c r="A793" s="568"/>
    </row>
    <row r="794" spans="1:1" s="44" customFormat="1" x14ac:dyDescent="0.35">
      <c r="A794" s="568"/>
    </row>
    <row r="795" spans="1:1" s="44" customFormat="1" x14ac:dyDescent="0.35">
      <c r="A795" s="568"/>
    </row>
    <row r="796" spans="1:1" s="44" customFormat="1" x14ac:dyDescent="0.35">
      <c r="A796" s="568"/>
    </row>
    <row r="797" spans="1:1" s="44" customFormat="1" x14ac:dyDescent="0.35">
      <c r="A797" s="568"/>
    </row>
    <row r="798" spans="1:1" s="44" customFormat="1" x14ac:dyDescent="0.35">
      <c r="A798" s="568"/>
    </row>
    <row r="799" spans="1:1" s="44" customFormat="1" x14ac:dyDescent="0.35">
      <c r="A799" s="568"/>
    </row>
    <row r="800" spans="1:1" s="44" customFormat="1" x14ac:dyDescent="0.35">
      <c r="A800" s="568"/>
    </row>
    <row r="801" spans="1:1" s="44" customFormat="1" x14ac:dyDescent="0.35">
      <c r="A801" s="568"/>
    </row>
    <row r="802" spans="1:1" s="44" customFormat="1" x14ac:dyDescent="0.35">
      <c r="A802" s="568"/>
    </row>
    <row r="803" spans="1:1" s="44" customFormat="1" x14ac:dyDescent="0.35">
      <c r="A803" s="568"/>
    </row>
    <row r="804" spans="1:1" s="44" customFormat="1" x14ac:dyDescent="0.35">
      <c r="A804" s="568"/>
    </row>
    <row r="805" spans="1:1" s="44" customFormat="1" x14ac:dyDescent="0.35">
      <c r="A805" s="568"/>
    </row>
    <row r="806" spans="1:1" s="44" customFormat="1" x14ac:dyDescent="0.35">
      <c r="A806" s="568"/>
    </row>
    <row r="807" spans="1:1" s="44" customFormat="1" x14ac:dyDescent="0.35">
      <c r="A807" s="568"/>
    </row>
    <row r="808" spans="1:1" s="44" customFormat="1" x14ac:dyDescent="0.35">
      <c r="A808" s="568"/>
    </row>
    <row r="809" spans="1:1" s="44" customFormat="1" x14ac:dyDescent="0.35">
      <c r="A809" s="568"/>
    </row>
    <row r="810" spans="1:1" s="44" customFormat="1" x14ac:dyDescent="0.35">
      <c r="A810" s="568"/>
    </row>
    <row r="811" spans="1:1" s="44" customFormat="1" x14ac:dyDescent="0.35">
      <c r="A811" s="568"/>
    </row>
    <row r="812" spans="1:1" s="44" customFormat="1" x14ac:dyDescent="0.35">
      <c r="A812" s="568"/>
    </row>
    <row r="813" spans="1:1" s="44" customFormat="1" x14ac:dyDescent="0.35">
      <c r="A813" s="568"/>
    </row>
    <row r="814" spans="1:1" s="44" customFormat="1" x14ac:dyDescent="0.35">
      <c r="A814" s="568"/>
    </row>
    <row r="815" spans="1:1" s="44" customFormat="1" x14ac:dyDescent="0.35">
      <c r="A815" s="568"/>
    </row>
    <row r="816" spans="1:1" s="44" customFormat="1" x14ac:dyDescent="0.35">
      <c r="A816" s="568"/>
    </row>
    <row r="817" spans="1:1" s="44" customFormat="1" x14ac:dyDescent="0.35">
      <c r="A817" s="568"/>
    </row>
    <row r="818" spans="1:1" s="44" customFormat="1" x14ac:dyDescent="0.35">
      <c r="A818" s="568"/>
    </row>
    <row r="819" spans="1:1" s="44" customFormat="1" x14ac:dyDescent="0.35">
      <c r="A819" s="568"/>
    </row>
    <row r="820" spans="1:1" s="44" customFormat="1" x14ac:dyDescent="0.35">
      <c r="A820" s="568"/>
    </row>
    <row r="821" spans="1:1" s="44" customFormat="1" x14ac:dyDescent="0.35">
      <c r="A821" s="568"/>
    </row>
    <row r="822" spans="1:1" s="44" customFormat="1" x14ac:dyDescent="0.35">
      <c r="A822" s="568"/>
    </row>
    <row r="823" spans="1:1" s="44" customFormat="1" x14ac:dyDescent="0.35">
      <c r="A823" s="568"/>
    </row>
    <row r="824" spans="1:1" s="44" customFormat="1" x14ac:dyDescent="0.35">
      <c r="A824" s="568"/>
    </row>
    <row r="825" spans="1:1" s="44" customFormat="1" x14ac:dyDescent="0.35">
      <c r="A825" s="568"/>
    </row>
    <row r="826" spans="1:1" s="44" customFormat="1" x14ac:dyDescent="0.35">
      <c r="A826" s="568"/>
    </row>
    <row r="827" spans="1:1" s="44" customFormat="1" x14ac:dyDescent="0.35">
      <c r="A827" s="568"/>
    </row>
    <row r="828" spans="1:1" s="44" customFormat="1" x14ac:dyDescent="0.35">
      <c r="A828" s="568"/>
    </row>
    <row r="829" spans="1:1" s="44" customFormat="1" x14ac:dyDescent="0.35">
      <c r="A829" s="568"/>
    </row>
    <row r="830" spans="1:1" s="44" customFormat="1" x14ac:dyDescent="0.35">
      <c r="A830" s="568"/>
    </row>
    <row r="831" spans="1:1" s="44" customFormat="1" x14ac:dyDescent="0.35">
      <c r="A831" s="568"/>
    </row>
    <row r="832" spans="1:1" s="44" customFormat="1" x14ac:dyDescent="0.35">
      <c r="A832" s="568"/>
    </row>
    <row r="833" spans="1:1" s="44" customFormat="1" x14ac:dyDescent="0.35">
      <c r="A833" s="568"/>
    </row>
    <row r="834" spans="1:1" s="44" customFormat="1" x14ac:dyDescent="0.35">
      <c r="A834" s="568"/>
    </row>
    <row r="835" spans="1:1" s="44" customFormat="1" x14ac:dyDescent="0.35">
      <c r="A835" s="568"/>
    </row>
    <row r="836" spans="1:1" s="44" customFormat="1" x14ac:dyDescent="0.35">
      <c r="A836" s="568"/>
    </row>
    <row r="837" spans="1:1" s="44" customFormat="1" x14ac:dyDescent="0.35">
      <c r="A837" s="568"/>
    </row>
    <row r="838" spans="1:1" s="44" customFormat="1" x14ac:dyDescent="0.35">
      <c r="A838" s="568"/>
    </row>
    <row r="839" spans="1:1" s="44" customFormat="1" x14ac:dyDescent="0.35">
      <c r="A839" s="568"/>
    </row>
    <row r="840" spans="1:1" s="44" customFormat="1" x14ac:dyDescent="0.35">
      <c r="A840" s="568"/>
    </row>
    <row r="841" spans="1:1" s="44" customFormat="1" x14ac:dyDescent="0.35">
      <c r="A841" s="568"/>
    </row>
    <row r="842" spans="1:1" s="44" customFormat="1" x14ac:dyDescent="0.35">
      <c r="A842" s="568"/>
    </row>
    <row r="843" spans="1:1" s="44" customFormat="1" x14ac:dyDescent="0.35">
      <c r="A843" s="568"/>
    </row>
    <row r="844" spans="1:1" s="44" customFormat="1" x14ac:dyDescent="0.35">
      <c r="A844" s="568"/>
    </row>
    <row r="845" spans="1:1" s="44" customFormat="1" x14ac:dyDescent="0.35">
      <c r="A845" s="568"/>
    </row>
    <row r="846" spans="1:1" s="44" customFormat="1" x14ac:dyDescent="0.35">
      <c r="A846" s="568"/>
    </row>
    <row r="847" spans="1:1" s="44" customFormat="1" x14ac:dyDescent="0.35">
      <c r="A847" s="568"/>
    </row>
    <row r="848" spans="1:1" s="44" customFormat="1" x14ac:dyDescent="0.35">
      <c r="A848" s="568"/>
    </row>
    <row r="849" spans="1:1" s="44" customFormat="1" x14ac:dyDescent="0.35">
      <c r="A849" s="568"/>
    </row>
    <row r="850" spans="1:1" s="44" customFormat="1" x14ac:dyDescent="0.35">
      <c r="A850" s="568"/>
    </row>
    <row r="851" spans="1:1" s="44" customFormat="1" x14ac:dyDescent="0.35">
      <c r="A851" s="568"/>
    </row>
    <row r="852" spans="1:1" s="44" customFormat="1" x14ac:dyDescent="0.35">
      <c r="A852" s="568"/>
    </row>
    <row r="853" spans="1:1" s="44" customFormat="1" x14ac:dyDescent="0.35">
      <c r="A853" s="568"/>
    </row>
    <row r="854" spans="1:1" s="44" customFormat="1" x14ac:dyDescent="0.35">
      <c r="A854" s="568"/>
    </row>
    <row r="855" spans="1:1" s="44" customFormat="1" x14ac:dyDescent="0.35">
      <c r="A855" s="568"/>
    </row>
    <row r="856" spans="1:1" s="44" customFormat="1" x14ac:dyDescent="0.35">
      <c r="A856" s="568"/>
    </row>
    <row r="857" spans="1:1" s="44" customFormat="1" x14ac:dyDescent="0.35">
      <c r="A857" s="568"/>
    </row>
    <row r="858" spans="1:1" s="44" customFormat="1" x14ac:dyDescent="0.35">
      <c r="A858" s="568"/>
    </row>
    <row r="859" spans="1:1" s="44" customFormat="1" x14ac:dyDescent="0.35">
      <c r="A859" s="568"/>
    </row>
    <row r="860" spans="1:1" s="44" customFormat="1" x14ac:dyDescent="0.35">
      <c r="A860" s="568"/>
    </row>
    <row r="861" spans="1:1" s="44" customFormat="1" x14ac:dyDescent="0.35">
      <c r="A861" s="568"/>
    </row>
    <row r="862" spans="1:1" s="44" customFormat="1" x14ac:dyDescent="0.35">
      <c r="A862" s="568"/>
    </row>
    <row r="863" spans="1:1" s="44" customFormat="1" x14ac:dyDescent="0.35">
      <c r="A863" s="568"/>
    </row>
    <row r="864" spans="1:1" s="44" customFormat="1" x14ac:dyDescent="0.35">
      <c r="A864" s="568"/>
    </row>
    <row r="865" spans="1:1" s="44" customFormat="1" x14ac:dyDescent="0.35">
      <c r="A865" s="568"/>
    </row>
    <row r="866" spans="1:1" s="44" customFormat="1" x14ac:dyDescent="0.35">
      <c r="A866" s="568"/>
    </row>
    <row r="867" spans="1:1" s="44" customFormat="1" x14ac:dyDescent="0.35">
      <c r="A867" s="568"/>
    </row>
    <row r="868" spans="1:1" s="44" customFormat="1" x14ac:dyDescent="0.35">
      <c r="A868" s="568"/>
    </row>
    <row r="869" spans="1:1" s="44" customFormat="1" x14ac:dyDescent="0.35">
      <c r="A869" s="568"/>
    </row>
    <row r="870" spans="1:1" s="44" customFormat="1" x14ac:dyDescent="0.35">
      <c r="A870" s="568"/>
    </row>
    <row r="871" spans="1:1" s="44" customFormat="1" x14ac:dyDescent="0.35">
      <c r="A871" s="568"/>
    </row>
    <row r="872" spans="1:1" s="44" customFormat="1" x14ac:dyDescent="0.35">
      <c r="A872" s="568"/>
    </row>
    <row r="873" spans="1:1" s="44" customFormat="1" x14ac:dyDescent="0.35">
      <c r="A873" s="568"/>
    </row>
    <row r="874" spans="1:1" s="44" customFormat="1" x14ac:dyDescent="0.35">
      <c r="A874" s="568"/>
    </row>
    <row r="875" spans="1:1" s="44" customFormat="1" x14ac:dyDescent="0.35">
      <c r="A875" s="568"/>
    </row>
    <row r="876" spans="1:1" s="44" customFormat="1" x14ac:dyDescent="0.35">
      <c r="A876" s="568"/>
    </row>
    <row r="877" spans="1:1" s="44" customFormat="1" x14ac:dyDescent="0.35">
      <c r="A877" s="568"/>
    </row>
    <row r="878" spans="1:1" s="44" customFormat="1" x14ac:dyDescent="0.35">
      <c r="A878" s="568"/>
    </row>
    <row r="879" spans="1:1" s="44" customFormat="1" x14ac:dyDescent="0.35">
      <c r="A879" s="568"/>
    </row>
    <row r="880" spans="1:1" s="44" customFormat="1" x14ac:dyDescent="0.35">
      <c r="A880" s="568"/>
    </row>
    <row r="881" spans="1:1" s="44" customFormat="1" x14ac:dyDescent="0.35">
      <c r="A881" s="568"/>
    </row>
    <row r="882" spans="1:1" s="44" customFormat="1" x14ac:dyDescent="0.35">
      <c r="A882" s="568"/>
    </row>
    <row r="883" spans="1:1" s="44" customFormat="1" x14ac:dyDescent="0.35">
      <c r="A883" s="568"/>
    </row>
    <row r="884" spans="1:1" s="44" customFormat="1" x14ac:dyDescent="0.35">
      <c r="A884" s="568"/>
    </row>
    <row r="885" spans="1:1" s="44" customFormat="1" x14ac:dyDescent="0.35">
      <c r="A885" s="568"/>
    </row>
    <row r="886" spans="1:1" s="44" customFormat="1" x14ac:dyDescent="0.35">
      <c r="A886" s="568"/>
    </row>
    <row r="887" spans="1:1" s="44" customFormat="1" x14ac:dyDescent="0.35">
      <c r="A887" s="568"/>
    </row>
    <row r="888" spans="1:1" s="44" customFormat="1" x14ac:dyDescent="0.35">
      <c r="A888" s="568"/>
    </row>
    <row r="889" spans="1:1" s="44" customFormat="1" x14ac:dyDescent="0.35">
      <c r="A889" s="568"/>
    </row>
    <row r="890" spans="1:1" s="44" customFormat="1" x14ac:dyDescent="0.35">
      <c r="A890" s="568"/>
    </row>
    <row r="891" spans="1:1" s="44" customFormat="1" x14ac:dyDescent="0.35">
      <c r="A891" s="568"/>
    </row>
    <row r="892" spans="1:1" s="44" customFormat="1" x14ac:dyDescent="0.35">
      <c r="A892" s="568"/>
    </row>
    <row r="893" spans="1:1" s="44" customFormat="1" x14ac:dyDescent="0.35">
      <c r="A893" s="568"/>
    </row>
    <row r="894" spans="1:1" s="44" customFormat="1" x14ac:dyDescent="0.35">
      <c r="A894" s="568"/>
    </row>
    <row r="895" spans="1:1" s="44" customFormat="1" x14ac:dyDescent="0.35">
      <c r="A895" s="568"/>
    </row>
    <row r="896" spans="1:1" s="44" customFormat="1" x14ac:dyDescent="0.35">
      <c r="A896" s="568"/>
    </row>
    <row r="897" spans="1:1" s="44" customFormat="1" x14ac:dyDescent="0.35">
      <c r="A897" s="568"/>
    </row>
    <row r="898" spans="1:1" s="44" customFormat="1" x14ac:dyDescent="0.35">
      <c r="A898" s="568"/>
    </row>
    <row r="899" spans="1:1" s="44" customFormat="1" x14ac:dyDescent="0.35">
      <c r="A899" s="568"/>
    </row>
    <row r="900" spans="1:1" s="44" customFormat="1" x14ac:dyDescent="0.35">
      <c r="A900" s="568"/>
    </row>
    <row r="901" spans="1:1" s="44" customFormat="1" x14ac:dyDescent="0.35">
      <c r="A901" s="568"/>
    </row>
    <row r="902" spans="1:1" s="44" customFormat="1" x14ac:dyDescent="0.35">
      <c r="A902" s="568"/>
    </row>
    <row r="903" spans="1:1" s="44" customFormat="1" x14ac:dyDescent="0.35">
      <c r="A903" s="568"/>
    </row>
    <row r="904" spans="1:1" s="44" customFormat="1" x14ac:dyDescent="0.35">
      <c r="A904" s="568"/>
    </row>
    <row r="905" spans="1:1" s="44" customFormat="1" x14ac:dyDescent="0.35">
      <c r="A905" s="568"/>
    </row>
    <row r="906" spans="1:1" s="44" customFormat="1" x14ac:dyDescent="0.35">
      <c r="A906" s="568"/>
    </row>
    <row r="907" spans="1:1" s="44" customFormat="1" x14ac:dyDescent="0.35">
      <c r="A907" s="568"/>
    </row>
    <row r="908" spans="1:1" s="44" customFormat="1" x14ac:dyDescent="0.35">
      <c r="A908" s="568"/>
    </row>
    <row r="909" spans="1:1" s="44" customFormat="1" x14ac:dyDescent="0.35">
      <c r="A909" s="568"/>
    </row>
    <row r="910" spans="1:1" s="44" customFormat="1" x14ac:dyDescent="0.35">
      <c r="A910" s="568"/>
    </row>
    <row r="911" spans="1:1" s="44" customFormat="1" x14ac:dyDescent="0.35">
      <c r="A911" s="568"/>
    </row>
    <row r="912" spans="1:1" s="44" customFormat="1" x14ac:dyDescent="0.35">
      <c r="A912" s="568"/>
    </row>
    <row r="913" spans="1:1" s="44" customFormat="1" x14ac:dyDescent="0.35">
      <c r="A913" s="568"/>
    </row>
    <row r="914" spans="1:1" s="44" customFormat="1" x14ac:dyDescent="0.35">
      <c r="A914" s="568"/>
    </row>
    <row r="915" spans="1:1" s="44" customFormat="1" x14ac:dyDescent="0.35">
      <c r="A915" s="568"/>
    </row>
    <row r="916" spans="1:1" s="44" customFormat="1" x14ac:dyDescent="0.35">
      <c r="A916" s="568"/>
    </row>
    <row r="917" spans="1:1" s="44" customFormat="1" x14ac:dyDescent="0.35">
      <c r="A917" s="568"/>
    </row>
    <row r="918" spans="1:1" s="44" customFormat="1" x14ac:dyDescent="0.35">
      <c r="A918" s="568"/>
    </row>
    <row r="919" spans="1:1" s="44" customFormat="1" x14ac:dyDescent="0.35">
      <c r="A919" s="568"/>
    </row>
    <row r="920" spans="1:1" s="44" customFormat="1" x14ac:dyDescent="0.35">
      <c r="A920" s="568"/>
    </row>
    <row r="921" spans="1:1" s="44" customFormat="1" x14ac:dyDescent="0.35">
      <c r="A921" s="568"/>
    </row>
    <row r="922" spans="1:1" s="44" customFormat="1" x14ac:dyDescent="0.35">
      <c r="A922" s="568"/>
    </row>
    <row r="923" spans="1:1" s="44" customFormat="1" x14ac:dyDescent="0.35">
      <c r="A923" s="568"/>
    </row>
    <row r="924" spans="1:1" s="44" customFormat="1" x14ac:dyDescent="0.35">
      <c r="A924" s="568"/>
    </row>
    <row r="925" spans="1:1" s="44" customFormat="1" x14ac:dyDescent="0.35">
      <c r="A925" s="568"/>
    </row>
    <row r="926" spans="1:1" s="44" customFormat="1" x14ac:dyDescent="0.35">
      <c r="A926" s="568"/>
    </row>
    <row r="927" spans="1:1" s="44" customFormat="1" x14ac:dyDescent="0.35">
      <c r="A927" s="568"/>
    </row>
    <row r="928" spans="1:1" s="44" customFormat="1" x14ac:dyDescent="0.35">
      <c r="A928" s="568"/>
    </row>
    <row r="929" spans="1:1" s="44" customFormat="1" x14ac:dyDescent="0.35">
      <c r="A929" s="568"/>
    </row>
    <row r="930" spans="1:1" s="44" customFormat="1" x14ac:dyDescent="0.35">
      <c r="A930" s="568"/>
    </row>
    <row r="931" spans="1:1" s="44" customFormat="1" x14ac:dyDescent="0.35">
      <c r="A931" s="568"/>
    </row>
    <row r="932" spans="1:1" s="44" customFormat="1" x14ac:dyDescent="0.35">
      <c r="A932" s="568"/>
    </row>
    <row r="933" spans="1:1" s="44" customFormat="1" x14ac:dyDescent="0.35">
      <c r="A933" s="568"/>
    </row>
    <row r="934" spans="1:1" s="44" customFormat="1" x14ac:dyDescent="0.35">
      <c r="A934" s="568"/>
    </row>
    <row r="935" spans="1:1" s="44" customFormat="1" x14ac:dyDescent="0.35">
      <c r="A935" s="568"/>
    </row>
    <row r="936" spans="1:1" s="44" customFormat="1" x14ac:dyDescent="0.35">
      <c r="A936" s="568"/>
    </row>
    <row r="937" spans="1:1" s="44" customFormat="1" x14ac:dyDescent="0.35">
      <c r="A937" s="568"/>
    </row>
    <row r="938" spans="1:1" s="44" customFormat="1" x14ac:dyDescent="0.35">
      <c r="A938" s="568"/>
    </row>
    <row r="939" spans="1:1" s="44" customFormat="1" x14ac:dyDescent="0.35">
      <c r="A939" s="568"/>
    </row>
    <row r="940" spans="1:1" s="44" customFormat="1" x14ac:dyDescent="0.35">
      <c r="A940" s="568"/>
    </row>
    <row r="941" spans="1:1" s="44" customFormat="1" x14ac:dyDescent="0.35">
      <c r="A941" s="568"/>
    </row>
    <row r="942" spans="1:1" s="44" customFormat="1" x14ac:dyDescent="0.35">
      <c r="A942" s="568"/>
    </row>
    <row r="943" spans="1:1" s="44" customFormat="1" x14ac:dyDescent="0.35">
      <c r="A943" s="568"/>
    </row>
    <row r="944" spans="1:1" s="44" customFormat="1" x14ac:dyDescent="0.35">
      <c r="A944" s="568"/>
    </row>
    <row r="945" spans="1:1" s="44" customFormat="1" x14ac:dyDescent="0.35">
      <c r="A945" s="568"/>
    </row>
    <row r="946" spans="1:1" s="44" customFormat="1" x14ac:dyDescent="0.35">
      <c r="A946" s="568"/>
    </row>
    <row r="947" spans="1:1" s="44" customFormat="1" x14ac:dyDescent="0.35">
      <c r="A947" s="568"/>
    </row>
    <row r="948" spans="1:1" s="44" customFormat="1" x14ac:dyDescent="0.35">
      <c r="A948" s="568"/>
    </row>
    <row r="949" spans="1:1" s="44" customFormat="1" x14ac:dyDescent="0.35">
      <c r="A949" s="568"/>
    </row>
    <row r="950" spans="1:1" s="44" customFormat="1" x14ac:dyDescent="0.35">
      <c r="A950" s="568"/>
    </row>
    <row r="951" spans="1:1" s="44" customFormat="1" x14ac:dyDescent="0.35">
      <c r="A951" s="568"/>
    </row>
    <row r="952" spans="1:1" s="44" customFormat="1" x14ac:dyDescent="0.35">
      <c r="A952" s="568"/>
    </row>
    <row r="953" spans="1:1" s="44" customFormat="1" x14ac:dyDescent="0.35">
      <c r="A953" s="568"/>
    </row>
    <row r="954" spans="1:1" s="44" customFormat="1" x14ac:dyDescent="0.35">
      <c r="A954" s="568"/>
    </row>
    <row r="955" spans="1:1" s="44" customFormat="1" x14ac:dyDescent="0.35">
      <c r="A955" s="568"/>
    </row>
    <row r="956" spans="1:1" s="44" customFormat="1" x14ac:dyDescent="0.35">
      <c r="A956" s="568"/>
    </row>
    <row r="957" spans="1:1" s="44" customFormat="1" x14ac:dyDescent="0.35">
      <c r="A957" s="568"/>
    </row>
    <row r="958" spans="1:1" s="44" customFormat="1" x14ac:dyDescent="0.35">
      <c r="A958" s="568"/>
    </row>
    <row r="959" spans="1:1" s="44" customFormat="1" x14ac:dyDescent="0.35">
      <c r="A959" s="568"/>
    </row>
    <row r="960" spans="1:1" s="44" customFormat="1" x14ac:dyDescent="0.35">
      <c r="A960" s="568"/>
    </row>
    <row r="961" spans="1:1" s="44" customFormat="1" x14ac:dyDescent="0.35">
      <c r="A961" s="568"/>
    </row>
    <row r="962" spans="1:1" s="44" customFormat="1" x14ac:dyDescent="0.35">
      <c r="A962" s="568"/>
    </row>
    <row r="963" spans="1:1" s="44" customFormat="1" x14ac:dyDescent="0.35">
      <c r="A963" s="568"/>
    </row>
    <row r="964" spans="1:1" s="44" customFormat="1" x14ac:dyDescent="0.35">
      <c r="A964" s="568"/>
    </row>
    <row r="965" spans="1:1" s="44" customFormat="1" x14ac:dyDescent="0.35">
      <c r="A965" s="568"/>
    </row>
    <row r="966" spans="1:1" s="44" customFormat="1" x14ac:dyDescent="0.35">
      <c r="A966" s="568"/>
    </row>
    <row r="967" spans="1:1" s="44" customFormat="1" x14ac:dyDescent="0.35">
      <c r="A967" s="568"/>
    </row>
    <row r="968" spans="1:1" s="44" customFormat="1" x14ac:dyDescent="0.35">
      <c r="A968" s="568"/>
    </row>
    <row r="969" spans="1:1" s="44" customFormat="1" x14ac:dyDescent="0.35">
      <c r="A969" s="568"/>
    </row>
    <row r="970" spans="1:1" s="44" customFormat="1" x14ac:dyDescent="0.35">
      <c r="A970" s="568"/>
    </row>
    <row r="971" spans="1:1" s="44" customFormat="1" x14ac:dyDescent="0.35">
      <c r="A971" s="568"/>
    </row>
    <row r="972" spans="1:1" s="44" customFormat="1" x14ac:dyDescent="0.35">
      <c r="A972" s="568"/>
    </row>
    <row r="973" spans="1:1" s="44" customFormat="1" x14ac:dyDescent="0.35">
      <c r="A973" s="568"/>
    </row>
    <row r="974" spans="1:1" s="44" customFormat="1" x14ac:dyDescent="0.35">
      <c r="A974" s="568"/>
    </row>
    <row r="975" spans="1:1" s="44" customFormat="1" x14ac:dyDescent="0.35">
      <c r="A975" s="568"/>
    </row>
    <row r="976" spans="1:1" s="44" customFormat="1" x14ac:dyDescent="0.35">
      <c r="A976" s="568"/>
    </row>
    <row r="977" spans="1:1" s="44" customFormat="1" x14ac:dyDescent="0.35">
      <c r="A977" s="568"/>
    </row>
    <row r="978" spans="1:1" s="44" customFormat="1" x14ac:dyDescent="0.35">
      <c r="A978" s="568"/>
    </row>
    <row r="979" spans="1:1" s="44" customFormat="1" x14ac:dyDescent="0.35">
      <c r="A979" s="568"/>
    </row>
    <row r="980" spans="1:1" s="44" customFormat="1" x14ac:dyDescent="0.35">
      <c r="A980" s="568"/>
    </row>
    <row r="981" spans="1:1" s="44" customFormat="1" x14ac:dyDescent="0.35">
      <c r="A981" s="568"/>
    </row>
    <row r="982" spans="1:1" s="44" customFormat="1" x14ac:dyDescent="0.35">
      <c r="A982" s="568"/>
    </row>
    <row r="983" spans="1:1" s="44" customFormat="1" x14ac:dyDescent="0.35">
      <c r="A983" s="568"/>
    </row>
    <row r="984" spans="1:1" s="44" customFormat="1" x14ac:dyDescent="0.35">
      <c r="A984" s="568"/>
    </row>
    <row r="985" spans="1:1" s="44" customFormat="1" x14ac:dyDescent="0.35">
      <c r="A985" s="568"/>
    </row>
    <row r="986" spans="1:1" s="44" customFormat="1" x14ac:dyDescent="0.35">
      <c r="A986" s="568"/>
    </row>
    <row r="987" spans="1:1" s="44" customFormat="1" x14ac:dyDescent="0.35">
      <c r="A987" s="568"/>
    </row>
    <row r="988" spans="1:1" s="44" customFormat="1" x14ac:dyDescent="0.35">
      <c r="A988" s="568"/>
    </row>
    <row r="989" spans="1:1" s="44" customFormat="1" x14ac:dyDescent="0.35">
      <c r="A989" s="568"/>
    </row>
    <row r="990" spans="1:1" s="44" customFormat="1" x14ac:dyDescent="0.35">
      <c r="A990" s="568"/>
    </row>
    <row r="991" spans="1:1" s="44" customFormat="1" x14ac:dyDescent="0.35">
      <c r="A991" s="568"/>
    </row>
    <row r="992" spans="1:1" s="44" customFormat="1" x14ac:dyDescent="0.35">
      <c r="A992" s="568"/>
    </row>
    <row r="993" spans="1:1" s="44" customFormat="1" x14ac:dyDescent="0.35">
      <c r="A993" s="568"/>
    </row>
    <row r="994" spans="1:1" s="44" customFormat="1" x14ac:dyDescent="0.35">
      <c r="A994" s="568"/>
    </row>
    <row r="995" spans="1:1" s="44" customFormat="1" x14ac:dyDescent="0.35">
      <c r="A995" s="568"/>
    </row>
    <row r="996" spans="1:1" s="44" customFormat="1" x14ac:dyDescent="0.35">
      <c r="A996" s="568"/>
    </row>
    <row r="997" spans="1:1" s="44" customFormat="1" x14ac:dyDescent="0.35">
      <c r="A997" s="568"/>
    </row>
    <row r="998" spans="1:1" s="44" customFormat="1" x14ac:dyDescent="0.35">
      <c r="A998" s="568"/>
    </row>
    <row r="999" spans="1:1" s="44" customFormat="1" x14ac:dyDescent="0.35">
      <c r="A999" s="568"/>
    </row>
    <row r="1000" spans="1:1" s="44" customFormat="1" x14ac:dyDescent="0.35">
      <c r="A1000" s="568"/>
    </row>
    <row r="1001" spans="1:1" s="44" customFormat="1" x14ac:dyDescent="0.35">
      <c r="A1001" s="568"/>
    </row>
    <row r="1002" spans="1:1" s="44" customFormat="1" x14ac:dyDescent="0.35">
      <c r="A1002" s="568"/>
    </row>
    <row r="1003" spans="1:1" s="44" customFormat="1" x14ac:dyDescent="0.35">
      <c r="A1003" s="568"/>
    </row>
    <row r="1004" spans="1:1" s="44" customFormat="1" x14ac:dyDescent="0.35">
      <c r="A1004" s="568"/>
    </row>
    <row r="1005" spans="1:1" s="44" customFormat="1" x14ac:dyDescent="0.35">
      <c r="A1005" s="568"/>
    </row>
    <row r="1006" spans="1:1" s="44" customFormat="1" x14ac:dyDescent="0.35">
      <c r="A1006" s="568"/>
    </row>
    <row r="1007" spans="1:1" s="44" customFormat="1" x14ac:dyDescent="0.35">
      <c r="A1007" s="568"/>
    </row>
    <row r="1008" spans="1:1" s="44" customFormat="1" x14ac:dyDescent="0.35">
      <c r="A1008" s="568"/>
    </row>
    <row r="1009" spans="1:1" s="44" customFormat="1" x14ac:dyDescent="0.35">
      <c r="A1009" s="568"/>
    </row>
    <row r="1010" spans="1:1" s="44" customFormat="1" x14ac:dyDescent="0.35">
      <c r="A1010" s="568"/>
    </row>
    <row r="1011" spans="1:1" s="44" customFormat="1" x14ac:dyDescent="0.35">
      <c r="A1011" s="568"/>
    </row>
    <row r="1012" spans="1:1" s="44" customFormat="1" x14ac:dyDescent="0.35">
      <c r="A1012" s="568"/>
    </row>
    <row r="1013" spans="1:1" s="44" customFormat="1" x14ac:dyDescent="0.35">
      <c r="A1013" s="568"/>
    </row>
    <row r="1014" spans="1:1" s="44" customFormat="1" x14ac:dyDescent="0.35">
      <c r="A1014" s="568"/>
    </row>
    <row r="1015" spans="1:1" s="44" customFormat="1" x14ac:dyDescent="0.35">
      <c r="A1015" s="568"/>
    </row>
    <row r="1016" spans="1:1" s="44" customFormat="1" x14ac:dyDescent="0.35">
      <c r="A1016" s="568"/>
    </row>
    <row r="1017" spans="1:1" s="44" customFormat="1" x14ac:dyDescent="0.35">
      <c r="A1017" s="568"/>
    </row>
    <row r="1018" spans="1:1" s="44" customFormat="1" x14ac:dyDescent="0.35">
      <c r="A1018" s="568"/>
    </row>
    <row r="1019" spans="1:1" s="44" customFormat="1" x14ac:dyDescent="0.35">
      <c r="A1019" s="568"/>
    </row>
    <row r="1020" spans="1:1" s="44" customFormat="1" x14ac:dyDescent="0.35">
      <c r="A1020" s="568"/>
    </row>
    <row r="1021" spans="1:1" s="44" customFormat="1" x14ac:dyDescent="0.35">
      <c r="A1021" s="568"/>
    </row>
    <row r="1022" spans="1:1" s="44" customFormat="1" x14ac:dyDescent="0.35">
      <c r="A1022" s="568"/>
    </row>
    <row r="1023" spans="1:1" s="44" customFormat="1" x14ac:dyDescent="0.35">
      <c r="A1023" s="568"/>
    </row>
    <row r="1024" spans="1:1" s="44" customFormat="1" x14ac:dyDescent="0.35">
      <c r="A1024" s="568"/>
    </row>
    <row r="1025" spans="1:1" s="44" customFormat="1" x14ac:dyDescent="0.35">
      <c r="A1025" s="568"/>
    </row>
    <row r="1026" spans="1:1" s="44" customFormat="1" x14ac:dyDescent="0.35">
      <c r="A1026" s="568"/>
    </row>
    <row r="1027" spans="1:1" s="44" customFormat="1" x14ac:dyDescent="0.35">
      <c r="A1027" s="568"/>
    </row>
    <row r="1028" spans="1:1" s="44" customFormat="1" x14ac:dyDescent="0.35">
      <c r="A1028" s="568"/>
    </row>
    <row r="1029" spans="1:1" s="44" customFormat="1" x14ac:dyDescent="0.35">
      <c r="A1029" s="568"/>
    </row>
    <row r="1030" spans="1:1" s="44" customFormat="1" x14ac:dyDescent="0.35">
      <c r="A1030" s="568"/>
    </row>
    <row r="1031" spans="1:1" s="44" customFormat="1" x14ac:dyDescent="0.35">
      <c r="A1031" s="568"/>
    </row>
    <row r="1032" spans="1:1" s="44" customFormat="1" x14ac:dyDescent="0.35">
      <c r="A1032" s="568"/>
    </row>
    <row r="1033" spans="1:1" s="44" customFormat="1" x14ac:dyDescent="0.35">
      <c r="A1033" s="568"/>
    </row>
    <row r="1034" spans="1:1" s="44" customFormat="1" x14ac:dyDescent="0.35">
      <c r="A1034" s="568"/>
    </row>
    <row r="1035" spans="1:1" s="44" customFormat="1" x14ac:dyDescent="0.35">
      <c r="A1035" s="568"/>
    </row>
    <row r="1036" spans="1:1" s="44" customFormat="1" x14ac:dyDescent="0.35">
      <c r="A1036" s="568"/>
    </row>
    <row r="1037" spans="1:1" s="44" customFormat="1" x14ac:dyDescent="0.35">
      <c r="A1037" s="568"/>
    </row>
    <row r="1038" spans="1:1" s="44" customFormat="1" x14ac:dyDescent="0.35">
      <c r="A1038" s="568"/>
    </row>
    <row r="1039" spans="1:1" s="44" customFormat="1" x14ac:dyDescent="0.35">
      <c r="A1039" s="568"/>
    </row>
    <row r="1040" spans="1:1" s="44" customFormat="1" x14ac:dyDescent="0.35">
      <c r="A1040" s="568"/>
    </row>
    <row r="1041" spans="1:1" s="44" customFormat="1" x14ac:dyDescent="0.35">
      <c r="A1041" s="568"/>
    </row>
    <row r="1042" spans="1:1" s="44" customFormat="1" x14ac:dyDescent="0.35">
      <c r="A1042" s="568"/>
    </row>
    <row r="1043" spans="1:1" s="44" customFormat="1" x14ac:dyDescent="0.35">
      <c r="A1043" s="568"/>
    </row>
    <row r="1044" spans="1:1" s="44" customFormat="1" x14ac:dyDescent="0.35">
      <c r="A1044" s="568"/>
    </row>
    <row r="1045" spans="1:1" s="44" customFormat="1" x14ac:dyDescent="0.35">
      <c r="A1045" s="568"/>
    </row>
    <row r="1046" spans="1:1" s="44" customFormat="1" x14ac:dyDescent="0.35">
      <c r="A1046" s="568"/>
    </row>
    <row r="1047" spans="1:1" s="44" customFormat="1" x14ac:dyDescent="0.35">
      <c r="A1047" s="568"/>
    </row>
    <row r="1048" spans="1:1" s="44" customFormat="1" x14ac:dyDescent="0.35">
      <c r="A1048" s="568"/>
    </row>
    <row r="1049" spans="1:1" s="44" customFormat="1" x14ac:dyDescent="0.35">
      <c r="A1049" s="568"/>
    </row>
    <row r="1050" spans="1:1" s="44" customFormat="1" x14ac:dyDescent="0.35">
      <c r="A1050" s="568"/>
    </row>
    <row r="1051" spans="1:1" s="44" customFormat="1" x14ac:dyDescent="0.35">
      <c r="A1051" s="568"/>
    </row>
    <row r="1052" spans="1:1" s="44" customFormat="1" x14ac:dyDescent="0.35">
      <c r="A1052" s="568"/>
    </row>
    <row r="1053" spans="1:1" s="44" customFormat="1" x14ac:dyDescent="0.35">
      <c r="A1053" s="568"/>
    </row>
    <row r="1054" spans="1:1" s="44" customFormat="1" x14ac:dyDescent="0.35">
      <c r="A1054" s="568"/>
    </row>
    <row r="1055" spans="1:1" s="44" customFormat="1" x14ac:dyDescent="0.35">
      <c r="A1055" s="568"/>
    </row>
    <row r="1056" spans="1:1" s="44" customFormat="1" x14ac:dyDescent="0.35">
      <c r="A1056" s="568"/>
    </row>
    <row r="1057" spans="1:1" s="44" customFormat="1" x14ac:dyDescent="0.35">
      <c r="A1057" s="568"/>
    </row>
    <row r="1058" spans="1:1" s="44" customFormat="1" x14ac:dyDescent="0.35">
      <c r="A1058" s="568"/>
    </row>
    <row r="1059" spans="1:1" s="44" customFormat="1" x14ac:dyDescent="0.35">
      <c r="A1059" s="568"/>
    </row>
    <row r="1060" spans="1:1" s="44" customFormat="1" x14ac:dyDescent="0.35">
      <c r="A1060" s="568"/>
    </row>
    <row r="1061" spans="1:1" s="44" customFormat="1" x14ac:dyDescent="0.35">
      <c r="A1061" s="568"/>
    </row>
    <row r="1062" spans="1:1" s="44" customFormat="1" x14ac:dyDescent="0.35">
      <c r="A1062" s="568"/>
    </row>
    <row r="1063" spans="1:1" s="44" customFormat="1" x14ac:dyDescent="0.35">
      <c r="A1063" s="568"/>
    </row>
    <row r="1064" spans="1:1" s="44" customFormat="1" x14ac:dyDescent="0.35">
      <c r="A1064" s="568"/>
    </row>
    <row r="1065" spans="1:1" s="44" customFormat="1" x14ac:dyDescent="0.35">
      <c r="A1065" s="568"/>
    </row>
    <row r="1066" spans="1:1" s="44" customFormat="1" x14ac:dyDescent="0.35">
      <c r="A1066" s="568"/>
    </row>
    <row r="1067" spans="1:1" s="44" customFormat="1" x14ac:dyDescent="0.35">
      <c r="A1067" s="568"/>
    </row>
    <row r="1068" spans="1:1" s="44" customFormat="1" x14ac:dyDescent="0.35">
      <c r="A1068" s="568"/>
    </row>
    <row r="1069" spans="1:1" s="44" customFormat="1" x14ac:dyDescent="0.35">
      <c r="A1069" s="568"/>
    </row>
    <row r="1070" spans="1:1" s="44" customFormat="1" x14ac:dyDescent="0.35">
      <c r="A1070" s="568"/>
    </row>
    <row r="1071" spans="1:1" s="44" customFormat="1" x14ac:dyDescent="0.35">
      <c r="A1071" s="568"/>
    </row>
    <row r="1072" spans="1:1" s="44" customFormat="1" x14ac:dyDescent="0.35">
      <c r="A1072" s="568"/>
    </row>
    <row r="1073" spans="1:1" s="44" customFormat="1" x14ac:dyDescent="0.35">
      <c r="A1073" s="568"/>
    </row>
    <row r="1074" spans="1:1" s="44" customFormat="1" x14ac:dyDescent="0.35">
      <c r="A1074" s="568"/>
    </row>
    <row r="1075" spans="1:1" s="44" customFormat="1" x14ac:dyDescent="0.35">
      <c r="A1075" s="568"/>
    </row>
    <row r="1076" spans="1:1" s="44" customFormat="1" x14ac:dyDescent="0.35">
      <c r="A1076" s="568"/>
    </row>
    <row r="1077" spans="1:1" s="44" customFormat="1" x14ac:dyDescent="0.35">
      <c r="A1077" s="568"/>
    </row>
    <row r="1078" spans="1:1" s="44" customFormat="1" x14ac:dyDescent="0.35">
      <c r="A1078" s="568"/>
    </row>
    <row r="1079" spans="1:1" s="44" customFormat="1" x14ac:dyDescent="0.35">
      <c r="A1079" s="568"/>
    </row>
    <row r="1080" spans="1:1" s="44" customFormat="1" x14ac:dyDescent="0.35">
      <c r="A1080" s="568"/>
    </row>
    <row r="1081" spans="1:1" s="44" customFormat="1" x14ac:dyDescent="0.35">
      <c r="A1081" s="568"/>
    </row>
    <row r="1082" spans="1:1" s="44" customFormat="1" x14ac:dyDescent="0.35">
      <c r="A1082" s="568"/>
    </row>
    <row r="1083" spans="1:1" s="44" customFormat="1" x14ac:dyDescent="0.35">
      <c r="A1083" s="568"/>
    </row>
    <row r="1084" spans="1:1" s="44" customFormat="1" x14ac:dyDescent="0.35">
      <c r="A1084" s="568"/>
    </row>
    <row r="1085" spans="1:1" s="44" customFormat="1" x14ac:dyDescent="0.35">
      <c r="A1085" s="568"/>
    </row>
    <row r="1086" spans="1:1" s="44" customFormat="1" x14ac:dyDescent="0.35">
      <c r="A1086" s="568"/>
    </row>
    <row r="1087" spans="1:1" s="44" customFormat="1" x14ac:dyDescent="0.35">
      <c r="A1087" s="568"/>
    </row>
    <row r="1088" spans="1:1" s="44" customFormat="1" x14ac:dyDescent="0.35">
      <c r="A1088" s="568"/>
    </row>
    <row r="1089" spans="1:1" s="44" customFormat="1" x14ac:dyDescent="0.35">
      <c r="A1089" s="568"/>
    </row>
    <row r="1090" spans="1:1" s="44" customFormat="1" x14ac:dyDescent="0.35">
      <c r="A1090" s="568"/>
    </row>
    <row r="1091" spans="1:1" s="44" customFormat="1" x14ac:dyDescent="0.35">
      <c r="A1091" s="568"/>
    </row>
    <row r="1092" spans="1:1" s="44" customFormat="1" x14ac:dyDescent="0.35">
      <c r="A1092" s="568"/>
    </row>
    <row r="1093" spans="1:1" s="44" customFormat="1" x14ac:dyDescent="0.35">
      <c r="A1093" s="568"/>
    </row>
    <row r="1094" spans="1:1" s="44" customFormat="1" x14ac:dyDescent="0.35">
      <c r="A1094" s="568"/>
    </row>
    <row r="1095" spans="1:1" s="44" customFormat="1" x14ac:dyDescent="0.35">
      <c r="A1095" s="568"/>
    </row>
    <row r="1096" spans="1:1" s="44" customFormat="1" x14ac:dyDescent="0.35">
      <c r="A1096" s="568"/>
    </row>
    <row r="1097" spans="1:1" s="44" customFormat="1" x14ac:dyDescent="0.35">
      <c r="A1097" s="568"/>
    </row>
    <row r="1098" spans="1:1" s="44" customFormat="1" x14ac:dyDescent="0.35">
      <c r="A1098" s="568"/>
    </row>
    <row r="1099" spans="1:1" s="44" customFormat="1" x14ac:dyDescent="0.35">
      <c r="A1099" s="568"/>
    </row>
    <row r="1100" spans="1:1" s="44" customFormat="1" x14ac:dyDescent="0.35">
      <c r="A1100" s="568"/>
    </row>
    <row r="1101" spans="1:1" s="44" customFormat="1" x14ac:dyDescent="0.35">
      <c r="A1101" s="568"/>
    </row>
    <row r="1102" spans="1:1" s="44" customFormat="1" x14ac:dyDescent="0.35">
      <c r="A1102" s="568"/>
    </row>
    <row r="1103" spans="1:1" s="44" customFormat="1" x14ac:dyDescent="0.35">
      <c r="A1103" s="568"/>
    </row>
    <row r="1104" spans="1:1" s="44" customFormat="1" x14ac:dyDescent="0.35">
      <c r="A1104" s="568"/>
    </row>
    <row r="1105" spans="1:1" s="44" customFormat="1" x14ac:dyDescent="0.35">
      <c r="A1105" s="568"/>
    </row>
    <row r="1106" spans="1:1" s="44" customFormat="1" x14ac:dyDescent="0.35">
      <c r="A1106" s="568"/>
    </row>
    <row r="1107" spans="1:1" s="44" customFormat="1" x14ac:dyDescent="0.35">
      <c r="A1107" s="568"/>
    </row>
    <row r="1108" spans="1:1" s="44" customFormat="1" x14ac:dyDescent="0.35">
      <c r="A1108" s="568"/>
    </row>
    <row r="1109" spans="1:1" s="44" customFormat="1" x14ac:dyDescent="0.35">
      <c r="A1109" s="568"/>
    </row>
    <row r="1110" spans="1:1" s="44" customFormat="1" x14ac:dyDescent="0.35">
      <c r="A1110" s="568"/>
    </row>
    <row r="1111" spans="1:1" s="44" customFormat="1" x14ac:dyDescent="0.35">
      <c r="A1111" s="568"/>
    </row>
    <row r="1112" spans="1:1" s="44" customFormat="1" x14ac:dyDescent="0.35">
      <c r="A1112" s="568"/>
    </row>
    <row r="1113" spans="1:1" s="44" customFormat="1" x14ac:dyDescent="0.35">
      <c r="A1113" s="568"/>
    </row>
    <row r="1114" spans="1:1" s="44" customFormat="1" x14ac:dyDescent="0.35">
      <c r="A1114" s="568"/>
    </row>
    <row r="1115" spans="1:1" s="44" customFormat="1" x14ac:dyDescent="0.35">
      <c r="A1115" s="568"/>
    </row>
    <row r="1116" spans="1:1" s="44" customFormat="1" x14ac:dyDescent="0.35">
      <c r="A1116" s="568"/>
    </row>
    <row r="1117" spans="1:1" s="44" customFormat="1" x14ac:dyDescent="0.35">
      <c r="A1117" s="568"/>
    </row>
    <row r="1118" spans="1:1" s="44" customFormat="1" x14ac:dyDescent="0.35">
      <c r="A1118" s="568"/>
    </row>
    <row r="1119" spans="1:1" s="44" customFormat="1" x14ac:dyDescent="0.35">
      <c r="A1119" s="568"/>
    </row>
    <row r="1120" spans="1:1" s="44" customFormat="1" x14ac:dyDescent="0.35">
      <c r="A1120" s="568"/>
    </row>
    <row r="1121" spans="1:1" s="44" customFormat="1" x14ac:dyDescent="0.35">
      <c r="A1121" s="568"/>
    </row>
    <row r="1122" spans="1:1" s="44" customFormat="1" x14ac:dyDescent="0.35">
      <c r="A1122" s="568"/>
    </row>
    <row r="1123" spans="1:1" s="44" customFormat="1" x14ac:dyDescent="0.35">
      <c r="A1123" s="568"/>
    </row>
    <row r="1124" spans="1:1" s="44" customFormat="1" x14ac:dyDescent="0.35">
      <c r="A1124" s="568"/>
    </row>
    <row r="1125" spans="1:1" s="44" customFormat="1" x14ac:dyDescent="0.35">
      <c r="A1125" s="568"/>
    </row>
    <row r="1126" spans="1:1" s="44" customFormat="1" x14ac:dyDescent="0.35">
      <c r="A1126" s="568"/>
    </row>
    <row r="1127" spans="1:1" s="44" customFormat="1" x14ac:dyDescent="0.35">
      <c r="A1127" s="568"/>
    </row>
    <row r="1128" spans="1:1" s="44" customFormat="1" x14ac:dyDescent="0.35">
      <c r="A1128" s="568"/>
    </row>
    <row r="1129" spans="1:1" s="44" customFormat="1" x14ac:dyDescent="0.35">
      <c r="A1129" s="568"/>
    </row>
    <row r="1130" spans="1:1" s="44" customFormat="1" x14ac:dyDescent="0.35">
      <c r="A1130" s="568"/>
    </row>
    <row r="1131" spans="1:1" s="44" customFormat="1" x14ac:dyDescent="0.35">
      <c r="A1131" s="568"/>
    </row>
    <row r="1132" spans="1:1" s="44" customFormat="1" x14ac:dyDescent="0.35">
      <c r="A1132" s="568"/>
    </row>
    <row r="1133" spans="1:1" s="44" customFormat="1" x14ac:dyDescent="0.35">
      <c r="A1133" s="568"/>
    </row>
    <row r="1134" spans="1:1" s="44" customFormat="1" x14ac:dyDescent="0.35">
      <c r="A1134" s="568"/>
    </row>
    <row r="1135" spans="1:1" s="44" customFormat="1" x14ac:dyDescent="0.35">
      <c r="A1135" s="568"/>
    </row>
    <row r="1136" spans="1:1" s="44" customFormat="1" x14ac:dyDescent="0.35">
      <c r="A1136" s="568"/>
    </row>
    <row r="1137" spans="1:1" s="44" customFormat="1" x14ac:dyDescent="0.35">
      <c r="A1137" s="568"/>
    </row>
    <row r="1138" spans="1:1" s="44" customFormat="1" x14ac:dyDescent="0.35">
      <c r="A1138" s="568"/>
    </row>
    <row r="1139" spans="1:1" s="44" customFormat="1" x14ac:dyDescent="0.35">
      <c r="A1139" s="568"/>
    </row>
    <row r="1140" spans="1:1" s="44" customFormat="1" x14ac:dyDescent="0.35">
      <c r="A1140" s="568"/>
    </row>
    <row r="1141" spans="1:1" s="44" customFormat="1" x14ac:dyDescent="0.35">
      <c r="A1141" s="568"/>
    </row>
    <row r="1142" spans="1:1" s="44" customFormat="1" x14ac:dyDescent="0.35">
      <c r="A1142" s="568"/>
    </row>
    <row r="1143" spans="1:1" s="44" customFormat="1" x14ac:dyDescent="0.35">
      <c r="A1143" s="568"/>
    </row>
    <row r="1144" spans="1:1" s="44" customFormat="1" x14ac:dyDescent="0.35">
      <c r="A1144" s="568"/>
    </row>
    <row r="1145" spans="1:1" s="44" customFormat="1" x14ac:dyDescent="0.35">
      <c r="A1145" s="568"/>
    </row>
    <row r="1146" spans="1:1" s="44" customFormat="1" x14ac:dyDescent="0.35">
      <c r="A1146" s="568"/>
    </row>
    <row r="1147" spans="1:1" s="44" customFormat="1" x14ac:dyDescent="0.35">
      <c r="A1147" s="568"/>
    </row>
    <row r="1148" spans="1:1" s="44" customFormat="1" x14ac:dyDescent="0.35">
      <c r="A1148" s="568"/>
    </row>
    <row r="1149" spans="1:1" s="44" customFormat="1" x14ac:dyDescent="0.35">
      <c r="A1149" s="568"/>
    </row>
    <row r="1150" spans="1:1" s="44" customFormat="1" x14ac:dyDescent="0.35">
      <c r="A1150" s="568"/>
    </row>
    <row r="1151" spans="1:1" s="44" customFormat="1" x14ac:dyDescent="0.35">
      <c r="A1151" s="568"/>
    </row>
    <row r="1152" spans="1:1" s="44" customFormat="1" x14ac:dyDescent="0.35">
      <c r="A1152" s="568"/>
    </row>
    <row r="1153" spans="1:1" s="44" customFormat="1" x14ac:dyDescent="0.35">
      <c r="A1153" s="568"/>
    </row>
    <row r="1154" spans="1:1" s="44" customFormat="1" x14ac:dyDescent="0.35">
      <c r="A1154" s="568"/>
    </row>
    <row r="1155" spans="1:1" s="44" customFormat="1" x14ac:dyDescent="0.35">
      <c r="A1155" s="568"/>
    </row>
    <row r="1156" spans="1:1" s="44" customFormat="1" x14ac:dyDescent="0.35">
      <c r="A1156" s="568"/>
    </row>
    <row r="1157" spans="1:1" s="44" customFormat="1" x14ac:dyDescent="0.35">
      <c r="A1157" s="568"/>
    </row>
    <row r="1158" spans="1:1" s="44" customFormat="1" x14ac:dyDescent="0.35">
      <c r="A1158" s="568"/>
    </row>
    <row r="1159" spans="1:1" s="44" customFormat="1" x14ac:dyDescent="0.35">
      <c r="A1159" s="568"/>
    </row>
    <row r="1160" spans="1:1" s="44" customFormat="1" x14ac:dyDescent="0.35">
      <c r="A1160" s="568"/>
    </row>
    <row r="1161" spans="1:1" s="44" customFormat="1" x14ac:dyDescent="0.35">
      <c r="A1161" s="568"/>
    </row>
    <row r="1162" spans="1:1" s="44" customFormat="1" x14ac:dyDescent="0.35">
      <c r="A1162" s="568"/>
    </row>
    <row r="1163" spans="1:1" s="44" customFormat="1" x14ac:dyDescent="0.35">
      <c r="A1163" s="568"/>
    </row>
    <row r="1164" spans="1:1" s="44" customFormat="1" x14ac:dyDescent="0.35">
      <c r="A1164" s="568"/>
    </row>
    <row r="1165" spans="1:1" s="44" customFormat="1" x14ac:dyDescent="0.35">
      <c r="A1165" s="568"/>
    </row>
    <row r="1166" spans="1:1" s="44" customFormat="1" x14ac:dyDescent="0.35">
      <c r="A1166" s="568"/>
    </row>
    <row r="1167" spans="1:1" s="44" customFormat="1" x14ac:dyDescent="0.35">
      <c r="A1167" s="568"/>
    </row>
    <row r="1168" spans="1:1" s="44" customFormat="1" x14ac:dyDescent="0.35">
      <c r="A1168" s="568"/>
    </row>
    <row r="1169" spans="1:1" s="44" customFormat="1" x14ac:dyDescent="0.35">
      <c r="A1169" s="568"/>
    </row>
    <row r="1170" spans="1:1" s="44" customFormat="1" x14ac:dyDescent="0.35">
      <c r="A1170" s="568"/>
    </row>
    <row r="1171" spans="1:1" s="44" customFormat="1" x14ac:dyDescent="0.35">
      <c r="A1171" s="568"/>
    </row>
    <row r="1172" spans="1:1" s="44" customFormat="1" x14ac:dyDescent="0.35">
      <c r="A1172" s="568"/>
    </row>
    <row r="1173" spans="1:1" s="44" customFormat="1" x14ac:dyDescent="0.35">
      <c r="A1173" s="568"/>
    </row>
    <row r="1174" spans="1:1" s="44" customFormat="1" x14ac:dyDescent="0.35">
      <c r="A1174" s="568"/>
    </row>
    <row r="1175" spans="1:1" s="44" customFormat="1" x14ac:dyDescent="0.35">
      <c r="A1175" s="568"/>
    </row>
    <row r="1176" spans="1:1" s="44" customFormat="1" x14ac:dyDescent="0.35">
      <c r="A1176" s="568"/>
    </row>
    <row r="1177" spans="1:1" s="44" customFormat="1" x14ac:dyDescent="0.35">
      <c r="A1177" s="568"/>
    </row>
    <row r="1178" spans="1:1" s="44" customFormat="1" x14ac:dyDescent="0.35">
      <c r="A1178" s="568"/>
    </row>
    <row r="1179" spans="1:1" s="44" customFormat="1" x14ac:dyDescent="0.35">
      <c r="A1179" s="568"/>
    </row>
    <row r="1180" spans="1:1" s="44" customFormat="1" x14ac:dyDescent="0.35">
      <c r="A1180" s="568"/>
    </row>
    <row r="1181" spans="1:1" s="44" customFormat="1" x14ac:dyDescent="0.35">
      <c r="A1181" s="568"/>
    </row>
    <row r="1182" spans="1:1" s="44" customFormat="1" x14ac:dyDescent="0.35">
      <c r="A1182" s="568"/>
    </row>
    <row r="1183" spans="1:1" s="44" customFormat="1" x14ac:dyDescent="0.35">
      <c r="A1183" s="568"/>
    </row>
    <row r="1184" spans="1:1" s="44" customFormat="1" x14ac:dyDescent="0.35">
      <c r="A1184" s="568"/>
    </row>
    <row r="1185" spans="1:1" s="44" customFormat="1" x14ac:dyDescent="0.35">
      <c r="A1185" s="568"/>
    </row>
    <row r="1186" spans="1:1" s="44" customFormat="1" x14ac:dyDescent="0.35">
      <c r="A1186" s="568"/>
    </row>
    <row r="1187" spans="1:1" s="44" customFormat="1" x14ac:dyDescent="0.35">
      <c r="A1187" s="568"/>
    </row>
    <row r="1188" spans="1:1" s="44" customFormat="1" x14ac:dyDescent="0.35">
      <c r="A1188" s="568"/>
    </row>
    <row r="1189" spans="1:1" s="44" customFormat="1" x14ac:dyDescent="0.35">
      <c r="A1189" s="568"/>
    </row>
    <row r="1190" spans="1:1" s="44" customFormat="1" x14ac:dyDescent="0.35">
      <c r="A1190" s="568"/>
    </row>
    <row r="1191" spans="1:1" s="44" customFormat="1" x14ac:dyDescent="0.35">
      <c r="A1191" s="568"/>
    </row>
    <row r="1192" spans="1:1" s="44" customFormat="1" x14ac:dyDescent="0.35">
      <c r="A1192" s="568"/>
    </row>
    <row r="1193" spans="1:1" s="44" customFormat="1" x14ac:dyDescent="0.35">
      <c r="A1193" s="568"/>
    </row>
    <row r="1194" spans="1:1" s="44" customFormat="1" x14ac:dyDescent="0.35">
      <c r="A1194" s="568"/>
    </row>
    <row r="1195" spans="1:1" s="44" customFormat="1" x14ac:dyDescent="0.35">
      <c r="A1195" s="568"/>
    </row>
    <row r="1196" spans="1:1" s="44" customFormat="1" x14ac:dyDescent="0.35">
      <c r="A1196" s="568"/>
    </row>
    <row r="1197" spans="1:1" s="44" customFormat="1" x14ac:dyDescent="0.35">
      <c r="A1197" s="568"/>
    </row>
    <row r="1198" spans="1:1" s="44" customFormat="1" x14ac:dyDescent="0.35">
      <c r="A1198" s="568"/>
    </row>
    <row r="1199" spans="1:1" s="44" customFormat="1" x14ac:dyDescent="0.35">
      <c r="A1199" s="568"/>
    </row>
    <row r="1200" spans="1:1" s="44" customFormat="1" x14ac:dyDescent="0.35">
      <c r="A1200" s="568"/>
    </row>
    <row r="1201" spans="1:1" s="44" customFormat="1" x14ac:dyDescent="0.35">
      <c r="A1201" s="568"/>
    </row>
    <row r="1202" spans="1:1" s="44" customFormat="1" x14ac:dyDescent="0.35">
      <c r="A1202" s="568"/>
    </row>
    <row r="1203" spans="1:1" s="44" customFormat="1" x14ac:dyDescent="0.35">
      <c r="A1203" s="568"/>
    </row>
    <row r="1204" spans="1:1" s="44" customFormat="1" x14ac:dyDescent="0.35">
      <c r="A1204" s="568"/>
    </row>
    <row r="1205" spans="1:1" s="44" customFormat="1" x14ac:dyDescent="0.35">
      <c r="A1205" s="568"/>
    </row>
    <row r="1206" spans="1:1" s="44" customFormat="1" x14ac:dyDescent="0.35">
      <c r="A1206" s="568"/>
    </row>
    <row r="1207" spans="1:1" s="44" customFormat="1" x14ac:dyDescent="0.35">
      <c r="A1207" s="568"/>
    </row>
    <row r="1208" spans="1:1" s="44" customFormat="1" x14ac:dyDescent="0.35">
      <c r="A1208" s="568"/>
    </row>
    <row r="1209" spans="1:1" s="44" customFormat="1" x14ac:dyDescent="0.35">
      <c r="A1209" s="568"/>
    </row>
    <row r="1210" spans="1:1" s="44" customFormat="1" x14ac:dyDescent="0.35">
      <c r="A1210" s="568"/>
    </row>
    <row r="1211" spans="1:1" s="44" customFormat="1" x14ac:dyDescent="0.35">
      <c r="A1211" s="568"/>
    </row>
    <row r="1212" spans="1:1" s="44" customFormat="1" x14ac:dyDescent="0.35">
      <c r="A1212" s="568"/>
    </row>
    <row r="1213" spans="1:1" s="44" customFormat="1" x14ac:dyDescent="0.35">
      <c r="A1213" s="568"/>
    </row>
    <row r="1214" spans="1:1" s="44" customFormat="1" x14ac:dyDescent="0.35">
      <c r="A1214" s="568"/>
    </row>
    <row r="1215" spans="1:1" s="44" customFormat="1" x14ac:dyDescent="0.35">
      <c r="A1215" s="568"/>
    </row>
    <row r="1216" spans="1:1" s="44" customFormat="1" x14ac:dyDescent="0.35">
      <c r="A1216" s="568"/>
    </row>
    <row r="1217" spans="1:1" s="44" customFormat="1" x14ac:dyDescent="0.35">
      <c r="A1217" s="568"/>
    </row>
    <row r="1218" spans="1:1" s="44" customFormat="1" x14ac:dyDescent="0.35">
      <c r="A1218" s="568"/>
    </row>
    <row r="1219" spans="1:1" s="44" customFormat="1" x14ac:dyDescent="0.35">
      <c r="A1219" s="568"/>
    </row>
    <row r="1220" spans="1:1" s="44" customFormat="1" x14ac:dyDescent="0.35">
      <c r="A1220" s="568"/>
    </row>
    <row r="1221" spans="1:1" s="44" customFormat="1" x14ac:dyDescent="0.35">
      <c r="A1221" s="568"/>
    </row>
    <row r="1222" spans="1:1" s="44" customFormat="1" x14ac:dyDescent="0.35">
      <c r="A1222" s="568"/>
    </row>
    <row r="1223" spans="1:1" s="44" customFormat="1" x14ac:dyDescent="0.35">
      <c r="A1223" s="568"/>
    </row>
    <row r="1224" spans="1:1" s="44" customFormat="1" x14ac:dyDescent="0.35">
      <c r="A1224" s="568"/>
    </row>
    <row r="1225" spans="1:1" s="44" customFormat="1" x14ac:dyDescent="0.35">
      <c r="A1225" s="568"/>
    </row>
    <row r="1226" spans="1:1" s="44" customFormat="1" x14ac:dyDescent="0.35">
      <c r="A1226" s="568"/>
    </row>
    <row r="1227" spans="1:1" s="44" customFormat="1" x14ac:dyDescent="0.35">
      <c r="A1227" s="568"/>
    </row>
    <row r="1228" spans="1:1" s="44" customFormat="1" x14ac:dyDescent="0.35">
      <c r="A1228" s="568"/>
    </row>
    <row r="1229" spans="1:1" s="44" customFormat="1" x14ac:dyDescent="0.35">
      <c r="A1229" s="568"/>
    </row>
    <row r="1230" spans="1:1" s="44" customFormat="1" x14ac:dyDescent="0.35">
      <c r="A1230" s="568"/>
    </row>
    <row r="1231" spans="1:1" s="44" customFormat="1" x14ac:dyDescent="0.35">
      <c r="A1231" s="568"/>
    </row>
    <row r="1232" spans="1:1" s="44" customFormat="1" x14ac:dyDescent="0.35">
      <c r="A1232" s="568"/>
    </row>
    <row r="1233" spans="1:1" s="44" customFormat="1" x14ac:dyDescent="0.35">
      <c r="A1233" s="568"/>
    </row>
    <row r="1234" spans="1:1" s="44" customFormat="1" x14ac:dyDescent="0.35">
      <c r="A1234" s="568"/>
    </row>
    <row r="1235" spans="1:1" s="44" customFormat="1" x14ac:dyDescent="0.35">
      <c r="A1235" s="568"/>
    </row>
    <row r="1236" spans="1:1" s="44" customFormat="1" x14ac:dyDescent="0.35">
      <c r="A1236" s="568"/>
    </row>
    <row r="1237" spans="1:1" s="44" customFormat="1" x14ac:dyDescent="0.35">
      <c r="A1237" s="568"/>
    </row>
    <row r="1238" spans="1:1" s="44" customFormat="1" x14ac:dyDescent="0.35">
      <c r="A1238" s="568"/>
    </row>
    <row r="1239" spans="1:1" s="44" customFormat="1" x14ac:dyDescent="0.35">
      <c r="A1239" s="568"/>
    </row>
    <row r="1240" spans="1:1" s="44" customFormat="1" x14ac:dyDescent="0.35">
      <c r="A1240" s="568"/>
    </row>
    <row r="1241" spans="1:1" s="44" customFormat="1" x14ac:dyDescent="0.35">
      <c r="A1241" s="568"/>
    </row>
    <row r="1242" spans="1:1" s="44" customFormat="1" x14ac:dyDescent="0.35">
      <c r="A1242" s="568"/>
    </row>
    <row r="1243" spans="1:1" s="44" customFormat="1" x14ac:dyDescent="0.35">
      <c r="A1243" s="568"/>
    </row>
    <row r="1244" spans="1:1" s="44" customFormat="1" x14ac:dyDescent="0.35">
      <c r="A1244" s="568"/>
    </row>
    <row r="1245" spans="1:1" s="44" customFormat="1" x14ac:dyDescent="0.35">
      <c r="A1245" s="568"/>
    </row>
    <row r="1246" spans="1:1" s="44" customFormat="1" x14ac:dyDescent="0.35">
      <c r="A1246" s="568"/>
    </row>
    <row r="1247" spans="1:1" s="44" customFormat="1" x14ac:dyDescent="0.35">
      <c r="A1247" s="568"/>
    </row>
    <row r="1248" spans="1:1" s="44" customFormat="1" x14ac:dyDescent="0.35">
      <c r="A1248" s="568"/>
    </row>
    <row r="1249" spans="1:1" s="44" customFormat="1" x14ac:dyDescent="0.35">
      <c r="A1249" s="568"/>
    </row>
    <row r="1250" spans="1:1" s="44" customFormat="1" x14ac:dyDescent="0.35">
      <c r="A1250" s="568"/>
    </row>
    <row r="1251" spans="1:1" s="44" customFormat="1" x14ac:dyDescent="0.35">
      <c r="A1251" s="568"/>
    </row>
    <row r="1252" spans="1:1" s="44" customFormat="1" x14ac:dyDescent="0.35">
      <c r="A1252" s="568"/>
    </row>
    <row r="1253" spans="1:1" s="44" customFormat="1" x14ac:dyDescent="0.35">
      <c r="A1253" s="568"/>
    </row>
    <row r="1254" spans="1:1" s="44" customFormat="1" x14ac:dyDescent="0.35">
      <c r="A1254" s="568"/>
    </row>
    <row r="1255" spans="1:1" s="44" customFormat="1" x14ac:dyDescent="0.35">
      <c r="A1255" s="568"/>
    </row>
    <row r="1256" spans="1:1" s="44" customFormat="1" x14ac:dyDescent="0.35">
      <c r="A1256" s="568"/>
    </row>
    <row r="1257" spans="1:1" s="44" customFormat="1" x14ac:dyDescent="0.35">
      <c r="A1257" s="568"/>
    </row>
    <row r="1258" spans="1:1" s="44" customFormat="1" x14ac:dyDescent="0.35">
      <c r="A1258" s="568"/>
    </row>
    <row r="1259" spans="1:1" s="44" customFormat="1" x14ac:dyDescent="0.35">
      <c r="A1259" s="568"/>
    </row>
    <row r="1260" spans="1:1" s="44" customFormat="1" x14ac:dyDescent="0.35">
      <c r="A1260" s="568"/>
    </row>
    <row r="1261" spans="1:1" s="44" customFormat="1" x14ac:dyDescent="0.35">
      <c r="A1261" s="568"/>
    </row>
    <row r="1262" spans="1:1" s="44" customFormat="1" x14ac:dyDescent="0.35">
      <c r="A1262" s="568"/>
    </row>
    <row r="1263" spans="1:1" s="44" customFormat="1" x14ac:dyDescent="0.35">
      <c r="A1263" s="568"/>
    </row>
    <row r="1264" spans="1:1" s="44" customFormat="1" x14ac:dyDescent="0.35">
      <c r="A1264" s="568"/>
    </row>
    <row r="1265" spans="1:1" s="44" customFormat="1" x14ac:dyDescent="0.35">
      <c r="A1265" s="568"/>
    </row>
    <row r="1266" spans="1:1" s="44" customFormat="1" x14ac:dyDescent="0.35">
      <c r="A1266" s="568"/>
    </row>
    <row r="1267" spans="1:1" s="44" customFormat="1" x14ac:dyDescent="0.35">
      <c r="A1267" s="568"/>
    </row>
    <row r="1268" spans="1:1" s="44" customFormat="1" x14ac:dyDescent="0.35">
      <c r="A1268" s="568"/>
    </row>
    <row r="1269" spans="1:1" s="44" customFormat="1" x14ac:dyDescent="0.35">
      <c r="A1269" s="568"/>
    </row>
    <row r="1270" spans="1:1" s="44" customFormat="1" x14ac:dyDescent="0.35">
      <c r="A1270" s="568"/>
    </row>
    <row r="1271" spans="1:1" s="44" customFormat="1" x14ac:dyDescent="0.35">
      <c r="A1271" s="568"/>
    </row>
    <row r="1272" spans="1:1" s="44" customFormat="1" x14ac:dyDescent="0.35">
      <c r="A1272" s="568"/>
    </row>
    <row r="1273" spans="1:1" s="44" customFormat="1" x14ac:dyDescent="0.35">
      <c r="A1273" s="568"/>
    </row>
    <row r="1274" spans="1:1" s="44" customFormat="1" x14ac:dyDescent="0.35">
      <c r="A1274" s="568"/>
    </row>
    <row r="1275" spans="1:1" s="44" customFormat="1" x14ac:dyDescent="0.35">
      <c r="A1275" s="568"/>
    </row>
    <row r="1276" spans="1:1" s="44" customFormat="1" x14ac:dyDescent="0.35">
      <c r="A1276" s="568"/>
    </row>
    <row r="1277" spans="1:1" s="44" customFormat="1" x14ac:dyDescent="0.35">
      <c r="A1277" s="568"/>
    </row>
    <row r="1278" spans="1:1" s="44" customFormat="1" x14ac:dyDescent="0.35">
      <c r="A1278" s="568"/>
    </row>
    <row r="1279" spans="1:1" s="44" customFormat="1" x14ac:dyDescent="0.35">
      <c r="A1279" s="568"/>
    </row>
    <row r="1280" spans="1:1" s="44" customFormat="1" x14ac:dyDescent="0.35">
      <c r="A1280" s="568"/>
    </row>
    <row r="1281" spans="1:1" s="44" customFormat="1" x14ac:dyDescent="0.35">
      <c r="A1281" s="568"/>
    </row>
    <row r="1282" spans="1:1" s="44" customFormat="1" x14ac:dyDescent="0.35">
      <c r="A1282" s="568"/>
    </row>
    <row r="1283" spans="1:1" s="44" customFormat="1" x14ac:dyDescent="0.35">
      <c r="A1283" s="568"/>
    </row>
    <row r="1284" spans="1:1" s="44" customFormat="1" x14ac:dyDescent="0.35">
      <c r="A1284" s="568"/>
    </row>
    <row r="1285" spans="1:1" s="44" customFormat="1" x14ac:dyDescent="0.35">
      <c r="A1285" s="568"/>
    </row>
    <row r="1286" spans="1:1" s="44" customFormat="1" x14ac:dyDescent="0.35">
      <c r="A1286" s="568"/>
    </row>
    <row r="1287" spans="1:1" s="44" customFormat="1" x14ac:dyDescent="0.35">
      <c r="A1287" s="568"/>
    </row>
    <row r="1288" spans="1:1" s="44" customFormat="1" x14ac:dyDescent="0.35">
      <c r="A1288" s="568"/>
    </row>
    <row r="1289" spans="1:1" s="44" customFormat="1" x14ac:dyDescent="0.35">
      <c r="A1289" s="568"/>
    </row>
    <row r="1290" spans="1:1" s="44" customFormat="1" x14ac:dyDescent="0.35">
      <c r="A1290" s="568"/>
    </row>
    <row r="1291" spans="1:1" s="44" customFormat="1" x14ac:dyDescent="0.35">
      <c r="A1291" s="568"/>
    </row>
    <row r="1292" spans="1:1" s="44" customFormat="1" x14ac:dyDescent="0.35">
      <c r="A1292" s="568"/>
    </row>
    <row r="1293" spans="1:1" s="44" customFormat="1" x14ac:dyDescent="0.35">
      <c r="A1293" s="568"/>
    </row>
    <row r="1294" spans="1:1" s="44" customFormat="1" x14ac:dyDescent="0.35">
      <c r="A1294" s="568"/>
    </row>
    <row r="1295" spans="1:1" s="44" customFormat="1" x14ac:dyDescent="0.35">
      <c r="A1295" s="568"/>
    </row>
    <row r="1296" spans="1:1" s="44" customFormat="1" x14ac:dyDescent="0.35">
      <c r="A1296" s="568"/>
    </row>
    <row r="1297" spans="1:1" s="44" customFormat="1" x14ac:dyDescent="0.35">
      <c r="A1297" s="568"/>
    </row>
    <row r="1298" spans="1:1" s="44" customFormat="1" x14ac:dyDescent="0.35">
      <c r="A1298" s="568"/>
    </row>
    <row r="1299" spans="1:1" s="44" customFormat="1" x14ac:dyDescent="0.35">
      <c r="A1299" s="568"/>
    </row>
    <row r="1300" spans="1:1" s="44" customFormat="1" x14ac:dyDescent="0.35">
      <c r="A1300" s="568"/>
    </row>
    <row r="1301" spans="1:1" s="44" customFormat="1" x14ac:dyDescent="0.35">
      <c r="A1301" s="568"/>
    </row>
    <row r="1302" spans="1:1" s="44" customFormat="1" x14ac:dyDescent="0.35">
      <c r="A1302" s="568"/>
    </row>
    <row r="1303" spans="1:1" s="44" customFormat="1" x14ac:dyDescent="0.35">
      <c r="A1303" s="568"/>
    </row>
    <row r="1304" spans="1:1" s="44" customFormat="1" x14ac:dyDescent="0.35">
      <c r="A1304" s="568"/>
    </row>
    <row r="1305" spans="1:1" s="44" customFormat="1" x14ac:dyDescent="0.35">
      <c r="A1305" s="568"/>
    </row>
    <row r="1306" spans="1:1" s="44" customFormat="1" x14ac:dyDescent="0.35">
      <c r="A1306" s="568"/>
    </row>
    <row r="1307" spans="1:1" s="44" customFormat="1" x14ac:dyDescent="0.35">
      <c r="A1307" s="568"/>
    </row>
    <row r="1308" spans="1:1" s="44" customFormat="1" x14ac:dyDescent="0.35">
      <c r="A1308" s="568"/>
    </row>
    <row r="1309" spans="1:1" s="44" customFormat="1" x14ac:dyDescent="0.35">
      <c r="A1309" s="568"/>
    </row>
    <row r="1310" spans="1:1" s="44" customFormat="1" x14ac:dyDescent="0.35">
      <c r="A1310" s="568"/>
    </row>
    <row r="1311" spans="1:1" s="44" customFormat="1" x14ac:dyDescent="0.35">
      <c r="A1311" s="568"/>
    </row>
    <row r="1312" spans="1:1" s="44" customFormat="1" x14ac:dyDescent="0.35">
      <c r="A1312" s="568"/>
    </row>
    <row r="1313" spans="1:1" s="44" customFormat="1" x14ac:dyDescent="0.35">
      <c r="A1313" s="568"/>
    </row>
    <row r="1314" spans="1:1" s="44" customFormat="1" x14ac:dyDescent="0.35">
      <c r="A1314" s="568"/>
    </row>
    <row r="1315" spans="1:1" s="44" customFormat="1" x14ac:dyDescent="0.35">
      <c r="A1315" s="568"/>
    </row>
    <row r="1316" spans="1:1" s="44" customFormat="1" x14ac:dyDescent="0.35">
      <c r="A1316" s="568"/>
    </row>
    <row r="1317" spans="1:1" s="44" customFormat="1" x14ac:dyDescent="0.35">
      <c r="A1317" s="568"/>
    </row>
    <row r="1318" spans="1:1" s="44" customFormat="1" x14ac:dyDescent="0.35">
      <c r="A1318" s="568"/>
    </row>
    <row r="1319" spans="1:1" s="44" customFormat="1" x14ac:dyDescent="0.35">
      <c r="A1319" s="568"/>
    </row>
    <row r="1320" spans="1:1" s="44" customFormat="1" x14ac:dyDescent="0.35">
      <c r="A1320" s="568"/>
    </row>
    <row r="1321" spans="1:1" s="44" customFormat="1" x14ac:dyDescent="0.35">
      <c r="A1321" s="568"/>
    </row>
    <row r="1322" spans="1:1" s="44" customFormat="1" x14ac:dyDescent="0.35">
      <c r="A1322" s="568"/>
    </row>
    <row r="1323" spans="1:1" s="44" customFormat="1" x14ac:dyDescent="0.35">
      <c r="A1323" s="568"/>
    </row>
    <row r="1324" spans="1:1" s="44" customFormat="1" x14ac:dyDescent="0.35">
      <c r="A1324" s="568"/>
    </row>
    <row r="1325" spans="1:1" s="44" customFormat="1" x14ac:dyDescent="0.35">
      <c r="A1325" s="568"/>
    </row>
    <row r="1326" spans="1:1" s="44" customFormat="1" x14ac:dyDescent="0.35">
      <c r="A1326" s="568"/>
    </row>
    <row r="1327" spans="1:1" s="44" customFormat="1" x14ac:dyDescent="0.35">
      <c r="A1327" s="568"/>
    </row>
    <row r="1328" spans="1:1" s="44" customFormat="1" x14ac:dyDescent="0.35">
      <c r="A1328" s="568"/>
    </row>
    <row r="1329" spans="1:1" s="44" customFormat="1" x14ac:dyDescent="0.35">
      <c r="A1329" s="568"/>
    </row>
    <row r="1330" spans="1:1" s="44" customFormat="1" x14ac:dyDescent="0.35">
      <c r="A1330" s="568"/>
    </row>
    <row r="1331" spans="1:1" s="44" customFormat="1" x14ac:dyDescent="0.35">
      <c r="A1331" s="568"/>
    </row>
    <row r="1332" spans="1:1" s="44" customFormat="1" x14ac:dyDescent="0.35">
      <c r="A1332" s="568"/>
    </row>
    <row r="1333" spans="1:1" s="44" customFormat="1" x14ac:dyDescent="0.35">
      <c r="A1333" s="568"/>
    </row>
    <row r="1334" spans="1:1" s="44" customFormat="1" x14ac:dyDescent="0.35">
      <c r="A1334" s="568"/>
    </row>
    <row r="1335" spans="1:1" s="44" customFormat="1" x14ac:dyDescent="0.35">
      <c r="A1335" s="568"/>
    </row>
    <row r="1336" spans="1:1" s="44" customFormat="1" x14ac:dyDescent="0.35">
      <c r="A1336" s="568"/>
    </row>
    <row r="1337" spans="1:1" s="44" customFormat="1" x14ac:dyDescent="0.35">
      <c r="A1337" s="568"/>
    </row>
    <row r="1338" spans="1:1" s="44" customFormat="1" x14ac:dyDescent="0.35">
      <c r="A1338" s="568"/>
    </row>
    <row r="1339" spans="1:1" s="44" customFormat="1" x14ac:dyDescent="0.35">
      <c r="A1339" s="568"/>
    </row>
    <row r="1340" spans="1:1" s="44" customFormat="1" x14ac:dyDescent="0.35">
      <c r="A1340" s="568"/>
    </row>
    <row r="1341" spans="1:1" s="44" customFormat="1" x14ac:dyDescent="0.35">
      <c r="A1341" s="568"/>
    </row>
    <row r="1342" spans="1:1" s="44" customFormat="1" x14ac:dyDescent="0.35">
      <c r="A1342" s="568"/>
    </row>
    <row r="1343" spans="1:1" s="44" customFormat="1" x14ac:dyDescent="0.35">
      <c r="A1343" s="568"/>
    </row>
    <row r="1344" spans="1:1" s="44" customFormat="1" x14ac:dyDescent="0.35">
      <c r="A1344" s="568"/>
    </row>
    <row r="1345" spans="1:1" s="44" customFormat="1" x14ac:dyDescent="0.35">
      <c r="A1345" s="568"/>
    </row>
    <row r="1346" spans="1:1" s="44" customFormat="1" x14ac:dyDescent="0.35">
      <c r="A1346" s="568"/>
    </row>
    <row r="1347" spans="1:1" s="44" customFormat="1" x14ac:dyDescent="0.35">
      <c r="A1347" s="568"/>
    </row>
    <row r="1348" spans="1:1" s="44" customFormat="1" x14ac:dyDescent="0.35">
      <c r="A1348" s="568"/>
    </row>
    <row r="1349" spans="1:1" s="44" customFormat="1" x14ac:dyDescent="0.35">
      <c r="A1349" s="568"/>
    </row>
    <row r="1350" spans="1:1" s="44" customFormat="1" x14ac:dyDescent="0.35">
      <c r="A1350" s="568"/>
    </row>
    <row r="1351" spans="1:1" s="44" customFormat="1" x14ac:dyDescent="0.35">
      <c r="A1351" s="568"/>
    </row>
    <row r="1352" spans="1:1" s="44" customFormat="1" x14ac:dyDescent="0.35">
      <c r="A1352" s="568"/>
    </row>
    <row r="1353" spans="1:1" s="44" customFormat="1" x14ac:dyDescent="0.35">
      <c r="A1353" s="568"/>
    </row>
    <row r="1354" spans="1:1" s="44" customFormat="1" x14ac:dyDescent="0.35">
      <c r="A1354" s="568"/>
    </row>
    <row r="1355" spans="1:1" s="44" customFormat="1" x14ac:dyDescent="0.35">
      <c r="A1355" s="568"/>
    </row>
    <row r="1356" spans="1:1" s="44" customFormat="1" x14ac:dyDescent="0.35">
      <c r="A1356" s="568"/>
    </row>
    <row r="1357" spans="1:1" s="44" customFormat="1" x14ac:dyDescent="0.35">
      <c r="A1357" s="568"/>
    </row>
    <row r="1358" spans="1:1" s="44" customFormat="1" x14ac:dyDescent="0.35">
      <c r="A1358" s="568"/>
    </row>
    <row r="1359" spans="1:1" s="44" customFormat="1" x14ac:dyDescent="0.35">
      <c r="A1359" s="568"/>
    </row>
    <row r="1360" spans="1:1" s="44" customFormat="1" x14ac:dyDescent="0.35">
      <c r="A1360" s="568"/>
    </row>
    <row r="1361" spans="1:1" s="44" customFormat="1" x14ac:dyDescent="0.35">
      <c r="A1361" s="568"/>
    </row>
    <row r="1362" spans="1:1" s="44" customFormat="1" x14ac:dyDescent="0.35">
      <c r="A1362" s="568"/>
    </row>
    <row r="1363" spans="1:1" s="44" customFormat="1" x14ac:dyDescent="0.35">
      <c r="A1363" s="568"/>
    </row>
    <row r="1364" spans="1:1" s="44" customFormat="1" x14ac:dyDescent="0.35">
      <c r="A1364" s="568"/>
    </row>
    <row r="1365" spans="1:1" s="44" customFormat="1" x14ac:dyDescent="0.35">
      <c r="A1365" s="568"/>
    </row>
    <row r="1366" spans="1:1" s="44" customFormat="1" x14ac:dyDescent="0.35">
      <c r="A1366" s="568"/>
    </row>
    <row r="1367" spans="1:1" s="44" customFormat="1" x14ac:dyDescent="0.35">
      <c r="A1367" s="568"/>
    </row>
    <row r="1368" spans="1:1" s="44" customFormat="1" x14ac:dyDescent="0.35">
      <c r="A1368" s="568"/>
    </row>
    <row r="1369" spans="1:1" s="44" customFormat="1" x14ac:dyDescent="0.35">
      <c r="A1369" s="568"/>
    </row>
    <row r="1370" spans="1:1" s="44" customFormat="1" x14ac:dyDescent="0.35">
      <c r="A1370" s="568"/>
    </row>
    <row r="1371" spans="1:1" s="44" customFormat="1" x14ac:dyDescent="0.35">
      <c r="A1371" s="568"/>
    </row>
    <row r="1372" spans="1:1" s="44" customFormat="1" x14ac:dyDescent="0.35">
      <c r="A1372" s="568"/>
    </row>
    <row r="1373" spans="1:1" s="44" customFormat="1" x14ac:dyDescent="0.35">
      <c r="A1373" s="568"/>
    </row>
    <row r="1374" spans="1:1" s="44" customFormat="1" x14ac:dyDescent="0.35">
      <c r="A1374" s="568"/>
    </row>
    <row r="1375" spans="1:1" s="44" customFormat="1" x14ac:dyDescent="0.35">
      <c r="A1375" s="568"/>
    </row>
    <row r="1376" spans="1:1" s="44" customFormat="1" x14ac:dyDescent="0.35">
      <c r="A1376" s="568"/>
    </row>
    <row r="1377" spans="1:1" s="44" customFormat="1" x14ac:dyDescent="0.35">
      <c r="A1377" s="568"/>
    </row>
    <row r="1378" spans="1:1" s="44" customFormat="1" x14ac:dyDescent="0.35">
      <c r="A1378" s="568"/>
    </row>
    <row r="1379" spans="1:1" s="44" customFormat="1" x14ac:dyDescent="0.35">
      <c r="A1379" s="568"/>
    </row>
    <row r="1380" spans="1:1" s="44" customFormat="1" x14ac:dyDescent="0.35">
      <c r="A1380" s="568"/>
    </row>
    <row r="1381" spans="1:1" s="44" customFormat="1" x14ac:dyDescent="0.35">
      <c r="A1381" s="568"/>
    </row>
    <row r="1382" spans="1:1" s="44" customFormat="1" x14ac:dyDescent="0.35">
      <c r="A1382" s="568"/>
    </row>
    <row r="1383" spans="1:1" s="44" customFormat="1" x14ac:dyDescent="0.35">
      <c r="A1383" s="568"/>
    </row>
  </sheetData>
  <mergeCells count="303">
    <mergeCell ref="B319:F319"/>
    <mergeCell ref="B1:M1"/>
    <mergeCell ref="B3:M3"/>
    <mergeCell ref="B5:E11"/>
    <mergeCell ref="G5:K5"/>
    <mergeCell ref="G7:K7"/>
    <mergeCell ref="G9:K9"/>
    <mergeCell ref="G11:K11"/>
    <mergeCell ref="B168:L168"/>
    <mergeCell ref="B169:D169"/>
    <mergeCell ref="E169:L169"/>
    <mergeCell ref="B28:E32"/>
    <mergeCell ref="G28:K28"/>
    <mergeCell ref="G30:K30"/>
    <mergeCell ref="G32:K32"/>
    <mergeCell ref="B35:E39"/>
    <mergeCell ref="G35:K35"/>
    <mergeCell ref="G37:K37"/>
    <mergeCell ref="G39:K39"/>
    <mergeCell ref="B14:E18"/>
    <mergeCell ref="G14:K14"/>
    <mergeCell ref="G16:K16"/>
    <mergeCell ref="G18:K18"/>
    <mergeCell ref="B21:E25"/>
    <mergeCell ref="G21:K21"/>
    <mergeCell ref="G23:K23"/>
    <mergeCell ref="G25:K25"/>
    <mergeCell ref="B42:E46"/>
    <mergeCell ref="G42:K42"/>
    <mergeCell ref="G44:K44"/>
    <mergeCell ref="G46:K46"/>
    <mergeCell ref="B49:E53"/>
    <mergeCell ref="G49:K49"/>
    <mergeCell ref="G51:K51"/>
    <mergeCell ref="G53:I53"/>
    <mergeCell ref="J53:L53"/>
    <mergeCell ref="B60:C60"/>
    <mergeCell ref="F60:G60"/>
    <mergeCell ref="J60:K60"/>
    <mergeCell ref="B61:C61"/>
    <mergeCell ref="F61:G61"/>
    <mergeCell ref="J61:K61"/>
    <mergeCell ref="B56:M56"/>
    <mergeCell ref="B58:D58"/>
    <mergeCell ref="F58:H58"/>
    <mergeCell ref="J58:L58"/>
    <mergeCell ref="B59:C59"/>
    <mergeCell ref="F59:G59"/>
    <mergeCell ref="J59:K59"/>
    <mergeCell ref="B64:C64"/>
    <mergeCell ref="F64:G64"/>
    <mergeCell ref="J64:K64"/>
    <mergeCell ref="B65:C65"/>
    <mergeCell ref="F65:G65"/>
    <mergeCell ref="J65:K65"/>
    <mergeCell ref="B62:C62"/>
    <mergeCell ref="F62:G62"/>
    <mergeCell ref="J62:K62"/>
    <mergeCell ref="B63:C63"/>
    <mergeCell ref="F63:G63"/>
    <mergeCell ref="J63:K63"/>
    <mergeCell ref="B69:L69"/>
    <mergeCell ref="B70:L70"/>
    <mergeCell ref="B72:M72"/>
    <mergeCell ref="C74:L74"/>
    <mergeCell ref="C75:L75"/>
    <mergeCell ref="C76:L76"/>
    <mergeCell ref="B66:C66"/>
    <mergeCell ref="F66:G66"/>
    <mergeCell ref="J66:K66"/>
    <mergeCell ref="B67:C67"/>
    <mergeCell ref="F67:G67"/>
    <mergeCell ref="J67:K67"/>
    <mergeCell ref="C83:L83"/>
    <mergeCell ref="C84:L84"/>
    <mergeCell ref="B86:M86"/>
    <mergeCell ref="B88:F88"/>
    <mergeCell ref="G88:L88"/>
    <mergeCell ref="B89:F89"/>
    <mergeCell ref="G89:L89"/>
    <mergeCell ref="C77:L77"/>
    <mergeCell ref="C78:L78"/>
    <mergeCell ref="C79:L79"/>
    <mergeCell ref="C80:L80"/>
    <mergeCell ref="C81:L81"/>
    <mergeCell ref="C82:L82"/>
    <mergeCell ref="B93:F93"/>
    <mergeCell ref="G93:L93"/>
    <mergeCell ref="B94:F94"/>
    <mergeCell ref="G94:L94"/>
    <mergeCell ref="B95:F95"/>
    <mergeCell ref="G95:L95"/>
    <mergeCell ref="B90:F90"/>
    <mergeCell ref="G90:L90"/>
    <mergeCell ref="B91:F91"/>
    <mergeCell ref="G91:L91"/>
    <mergeCell ref="B92:F92"/>
    <mergeCell ref="G92:L92"/>
    <mergeCell ref="B100:M100"/>
    <mergeCell ref="B102:M102"/>
    <mergeCell ref="B104:D104"/>
    <mergeCell ref="E104:M104"/>
    <mergeCell ref="B105:D105"/>
    <mergeCell ref="E105:M105"/>
    <mergeCell ref="B96:F96"/>
    <mergeCell ref="G96:L96"/>
    <mergeCell ref="B97:F97"/>
    <mergeCell ref="G97:L97"/>
    <mergeCell ref="B98:F98"/>
    <mergeCell ref="G98:L98"/>
    <mergeCell ref="B135:D135"/>
    <mergeCell ref="E135:L135"/>
    <mergeCell ref="B136:D136"/>
    <mergeCell ref="E136:L136"/>
    <mergeCell ref="B137:D137"/>
    <mergeCell ref="E137:L137"/>
    <mergeCell ref="B106:D106"/>
    <mergeCell ref="E106:M106"/>
    <mergeCell ref="B107:M129"/>
    <mergeCell ref="B131:M131"/>
    <mergeCell ref="B133:L133"/>
    <mergeCell ref="B134:D134"/>
    <mergeCell ref="E134:L134"/>
    <mergeCell ref="B143:D143"/>
    <mergeCell ref="E143:L143"/>
    <mergeCell ref="B144:D144"/>
    <mergeCell ref="E144:L144"/>
    <mergeCell ref="B145:D145"/>
    <mergeCell ref="E145:L145"/>
    <mergeCell ref="B138:D138"/>
    <mergeCell ref="E138:L138"/>
    <mergeCell ref="B140:L140"/>
    <mergeCell ref="B141:D141"/>
    <mergeCell ref="E141:L141"/>
    <mergeCell ref="B142:D142"/>
    <mergeCell ref="E142:L142"/>
    <mergeCell ref="B151:D151"/>
    <mergeCell ref="E151:L151"/>
    <mergeCell ref="B152:D152"/>
    <mergeCell ref="E152:L152"/>
    <mergeCell ref="B154:L154"/>
    <mergeCell ref="B155:D155"/>
    <mergeCell ref="E155:L155"/>
    <mergeCell ref="B147:L147"/>
    <mergeCell ref="B148:D148"/>
    <mergeCell ref="E148:L148"/>
    <mergeCell ref="B149:D149"/>
    <mergeCell ref="E149:L149"/>
    <mergeCell ref="B150:D150"/>
    <mergeCell ref="E150:L150"/>
    <mergeCell ref="B159:D159"/>
    <mergeCell ref="E159:L159"/>
    <mergeCell ref="B161:L161"/>
    <mergeCell ref="B162:D162"/>
    <mergeCell ref="E162:L162"/>
    <mergeCell ref="B163:D163"/>
    <mergeCell ref="E163:L163"/>
    <mergeCell ref="B156:D156"/>
    <mergeCell ref="E156:L156"/>
    <mergeCell ref="B157:D157"/>
    <mergeCell ref="E157:L157"/>
    <mergeCell ref="B158:D158"/>
    <mergeCell ref="E158:L158"/>
    <mergeCell ref="B175:L175"/>
    <mergeCell ref="B176:D176"/>
    <mergeCell ref="E176:L176"/>
    <mergeCell ref="B177:D177"/>
    <mergeCell ref="E177:L177"/>
    <mergeCell ref="B178:D178"/>
    <mergeCell ref="E178:L178"/>
    <mergeCell ref="B164:D164"/>
    <mergeCell ref="E164:L164"/>
    <mergeCell ref="B165:D165"/>
    <mergeCell ref="E165:L165"/>
    <mergeCell ref="B166:D166"/>
    <mergeCell ref="E166:L166"/>
    <mergeCell ref="B170:D170"/>
    <mergeCell ref="E170:L170"/>
    <mergeCell ref="B171:D171"/>
    <mergeCell ref="E171:L171"/>
    <mergeCell ref="B172:D172"/>
    <mergeCell ref="E172:L172"/>
    <mergeCell ref="B173:D173"/>
    <mergeCell ref="E173:L173"/>
    <mergeCell ref="B187:C187"/>
    <mergeCell ref="E189:F190"/>
    <mergeCell ref="G189:G190"/>
    <mergeCell ref="E191:F191"/>
    <mergeCell ref="E192:F192"/>
    <mergeCell ref="E193:F193"/>
    <mergeCell ref="B179:D179"/>
    <mergeCell ref="E179:L179"/>
    <mergeCell ref="B180:D180"/>
    <mergeCell ref="E180:L180"/>
    <mergeCell ref="B182:M182"/>
    <mergeCell ref="B184:M184"/>
    <mergeCell ref="G200:L200"/>
    <mergeCell ref="G201:L201"/>
    <mergeCell ref="B222:L222"/>
    <mergeCell ref="B224:L224"/>
    <mergeCell ref="B226:L226"/>
    <mergeCell ref="B228:D229"/>
    <mergeCell ref="G196:L196"/>
    <mergeCell ref="G197:L197"/>
    <mergeCell ref="B198:B199"/>
    <mergeCell ref="C198:C199"/>
    <mergeCell ref="G198:L198"/>
    <mergeCell ref="G199:L199"/>
    <mergeCell ref="C238:D238"/>
    <mergeCell ref="C239:D239"/>
    <mergeCell ref="C240:D240"/>
    <mergeCell ref="C241:D241"/>
    <mergeCell ref="C242:D242"/>
    <mergeCell ref="C243:D243"/>
    <mergeCell ref="H232:K232"/>
    <mergeCell ref="C233:D233"/>
    <mergeCell ref="C234:D234"/>
    <mergeCell ref="C235:D235"/>
    <mergeCell ref="C236:D236"/>
    <mergeCell ref="C237:D237"/>
    <mergeCell ref="B254:D255"/>
    <mergeCell ref="B256:C256"/>
    <mergeCell ref="B257:C257"/>
    <mergeCell ref="B258:C258"/>
    <mergeCell ref="B259:C259"/>
    <mergeCell ref="B260:C260"/>
    <mergeCell ref="C244:D244"/>
    <mergeCell ref="C245:D245"/>
    <mergeCell ref="C246:D246"/>
    <mergeCell ref="C247:D247"/>
    <mergeCell ref="B250:M250"/>
    <mergeCell ref="B252:C252"/>
    <mergeCell ref="B268:L268"/>
    <mergeCell ref="B270:L270"/>
    <mergeCell ref="B272:L272"/>
    <mergeCell ref="B274:D275"/>
    <mergeCell ref="H278:K278"/>
    <mergeCell ref="C279:D279"/>
    <mergeCell ref="B261:C261"/>
    <mergeCell ref="B262:C262"/>
    <mergeCell ref="B263:C263"/>
    <mergeCell ref="B264:C264"/>
    <mergeCell ref="B265:C265"/>
    <mergeCell ref="B266:C266"/>
    <mergeCell ref="C286:D286"/>
    <mergeCell ref="C287:D287"/>
    <mergeCell ref="C288:D288"/>
    <mergeCell ref="C289:D289"/>
    <mergeCell ref="C290:D290"/>
    <mergeCell ref="C291:D291"/>
    <mergeCell ref="C280:D280"/>
    <mergeCell ref="C281:D281"/>
    <mergeCell ref="C282:D282"/>
    <mergeCell ref="C283:D283"/>
    <mergeCell ref="C284:D284"/>
    <mergeCell ref="C285:D285"/>
    <mergeCell ref="B304:D305"/>
    <mergeCell ref="B307:F307"/>
    <mergeCell ref="G307:H307"/>
    <mergeCell ref="I307:L307"/>
    <mergeCell ref="B308:F308"/>
    <mergeCell ref="B309:F309"/>
    <mergeCell ref="C292:D292"/>
    <mergeCell ref="C293:D293"/>
    <mergeCell ref="B296:M296"/>
    <mergeCell ref="B298:M298"/>
    <mergeCell ref="B300:M300"/>
    <mergeCell ref="B302:M302"/>
    <mergeCell ref="B316:F316"/>
    <mergeCell ref="B317:F317"/>
    <mergeCell ref="B318:F318"/>
    <mergeCell ref="B310:F310"/>
    <mergeCell ref="B311:F311"/>
    <mergeCell ref="B312:F312"/>
    <mergeCell ref="B313:F313"/>
    <mergeCell ref="B314:F314"/>
    <mergeCell ref="B315:F315"/>
    <mergeCell ref="B329:E329"/>
    <mergeCell ref="B330:E330"/>
    <mergeCell ref="B331:E331"/>
    <mergeCell ref="B332:E332"/>
    <mergeCell ref="B333:E333"/>
    <mergeCell ref="B335:M335"/>
    <mergeCell ref="B320:F320"/>
    <mergeCell ref="B321:F321"/>
    <mergeCell ref="B323:F323"/>
    <mergeCell ref="B324:F324"/>
    <mergeCell ref="B325:F325"/>
    <mergeCell ref="B328:L328"/>
    <mergeCell ref="B322:F322"/>
    <mergeCell ref="B339:C339"/>
    <mergeCell ref="B340:C340"/>
    <mergeCell ref="B341:C341"/>
    <mergeCell ref="B342:C342"/>
    <mergeCell ref="B343:C343"/>
    <mergeCell ref="B344:C344"/>
    <mergeCell ref="B337:M337"/>
    <mergeCell ref="AD337:AL337"/>
    <mergeCell ref="AM337:AP337"/>
    <mergeCell ref="AE338:AF338"/>
    <mergeCell ref="AG338:AH338"/>
    <mergeCell ref="AI338:AJ338"/>
    <mergeCell ref="AK338:AL338"/>
  </mergeCells>
  <dataValidations disablePrompts="1" count="2">
    <dataValidation type="list" allowBlank="1" showInputMessage="1" showErrorMessage="1" sqref="D207:D219 H253:H266" xr:uid="{C7DB68AC-4D2C-49E1-8CC5-7AC6EE379E57}">
      <formula1>$AM$207:$AM$211</formula1>
    </dataValidation>
    <dataValidation type="list" allowBlank="1" showInputMessage="1" showErrorMessage="1" sqref="G207:G219" xr:uid="{DC4CE4FA-B576-40EF-946F-29A372135851}">
      <formula1>$AN$207:$AN$212</formula1>
    </dataValidation>
  </dataValidations>
  <pageMargins left="0.7" right="0.7" top="0.75" bottom="0.75" header="0.3" footer="0.3"/>
  <pageSetup orientation="portrait" r:id="rId1"/>
  <ignoredErrors>
    <ignoredError sqref="G341:I343" evalError="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A49A1-1E52-48AA-B907-5D7A4305128A}">
  <sheetPr>
    <tabColor rgb="FFFBA3A3"/>
  </sheetPr>
  <dimension ref="A1:HH980"/>
  <sheetViews>
    <sheetView showGridLines="0" tabSelected="1" topLeftCell="A209" zoomScale="60" zoomScaleNormal="60" workbookViewId="0">
      <selection activeCell="B211" sqref="B211"/>
    </sheetView>
  </sheetViews>
  <sheetFormatPr baseColWidth="10" defaultColWidth="12" defaultRowHeight="15.5" x14ac:dyDescent="0.35"/>
  <cols>
    <col min="1" max="1" width="6.08984375" style="43" customWidth="1"/>
    <col min="2" max="2" width="11.6328125" style="43" customWidth="1"/>
    <col min="3" max="3" width="13.1796875" style="43" customWidth="1"/>
    <col min="4" max="4" width="15.453125" style="43" customWidth="1"/>
    <col min="5" max="6" width="15.36328125" style="56" customWidth="1"/>
    <col min="7" max="7" width="16.7265625" style="56" customWidth="1"/>
    <col min="8" max="8" width="14.81640625" style="56" customWidth="1"/>
    <col min="9" max="11" width="14.54296875" style="56" bestFit="1" customWidth="1"/>
    <col min="12" max="12" width="14.26953125" style="56" customWidth="1"/>
    <col min="13" max="13" width="16.08984375" style="56" bestFit="1" customWidth="1"/>
    <col min="14" max="14" width="14.90625" style="43" bestFit="1" customWidth="1"/>
    <col min="15" max="16" width="14" style="43" customWidth="1"/>
    <col min="17" max="17" width="5.54296875" style="43" customWidth="1"/>
    <col min="18" max="43" width="5.54296875" style="44" customWidth="1"/>
    <col min="44" max="44" width="12" style="44"/>
    <col min="45" max="45" width="14.26953125" style="44" customWidth="1"/>
    <col min="46" max="46" width="27.08984375" style="44" customWidth="1"/>
    <col min="47" max="47" width="18" style="44" customWidth="1"/>
    <col min="48" max="52" width="17.453125" style="44" customWidth="1"/>
    <col min="53" max="216" width="12" style="44"/>
    <col min="217" max="16384" width="12" style="43"/>
  </cols>
  <sheetData>
    <row r="1" spans="1:52" ht="409.5" customHeight="1" x14ac:dyDescent="0.35">
      <c r="A1" s="620"/>
      <c r="B1" s="1934"/>
      <c r="C1" s="1934"/>
      <c r="D1" s="1934"/>
      <c r="E1" s="1934"/>
      <c r="F1" s="1934"/>
      <c r="G1" s="1934"/>
      <c r="H1" s="1934"/>
      <c r="I1" s="1934"/>
      <c r="J1" s="1934"/>
      <c r="K1" s="1934"/>
      <c r="L1" s="1934"/>
      <c r="M1" s="1934"/>
      <c r="N1" s="1934"/>
      <c r="O1" s="1934"/>
      <c r="P1" s="1934"/>
      <c r="Q1" s="620"/>
      <c r="R1" s="621"/>
      <c r="S1" s="621"/>
      <c r="T1" s="621"/>
      <c r="U1" s="621"/>
      <c r="V1" s="621"/>
      <c r="W1" s="621"/>
      <c r="X1" s="621"/>
      <c r="Y1" s="621"/>
      <c r="Z1" s="621"/>
      <c r="AA1" s="621"/>
      <c r="AB1" s="621"/>
      <c r="AC1" s="621"/>
      <c r="AD1" s="621"/>
      <c r="AE1" s="621"/>
      <c r="AF1" s="621"/>
      <c r="AG1" s="621"/>
      <c r="AH1" s="621"/>
      <c r="AI1" s="621"/>
      <c r="AJ1" s="621"/>
      <c r="AK1" s="621"/>
      <c r="AL1" s="621"/>
      <c r="AM1" s="621"/>
      <c r="AN1" s="621"/>
      <c r="AO1" s="621"/>
      <c r="AP1" s="621"/>
      <c r="AQ1" s="621"/>
    </row>
    <row r="2" spans="1:52" ht="15" customHeight="1" x14ac:dyDescent="0.35">
      <c r="A2" s="620"/>
      <c r="B2" s="622"/>
      <c r="C2" s="622"/>
      <c r="D2" s="622"/>
      <c r="E2" s="622"/>
      <c r="F2" s="622"/>
      <c r="G2" s="622"/>
      <c r="H2" s="622"/>
      <c r="I2" s="622"/>
      <c r="J2" s="622"/>
      <c r="K2" s="622"/>
      <c r="L2" s="622"/>
      <c r="M2" s="622"/>
      <c r="N2" s="622"/>
      <c r="O2" s="622"/>
      <c r="P2" s="622"/>
      <c r="Q2" s="620"/>
      <c r="R2" s="621"/>
      <c r="S2" s="621"/>
      <c r="T2" s="621"/>
      <c r="U2" s="621"/>
      <c r="V2" s="621"/>
      <c r="W2" s="621"/>
      <c r="X2" s="621"/>
      <c r="Y2" s="621"/>
      <c r="Z2" s="621"/>
      <c r="AA2" s="621"/>
      <c r="AB2" s="621"/>
      <c r="AC2" s="621"/>
      <c r="AD2" s="621"/>
      <c r="AE2" s="621"/>
      <c r="AF2" s="621"/>
      <c r="AG2" s="621"/>
      <c r="AH2" s="621"/>
      <c r="AI2" s="621"/>
      <c r="AJ2" s="621"/>
      <c r="AK2" s="621"/>
      <c r="AL2" s="621"/>
      <c r="AM2" s="621"/>
      <c r="AN2" s="621"/>
      <c r="AO2" s="621"/>
      <c r="AP2" s="621"/>
      <c r="AQ2" s="621"/>
    </row>
    <row r="3" spans="1:52" ht="15" customHeight="1" x14ac:dyDescent="0.35">
      <c r="A3" s="620"/>
      <c r="B3" s="622"/>
      <c r="C3" s="622"/>
      <c r="D3" s="622"/>
      <c r="E3" s="622"/>
      <c r="F3" s="622"/>
      <c r="G3" s="622"/>
      <c r="H3" s="622"/>
      <c r="I3" s="622"/>
      <c r="J3" s="622"/>
      <c r="K3" s="622"/>
      <c r="L3" s="622"/>
      <c r="M3" s="622"/>
      <c r="N3" s="622"/>
      <c r="O3" s="622"/>
      <c r="P3" s="622"/>
      <c r="Q3" s="620"/>
      <c r="R3" s="621"/>
      <c r="S3" s="621"/>
      <c r="T3" s="621"/>
      <c r="U3" s="621"/>
      <c r="V3" s="621"/>
      <c r="W3" s="621"/>
      <c r="X3" s="621"/>
      <c r="Y3" s="621"/>
      <c r="Z3" s="621"/>
      <c r="AA3" s="621"/>
      <c r="AB3" s="621"/>
      <c r="AC3" s="621"/>
      <c r="AD3" s="621"/>
      <c r="AE3" s="621"/>
      <c r="AF3" s="621"/>
      <c r="AG3" s="621"/>
      <c r="AH3" s="621"/>
      <c r="AI3" s="621"/>
      <c r="AJ3" s="621"/>
      <c r="AK3" s="621"/>
      <c r="AL3" s="621"/>
      <c r="AM3" s="621"/>
      <c r="AN3" s="621"/>
      <c r="AO3" s="621"/>
      <c r="AP3" s="621"/>
      <c r="AQ3" s="621"/>
    </row>
    <row r="4" spans="1:52" ht="27" customHeight="1" x14ac:dyDescent="0.6">
      <c r="A4" s="623"/>
      <c r="B4" s="1759" t="s">
        <v>1028</v>
      </c>
      <c r="C4" s="1759"/>
      <c r="D4" s="1759"/>
      <c r="E4" s="1759"/>
      <c r="F4" s="1759"/>
      <c r="G4" s="1759"/>
      <c r="H4" s="1759"/>
      <c r="I4" s="1759"/>
      <c r="J4" s="1759"/>
      <c r="K4" s="1759"/>
      <c r="L4" s="1759"/>
      <c r="M4" s="1759"/>
      <c r="N4" s="1759"/>
      <c r="O4" s="1759"/>
      <c r="P4" s="1759"/>
    </row>
    <row r="5" spans="1:52" ht="15" customHeight="1" x14ac:dyDescent="0.6">
      <c r="A5" s="623"/>
    </row>
    <row r="6" spans="1:52" ht="26" x14ac:dyDescent="0.6">
      <c r="A6" s="512"/>
      <c r="B6" s="1759" t="s">
        <v>1029</v>
      </c>
      <c r="C6" s="1759"/>
      <c r="D6" s="1759"/>
      <c r="E6" s="1759"/>
      <c r="F6" s="1759"/>
      <c r="G6" s="1759"/>
      <c r="H6" s="1759"/>
      <c r="I6" s="1759"/>
      <c r="J6" s="1759"/>
      <c r="K6" s="1759"/>
      <c r="L6" s="1759"/>
      <c r="M6" s="1759"/>
      <c r="N6" s="1759"/>
      <c r="O6" s="1759"/>
      <c r="P6" s="1759"/>
    </row>
    <row r="7" spans="1:52" ht="15" customHeight="1" x14ac:dyDescent="0.6">
      <c r="A7" s="623"/>
    </row>
    <row r="8" spans="1:52" ht="15" customHeight="1" thickBot="1" x14ac:dyDescent="0.65">
      <c r="A8" s="623"/>
    </row>
    <row r="9" spans="1:52" ht="16" thickBot="1" x14ac:dyDescent="0.4">
      <c r="C9" s="1935" t="s">
        <v>1030</v>
      </c>
      <c r="D9" s="1937" t="s">
        <v>960</v>
      </c>
      <c r="E9" s="1938"/>
      <c r="F9" s="1938"/>
      <c r="G9" s="1939"/>
      <c r="H9" s="1940" t="s">
        <v>1031</v>
      </c>
      <c r="I9" s="1938"/>
      <c r="J9" s="1941"/>
      <c r="K9" s="1940" t="s">
        <v>1150</v>
      </c>
      <c r="L9" s="1938"/>
      <c r="M9" s="1938"/>
      <c r="N9" s="1938"/>
      <c r="O9" s="1941"/>
      <c r="AS9" s="1876" t="s">
        <v>1032</v>
      </c>
      <c r="AT9" s="1876"/>
      <c r="AU9" s="599">
        <f>+E38</f>
        <v>20</v>
      </c>
      <c r="AV9" s="1876" t="str">
        <f>+D14</f>
        <v>Maquinaria y Equipo</v>
      </c>
      <c r="AW9" s="1876"/>
      <c r="AX9" s="1876"/>
      <c r="AY9" s="1876"/>
      <c r="AZ9" s="1876"/>
    </row>
    <row r="10" spans="1:52" ht="16" thickBot="1" x14ac:dyDescent="0.4">
      <c r="C10" s="1936"/>
      <c r="D10" s="1924" t="s">
        <v>1033</v>
      </c>
      <c r="E10" s="1925"/>
      <c r="F10" s="1925"/>
      <c r="G10" s="1926"/>
      <c r="H10" s="1927">
        <v>0</v>
      </c>
      <c r="I10" s="1928"/>
      <c r="J10" s="1929"/>
      <c r="K10" s="627">
        <v>1</v>
      </c>
      <c r="L10" s="628">
        <v>2</v>
      </c>
      <c r="M10" s="628">
        <v>3</v>
      </c>
      <c r="N10" s="628">
        <v>4</v>
      </c>
      <c r="O10" s="629">
        <v>5</v>
      </c>
      <c r="AS10" s="608" t="s">
        <v>1034</v>
      </c>
      <c r="AT10" s="599" t="s">
        <v>1035</v>
      </c>
      <c r="AU10" s="599" t="s">
        <v>1034</v>
      </c>
      <c r="AV10" s="599">
        <v>1</v>
      </c>
      <c r="AW10" s="599">
        <v>2</v>
      </c>
      <c r="AX10" s="599">
        <v>3</v>
      </c>
      <c r="AY10" s="599">
        <v>4</v>
      </c>
      <c r="AZ10" s="599">
        <v>5</v>
      </c>
    </row>
    <row r="11" spans="1:52" ht="16" thickBot="1" x14ac:dyDescent="0.4">
      <c r="C11" s="630"/>
      <c r="D11" s="1930" t="s">
        <v>1036</v>
      </c>
      <c r="E11" s="1930"/>
      <c r="F11" s="1930"/>
      <c r="G11" s="1930"/>
      <c r="H11" s="1931">
        <v>0</v>
      </c>
      <c r="I11" s="1932"/>
      <c r="J11" s="1933"/>
      <c r="K11" s="631">
        <v>0.7</v>
      </c>
      <c r="L11" s="632">
        <v>0.7</v>
      </c>
      <c r="M11" s="632">
        <v>0.8</v>
      </c>
      <c r="N11" s="632">
        <v>0.8</v>
      </c>
      <c r="O11" s="633">
        <v>0.8</v>
      </c>
      <c r="AS11" s="634">
        <v>1</v>
      </c>
      <c r="AT11" s="635">
        <f>+H14</f>
        <v>8720000</v>
      </c>
      <c r="AU11" s="509">
        <v>1</v>
      </c>
      <c r="AV11" s="636">
        <f>+AT11/AU9</f>
        <v>436000</v>
      </c>
      <c r="AW11" s="636">
        <f>$AV$11</f>
        <v>436000</v>
      </c>
      <c r="AX11" s="636">
        <f>$AV$11</f>
        <v>436000</v>
      </c>
      <c r="AY11" s="636">
        <f>$AV$11</f>
        <v>436000</v>
      </c>
      <c r="AZ11" s="636">
        <f>$AV$11</f>
        <v>436000</v>
      </c>
    </row>
    <row r="12" spans="1:52" ht="30.75" customHeight="1" thickBot="1" x14ac:dyDescent="0.4">
      <c r="C12" s="637">
        <v>1</v>
      </c>
      <c r="D12" s="1913" t="s">
        <v>1037</v>
      </c>
      <c r="E12" s="1913"/>
      <c r="F12" s="1913"/>
      <c r="G12" s="1913"/>
      <c r="H12" s="1011" t="s">
        <v>1038</v>
      </c>
      <c r="I12" s="1913"/>
      <c r="J12" s="1914"/>
      <c r="K12" s="625">
        <v>1</v>
      </c>
      <c r="L12" s="624">
        <v>2</v>
      </c>
      <c r="M12" s="624">
        <v>3</v>
      </c>
      <c r="N12" s="624">
        <v>4</v>
      </c>
      <c r="O12" s="626">
        <v>5</v>
      </c>
      <c r="AS12" s="634">
        <v>2</v>
      </c>
      <c r="AT12" s="635">
        <f>+L14</f>
        <v>1000000</v>
      </c>
      <c r="AU12" s="509">
        <v>2</v>
      </c>
      <c r="AV12" s="636">
        <v>0</v>
      </c>
      <c r="AW12" s="636">
        <f>+AT12/AU9</f>
        <v>50000</v>
      </c>
      <c r="AX12" s="636">
        <f>$AW$12</f>
        <v>50000</v>
      </c>
      <c r="AY12" s="636">
        <f>$AW$12</f>
        <v>50000</v>
      </c>
      <c r="AZ12" s="636">
        <f>$AW$12</f>
        <v>50000</v>
      </c>
    </row>
    <row r="13" spans="1:52" x14ac:dyDescent="0.35">
      <c r="C13" s="638" t="s">
        <v>1039</v>
      </c>
      <c r="D13" s="1920" t="s">
        <v>1040</v>
      </c>
      <c r="E13" s="1920"/>
      <c r="F13" s="1920"/>
      <c r="G13" s="1920"/>
      <c r="H13" s="1921">
        <v>0</v>
      </c>
      <c r="I13" s="1922"/>
      <c r="J13" s="1923"/>
      <c r="K13" s="645">
        <v>0</v>
      </c>
      <c r="L13" s="646">
        <v>0</v>
      </c>
      <c r="M13" s="646">
        <v>0</v>
      </c>
      <c r="N13" s="647">
        <v>0</v>
      </c>
      <c r="O13" s="648">
        <v>0</v>
      </c>
      <c r="AS13" s="634">
        <v>3</v>
      </c>
      <c r="AT13" s="635">
        <f>+M14</f>
        <v>1500000</v>
      </c>
      <c r="AU13" s="509">
        <v>3</v>
      </c>
      <c r="AV13" s="636">
        <v>0</v>
      </c>
      <c r="AW13" s="636">
        <v>0</v>
      </c>
      <c r="AX13" s="636">
        <f>+AT13/AU9</f>
        <v>75000</v>
      </c>
      <c r="AY13" s="636">
        <f>$AX$13</f>
        <v>75000</v>
      </c>
      <c r="AZ13" s="636">
        <f>$AX$13</f>
        <v>75000</v>
      </c>
    </row>
    <row r="14" spans="1:52" x14ac:dyDescent="0.35">
      <c r="A14" s="639"/>
      <c r="C14" s="640" t="s">
        <v>1041</v>
      </c>
      <c r="D14" s="1903" t="s">
        <v>619</v>
      </c>
      <c r="E14" s="1903"/>
      <c r="F14" s="1903"/>
      <c r="G14" s="1903"/>
      <c r="H14" s="1904">
        <f>'Estudio Técnico'!$U$214</f>
        <v>8720000</v>
      </c>
      <c r="I14" s="1905"/>
      <c r="J14" s="1906"/>
      <c r="K14" s="645">
        <v>0</v>
      </c>
      <c r="L14" s="646">
        <v>1000000</v>
      </c>
      <c r="M14" s="646">
        <v>1500000</v>
      </c>
      <c r="N14" s="647">
        <v>2500000</v>
      </c>
      <c r="O14" s="648"/>
      <c r="AS14" s="634">
        <v>4</v>
      </c>
      <c r="AT14" s="635">
        <f>+N14</f>
        <v>2500000</v>
      </c>
      <c r="AU14" s="509">
        <v>4</v>
      </c>
      <c r="AV14" s="636">
        <v>0</v>
      </c>
      <c r="AW14" s="636">
        <v>0</v>
      </c>
      <c r="AX14" s="636">
        <v>0</v>
      </c>
      <c r="AY14" s="636">
        <f>+AT14/AU9</f>
        <v>125000</v>
      </c>
      <c r="AZ14" s="636">
        <f>$AY$14</f>
        <v>125000</v>
      </c>
    </row>
    <row r="15" spans="1:52" x14ac:dyDescent="0.35">
      <c r="C15" s="640" t="s">
        <v>1042</v>
      </c>
      <c r="D15" s="1903" t="s">
        <v>620</v>
      </c>
      <c r="E15" s="1903"/>
      <c r="F15" s="1903"/>
      <c r="G15" s="1903"/>
      <c r="H15" s="1904">
        <f>'Estudio Técnico'!$U$224</f>
        <v>37640000</v>
      </c>
      <c r="I15" s="1905"/>
      <c r="J15" s="1906"/>
      <c r="K15" s="645">
        <v>0</v>
      </c>
      <c r="L15" s="646">
        <v>300000</v>
      </c>
      <c r="M15" s="646">
        <v>2000000</v>
      </c>
      <c r="N15" s="647">
        <v>1200000</v>
      </c>
      <c r="O15" s="648">
        <v>800000</v>
      </c>
      <c r="AS15" s="634">
        <v>5</v>
      </c>
      <c r="AT15" s="635">
        <f>+O14</f>
        <v>0</v>
      </c>
      <c r="AU15" s="509">
        <v>5</v>
      </c>
      <c r="AV15" s="636">
        <v>0</v>
      </c>
      <c r="AW15" s="636">
        <v>0</v>
      </c>
      <c r="AX15" s="636">
        <v>0</v>
      </c>
      <c r="AY15" s="636">
        <v>0</v>
      </c>
      <c r="AZ15" s="636">
        <f>+AT15/AU9</f>
        <v>0</v>
      </c>
    </row>
    <row r="16" spans="1:52" x14ac:dyDescent="0.35">
      <c r="C16" s="640" t="s">
        <v>1043</v>
      </c>
      <c r="D16" s="1903" t="s">
        <v>621</v>
      </c>
      <c r="E16" s="1903"/>
      <c r="F16" s="1903"/>
      <c r="G16" s="1903"/>
      <c r="H16" s="1904">
        <f>'Estudio Técnico'!$U$236</f>
        <v>26950000</v>
      </c>
      <c r="I16" s="1905"/>
      <c r="J16" s="1906"/>
      <c r="K16" s="645">
        <v>0</v>
      </c>
      <c r="L16" s="646"/>
      <c r="M16" s="646">
        <v>2000000</v>
      </c>
      <c r="N16" s="647">
        <v>2000000</v>
      </c>
      <c r="O16" s="648">
        <v>0</v>
      </c>
      <c r="AS16" s="641"/>
      <c r="AT16" s="497"/>
      <c r="AU16" s="642" t="s">
        <v>654</v>
      </c>
      <c r="AV16" s="643">
        <f>SUM(AV11:AV15)</f>
        <v>436000</v>
      </c>
      <c r="AW16" s="643">
        <f>SUM(AW11:AW15)</f>
        <v>486000</v>
      </c>
      <c r="AX16" s="643">
        <f>SUM(AX11:AX15)</f>
        <v>561000</v>
      </c>
      <c r="AY16" s="643">
        <f>SUM(AY11:AY15)</f>
        <v>686000</v>
      </c>
      <c r="AZ16" s="643">
        <f>SUM(AZ11:AZ15)</f>
        <v>686000</v>
      </c>
    </row>
    <row r="17" spans="3:52" x14ac:dyDescent="0.35">
      <c r="C17" s="640" t="s">
        <v>1044</v>
      </c>
      <c r="D17" s="1903" t="s">
        <v>1045</v>
      </c>
      <c r="E17" s="1903"/>
      <c r="F17" s="1903"/>
      <c r="G17" s="1903"/>
      <c r="H17" s="1904">
        <f>'Estudio Técnico'!$U$241</f>
        <v>3949000</v>
      </c>
      <c r="I17" s="1905"/>
      <c r="J17" s="1906"/>
      <c r="K17" s="645">
        <v>0</v>
      </c>
      <c r="L17" s="646">
        <v>600000</v>
      </c>
      <c r="M17" s="646">
        <v>650000</v>
      </c>
      <c r="N17" s="647">
        <v>650000</v>
      </c>
      <c r="O17" s="648">
        <v>700000</v>
      </c>
    </row>
    <row r="18" spans="3:52" x14ac:dyDescent="0.35">
      <c r="C18" s="640" t="s">
        <v>1046</v>
      </c>
      <c r="D18" s="1903" t="s">
        <v>623</v>
      </c>
      <c r="E18" s="1903"/>
      <c r="F18" s="1903"/>
      <c r="G18" s="1903"/>
      <c r="H18" s="1904">
        <f>'Estudio Técnico'!$U$247</f>
        <v>0</v>
      </c>
      <c r="I18" s="1905"/>
      <c r="J18" s="1906"/>
      <c r="K18" s="645">
        <v>0</v>
      </c>
      <c r="L18" s="646">
        <v>0</v>
      </c>
      <c r="M18" s="646">
        <v>0</v>
      </c>
      <c r="N18" s="647">
        <v>0</v>
      </c>
      <c r="O18" s="648">
        <v>0</v>
      </c>
    </row>
    <row r="19" spans="3:52" ht="16" thickBot="1" x14ac:dyDescent="0.4">
      <c r="C19" s="644" t="s">
        <v>1047</v>
      </c>
      <c r="D19" s="1918" t="s">
        <v>624</v>
      </c>
      <c r="E19" s="1918"/>
      <c r="F19" s="1918"/>
      <c r="G19" s="1918"/>
      <c r="H19" s="1904">
        <f>'Estudio Técnico'!$U$252</f>
        <v>8300000</v>
      </c>
      <c r="I19" s="1905"/>
      <c r="J19" s="1906"/>
      <c r="K19" s="645">
        <v>0</v>
      </c>
      <c r="L19" s="646"/>
      <c r="M19" s="646">
        <v>4500000</v>
      </c>
      <c r="N19" s="647">
        <v>4000000</v>
      </c>
      <c r="O19" s="648"/>
      <c r="T19" s="1919"/>
      <c r="U19" s="1000"/>
      <c r="V19" s="1000"/>
      <c r="W19" s="1000"/>
      <c r="X19" s="1000"/>
      <c r="Y19" s="1000"/>
      <c r="Z19" s="1000"/>
      <c r="AA19" s="1000"/>
      <c r="AB19" s="1000"/>
      <c r="AC19" s="1000"/>
      <c r="AD19" s="1000"/>
      <c r="AE19" s="1000"/>
      <c r="AF19" s="1000"/>
      <c r="AG19" s="1000"/>
      <c r="AH19" s="1000"/>
      <c r="AI19" s="1000"/>
      <c r="AJ19" s="1000"/>
      <c r="AK19" s="1000"/>
      <c r="AL19" s="1000"/>
      <c r="AM19" s="1000"/>
      <c r="AN19" s="1000"/>
      <c r="AO19" s="1000"/>
      <c r="AP19" s="1000"/>
      <c r="AQ19" s="1000"/>
      <c r="AS19" s="1876" t="s">
        <v>1032</v>
      </c>
      <c r="AT19" s="1876"/>
      <c r="AU19" s="599">
        <f>+E39</f>
        <v>5</v>
      </c>
      <c r="AV19" s="1876" t="str">
        <f>+D15</f>
        <v>Equipo de Comunicación y Computación</v>
      </c>
      <c r="AW19" s="1876"/>
      <c r="AX19" s="1876"/>
      <c r="AY19" s="1876"/>
      <c r="AZ19" s="1876"/>
    </row>
    <row r="20" spans="3:52" ht="16" thickBot="1" x14ac:dyDescent="0.4">
      <c r="C20" s="637"/>
      <c r="D20" s="1907" t="s">
        <v>1048</v>
      </c>
      <c r="E20" s="1908"/>
      <c r="F20" s="1908"/>
      <c r="G20" s="1909"/>
      <c r="H20" s="1910">
        <f>SUM(H13:J19)</f>
        <v>85559000</v>
      </c>
      <c r="I20" s="1911"/>
      <c r="J20" s="1912"/>
      <c r="K20" s="649">
        <f>SUM(K13:K19)</f>
        <v>0</v>
      </c>
      <c r="L20" s="649">
        <f>SUM(L13:L19)</f>
        <v>1900000</v>
      </c>
      <c r="M20" s="649">
        <f>SUM(M13:M19)</f>
        <v>10650000</v>
      </c>
      <c r="N20" s="650">
        <f>SUM(N13:N19)</f>
        <v>10350000</v>
      </c>
      <c r="O20" s="650">
        <f>SUM(O13:O19)</f>
        <v>1500000</v>
      </c>
      <c r="AS20" s="608" t="s">
        <v>1034</v>
      </c>
      <c r="AT20" s="599" t="s">
        <v>1035</v>
      </c>
      <c r="AU20" s="599" t="s">
        <v>1034</v>
      </c>
      <c r="AV20" s="599">
        <v>1</v>
      </c>
      <c r="AW20" s="599">
        <v>2</v>
      </c>
      <c r="AX20" s="599">
        <v>3</v>
      </c>
      <c r="AY20" s="599">
        <v>4</v>
      </c>
      <c r="AZ20" s="599">
        <v>5</v>
      </c>
    </row>
    <row r="21" spans="3:52" ht="30.75" customHeight="1" thickBot="1" x14ac:dyDescent="0.4">
      <c r="C21" s="637">
        <v>2</v>
      </c>
      <c r="D21" s="1913" t="s">
        <v>1049</v>
      </c>
      <c r="E21" s="1913"/>
      <c r="F21" s="1913"/>
      <c r="G21" s="1913"/>
      <c r="H21" s="1011" t="s">
        <v>1038</v>
      </c>
      <c r="I21" s="1913"/>
      <c r="J21" s="1914"/>
      <c r="K21" s="625">
        <v>1</v>
      </c>
      <c r="L21" s="624">
        <v>2</v>
      </c>
      <c r="M21" s="624">
        <v>3</v>
      </c>
      <c r="N21" s="624">
        <v>4</v>
      </c>
      <c r="O21" s="626">
        <v>5</v>
      </c>
      <c r="AS21" s="634">
        <v>1</v>
      </c>
      <c r="AT21" s="635">
        <f>+H15</f>
        <v>37640000</v>
      </c>
      <c r="AU21" s="509">
        <v>1</v>
      </c>
      <c r="AV21" s="636">
        <f>+AT21/AU19</f>
        <v>7528000</v>
      </c>
      <c r="AW21" s="636">
        <f>$AV$21</f>
        <v>7528000</v>
      </c>
      <c r="AX21" s="636">
        <f>$AV$21</f>
        <v>7528000</v>
      </c>
      <c r="AY21" s="636">
        <f>$AV$21</f>
        <v>7528000</v>
      </c>
      <c r="AZ21" s="636">
        <f>$AV$21</f>
        <v>7528000</v>
      </c>
    </row>
    <row r="22" spans="3:52" ht="15.75" customHeight="1" thickBot="1" x14ac:dyDescent="0.4">
      <c r="C22" s="640" t="s">
        <v>1050</v>
      </c>
      <c r="D22" s="1903" t="s">
        <v>1051</v>
      </c>
      <c r="E22" s="1903"/>
      <c r="F22" s="1903"/>
      <c r="G22" s="1903"/>
      <c r="H22" s="1904">
        <f>'Estudio Técnico'!$U$258</f>
        <v>4650000</v>
      </c>
      <c r="I22" s="1905"/>
      <c r="J22" s="1906"/>
      <c r="K22" s="645">
        <v>0</v>
      </c>
      <c r="L22" s="646">
        <v>5000000</v>
      </c>
      <c r="M22" s="646">
        <v>0</v>
      </c>
      <c r="N22" s="647">
        <v>0</v>
      </c>
      <c r="O22" s="648">
        <v>0</v>
      </c>
      <c r="AS22" s="634">
        <v>2</v>
      </c>
      <c r="AT22" s="635">
        <f>+L15</f>
        <v>300000</v>
      </c>
      <c r="AU22" s="509">
        <v>2</v>
      </c>
      <c r="AV22" s="636">
        <v>0</v>
      </c>
      <c r="AW22" s="636">
        <f>+AT22/AU19</f>
        <v>60000</v>
      </c>
      <c r="AX22" s="636">
        <f>$AW$22</f>
        <v>60000</v>
      </c>
      <c r="AY22" s="636">
        <f>$AW$22</f>
        <v>60000</v>
      </c>
      <c r="AZ22" s="636">
        <f>$AW$22</f>
        <v>60000</v>
      </c>
    </row>
    <row r="23" spans="3:52" ht="16" thickBot="1" x14ac:dyDescent="0.4">
      <c r="C23" s="637"/>
      <c r="D23" s="1907" t="s">
        <v>1048</v>
      </c>
      <c r="E23" s="1908"/>
      <c r="F23" s="1908"/>
      <c r="G23" s="1909"/>
      <c r="H23" s="1910">
        <f>+H22</f>
        <v>4650000</v>
      </c>
      <c r="I23" s="1911"/>
      <c r="J23" s="1912"/>
      <c r="K23" s="649">
        <f>SUM(K22)</f>
        <v>0</v>
      </c>
      <c r="L23" s="649">
        <f>SUM(L22)</f>
        <v>5000000</v>
      </c>
      <c r="M23" s="649">
        <f>SUM(M22)</f>
        <v>0</v>
      </c>
      <c r="N23" s="650">
        <f>SUM(N22)</f>
        <v>0</v>
      </c>
      <c r="O23" s="650">
        <f>SUM(O22)</f>
        <v>0</v>
      </c>
      <c r="AS23" s="634">
        <v>3</v>
      </c>
      <c r="AT23" s="635">
        <f>+M15</f>
        <v>2000000</v>
      </c>
      <c r="AU23" s="509">
        <v>3</v>
      </c>
      <c r="AV23" s="636">
        <v>0</v>
      </c>
      <c r="AW23" s="636">
        <v>0</v>
      </c>
      <c r="AX23" s="636">
        <f>+AT23/AU19</f>
        <v>400000</v>
      </c>
      <c r="AY23" s="636">
        <f>$AX$23</f>
        <v>400000</v>
      </c>
      <c r="AZ23" s="636">
        <f>$AX$23</f>
        <v>400000</v>
      </c>
    </row>
    <row r="24" spans="3:52" ht="30.75" customHeight="1" thickBot="1" x14ac:dyDescent="0.4">
      <c r="C24" s="637">
        <v>3</v>
      </c>
      <c r="D24" s="1913" t="s">
        <v>1052</v>
      </c>
      <c r="E24" s="1913"/>
      <c r="F24" s="1913"/>
      <c r="G24" s="1913"/>
      <c r="H24" s="1011" t="s">
        <v>1038</v>
      </c>
      <c r="I24" s="1913"/>
      <c r="J24" s="1914"/>
      <c r="K24" s="625">
        <v>1</v>
      </c>
      <c r="L24" s="624">
        <v>2</v>
      </c>
      <c r="M24" s="624">
        <v>3</v>
      </c>
      <c r="N24" s="624">
        <v>4</v>
      </c>
      <c r="O24" s="626">
        <v>5</v>
      </c>
      <c r="AS24" s="634">
        <v>4</v>
      </c>
      <c r="AT24" s="635">
        <f>+N15</f>
        <v>1200000</v>
      </c>
      <c r="AU24" s="509">
        <v>4</v>
      </c>
      <c r="AV24" s="636">
        <v>0</v>
      </c>
      <c r="AW24" s="636">
        <v>0</v>
      </c>
      <c r="AX24" s="636">
        <v>0</v>
      </c>
      <c r="AY24" s="636">
        <f>+AT24/AU19</f>
        <v>240000</v>
      </c>
      <c r="AZ24" s="636">
        <f>$AY$24</f>
        <v>240000</v>
      </c>
    </row>
    <row r="25" spans="3:52" x14ac:dyDescent="0.35">
      <c r="C25" s="640" t="s">
        <v>1053</v>
      </c>
      <c r="D25" s="1903" t="s">
        <v>1054</v>
      </c>
      <c r="E25" s="1903"/>
      <c r="F25" s="1903"/>
      <c r="G25" s="1903"/>
      <c r="H25" s="1915">
        <f>('Estudio Técnico'!$J$503/12)*'Est. Viabilidad Financiera'!G30</f>
        <v>112349281.85217391</v>
      </c>
      <c r="I25" s="1916"/>
      <c r="J25" s="1917"/>
      <c r="K25" s="645">
        <v>0</v>
      </c>
      <c r="L25" s="646">
        <v>0</v>
      </c>
      <c r="M25" s="646">
        <f>'Estudio Técnico'!K326/6</f>
        <v>43357567.962849438</v>
      </c>
      <c r="N25" s="647">
        <v>0</v>
      </c>
      <c r="O25" s="648">
        <v>0</v>
      </c>
      <c r="AS25" s="634">
        <v>5</v>
      </c>
      <c r="AT25" s="635">
        <f>+O15</f>
        <v>800000</v>
      </c>
      <c r="AU25" s="509">
        <v>5</v>
      </c>
      <c r="AV25" s="636">
        <v>0</v>
      </c>
      <c r="AW25" s="636">
        <v>0</v>
      </c>
      <c r="AX25" s="636">
        <v>0</v>
      </c>
      <c r="AY25" s="636">
        <v>0</v>
      </c>
      <c r="AZ25" s="636">
        <f>+AT25/AU19</f>
        <v>160000</v>
      </c>
    </row>
    <row r="26" spans="3:52" x14ac:dyDescent="0.35">
      <c r="C26" s="640" t="s">
        <v>1055</v>
      </c>
      <c r="D26" s="1903" t="s">
        <v>1056</v>
      </c>
      <c r="E26" s="1903"/>
      <c r="F26" s="1903"/>
      <c r="G26" s="1903"/>
      <c r="H26" s="1904">
        <f>(('Est. Organizacional y Legal'!F330+'Est. Organizacional y Legal'!F331)/12)*'Est. Viabilidad Financiera'!G30</f>
        <v>46507304</v>
      </c>
      <c r="I26" s="1905"/>
      <c r="J26" s="1906"/>
      <c r="K26" s="645">
        <v>0</v>
      </c>
      <c r="L26" s="646">
        <v>0</v>
      </c>
      <c r="M26" s="646">
        <v>0</v>
      </c>
      <c r="N26" s="647">
        <v>0</v>
      </c>
      <c r="O26" s="648">
        <v>0</v>
      </c>
      <c r="AS26" s="641"/>
      <c r="AT26" s="497"/>
      <c r="AU26" s="642" t="s">
        <v>654</v>
      </c>
      <c r="AV26" s="643">
        <f>SUM(AV21:AV25)</f>
        <v>7528000</v>
      </c>
      <c r="AW26" s="643">
        <f>SUM(AW21:AW25)</f>
        <v>7588000</v>
      </c>
      <c r="AX26" s="643">
        <f>SUM(AX21:AX25)</f>
        <v>7988000</v>
      </c>
      <c r="AY26" s="643">
        <f>SUM(AY21:AY25)</f>
        <v>8228000</v>
      </c>
      <c r="AZ26" s="643">
        <f>SUM(AZ21:AZ25)</f>
        <v>8388000</v>
      </c>
    </row>
    <row r="27" spans="3:52" ht="16" thickBot="1" x14ac:dyDescent="0.4">
      <c r="C27" s="640" t="s">
        <v>1057</v>
      </c>
      <c r="D27" s="1903" t="s">
        <v>963</v>
      </c>
      <c r="E27" s="1903"/>
      <c r="F27" s="1903"/>
      <c r="G27" s="1903"/>
      <c r="H27" s="1904">
        <f>('Est. Organizacional y Legal'!F332/12)*'Est. Viabilidad Financiera'!G30</f>
        <v>20966262.25</v>
      </c>
      <c r="I27" s="1905"/>
      <c r="J27" s="1906"/>
      <c r="K27" s="645">
        <v>0</v>
      </c>
      <c r="L27" s="646">
        <v>0</v>
      </c>
      <c r="M27" s="646">
        <v>6000000</v>
      </c>
      <c r="N27" s="647">
        <v>0</v>
      </c>
      <c r="O27" s="648">
        <v>0</v>
      </c>
      <c r="P27" s="724"/>
    </row>
    <row r="28" spans="3:52" ht="16" thickBot="1" x14ac:dyDescent="0.4">
      <c r="C28" s="637"/>
      <c r="D28" s="1907" t="s">
        <v>1048</v>
      </c>
      <c r="E28" s="1908"/>
      <c r="F28" s="1908"/>
      <c r="G28" s="1909"/>
      <c r="H28" s="1910">
        <f>SUM(H25:J27)</f>
        <v>179822848.10217392</v>
      </c>
      <c r="I28" s="1911"/>
      <c r="J28" s="1912"/>
      <c r="K28" s="649">
        <f>SUM(K25:K27)</f>
        <v>0</v>
      </c>
      <c r="L28" s="649">
        <f>SUM(L25:L27)</f>
        <v>0</v>
      </c>
      <c r="M28" s="649">
        <f>SUM(M25:M27)</f>
        <v>49357567.962849438</v>
      </c>
      <c r="N28" s="650">
        <f>SUM(N25:N27)</f>
        <v>0</v>
      </c>
      <c r="O28" s="651">
        <f>SUM(O25:O27)</f>
        <v>0</v>
      </c>
      <c r="AS28" s="1876" t="s">
        <v>1032</v>
      </c>
      <c r="AT28" s="1876"/>
      <c r="AU28" s="599">
        <f>+E40</f>
        <v>10</v>
      </c>
      <c r="AV28" s="1876" t="str">
        <f>+D16</f>
        <v>Muebles y Enseres</v>
      </c>
      <c r="AW28" s="1876"/>
      <c r="AX28" s="1876"/>
      <c r="AY28" s="1876"/>
      <c r="AZ28" s="1876"/>
    </row>
    <row r="29" spans="3:52" ht="16" thickBot="1" x14ac:dyDescent="0.4">
      <c r="C29" s="652"/>
      <c r="D29" s="1893"/>
      <c r="E29" s="1893"/>
      <c r="F29" s="1893"/>
      <c r="G29" s="1893"/>
      <c r="H29" s="1864"/>
      <c r="I29" s="1864"/>
      <c r="J29" s="1864"/>
      <c r="AS29" s="608"/>
      <c r="AT29" s="599"/>
      <c r="AU29" s="599"/>
      <c r="AV29" s="599"/>
      <c r="AW29" s="599"/>
      <c r="AX29" s="599"/>
      <c r="AY29" s="599"/>
      <c r="AZ29" s="599"/>
    </row>
    <row r="30" spans="3:52" ht="16" thickBot="1" x14ac:dyDescent="0.4">
      <c r="C30" s="652"/>
      <c r="D30" s="1900" t="s">
        <v>1058</v>
      </c>
      <c r="E30" s="1901"/>
      <c r="F30" s="1902"/>
      <c r="G30" s="653">
        <v>2</v>
      </c>
      <c r="H30" s="1864"/>
      <c r="I30" s="1864"/>
      <c r="J30" s="1864"/>
      <c r="AS30" s="608"/>
      <c r="AT30" s="599"/>
      <c r="AU30" s="599"/>
      <c r="AV30" s="599"/>
      <c r="AW30" s="599"/>
      <c r="AX30" s="599"/>
      <c r="AY30" s="599"/>
      <c r="AZ30" s="599"/>
    </row>
    <row r="31" spans="3:52" ht="16" thickBot="1" x14ac:dyDescent="0.4">
      <c r="C31" s="652"/>
      <c r="D31" s="1893"/>
      <c r="E31" s="1893"/>
      <c r="F31" s="1893"/>
      <c r="G31" s="1893"/>
      <c r="H31" s="1864"/>
      <c r="I31" s="1864"/>
      <c r="J31" s="1864"/>
      <c r="AS31" s="608" t="s">
        <v>1034</v>
      </c>
      <c r="AT31" s="599" t="s">
        <v>1035</v>
      </c>
      <c r="AU31" s="599" t="s">
        <v>1034</v>
      </c>
      <c r="AV31" s="599">
        <v>1</v>
      </c>
      <c r="AW31" s="599">
        <v>2</v>
      </c>
      <c r="AX31" s="599">
        <v>3</v>
      </c>
      <c r="AY31" s="599">
        <v>4</v>
      </c>
      <c r="AZ31" s="599">
        <v>5</v>
      </c>
    </row>
    <row r="32" spans="3:52" ht="30" customHeight="1" thickBot="1" x14ac:dyDescent="0.4">
      <c r="C32" s="637"/>
      <c r="D32" s="830" t="s">
        <v>1059</v>
      </c>
      <c r="E32" s="830"/>
      <c r="F32" s="830"/>
      <c r="G32" s="830"/>
      <c r="H32" s="1894">
        <f>+H20+H23+H28</f>
        <v>270031848.10217392</v>
      </c>
      <c r="I32" s="1895"/>
      <c r="J32" s="1896"/>
      <c r="K32" s="654">
        <f>+K20+K23+K28</f>
        <v>0</v>
      </c>
      <c r="L32" s="654">
        <f>+L20+L23+L28</f>
        <v>6900000</v>
      </c>
      <c r="M32" s="654">
        <f>+M20+M23+M28</f>
        <v>60007567.962849438</v>
      </c>
      <c r="N32" s="655">
        <f>+N20+N23+N28</f>
        <v>10350000</v>
      </c>
      <c r="O32" s="655">
        <f>+O20+O23+O28</f>
        <v>1500000</v>
      </c>
      <c r="AS32" s="634">
        <v>1</v>
      </c>
      <c r="AT32" s="635">
        <f>+H16</f>
        <v>26950000</v>
      </c>
      <c r="AU32" s="509">
        <v>1</v>
      </c>
      <c r="AV32" s="636">
        <f>+AT32/AU28</f>
        <v>2695000</v>
      </c>
      <c r="AW32" s="636">
        <f>$AV$32</f>
        <v>2695000</v>
      </c>
      <c r="AX32" s="636">
        <f>$AV$32</f>
        <v>2695000</v>
      </c>
      <c r="AY32" s="636">
        <f>$AV$32</f>
        <v>2695000</v>
      </c>
      <c r="AZ32" s="636">
        <f>$AV$32</f>
        <v>2695000</v>
      </c>
    </row>
    <row r="33" spans="1:52" ht="15" customHeight="1" x14ac:dyDescent="0.6">
      <c r="A33" s="623"/>
      <c r="AS33" s="44">
        <v>2</v>
      </c>
      <c r="AT33" s="44">
        <f>+L16</f>
        <v>0</v>
      </c>
      <c r="AU33" s="44">
        <v>2</v>
      </c>
      <c r="AV33" s="44">
        <v>0</v>
      </c>
      <c r="AW33" s="44">
        <f>+AT33/AU28</f>
        <v>0</v>
      </c>
      <c r="AX33" s="44">
        <f>$AW$33</f>
        <v>0</v>
      </c>
      <c r="AY33" s="44">
        <f>$AW$33</f>
        <v>0</v>
      </c>
      <c r="AZ33" s="44">
        <f>$AW$33</f>
        <v>0</v>
      </c>
    </row>
    <row r="34" spans="1:52" ht="15" customHeight="1" x14ac:dyDescent="0.6">
      <c r="A34" s="623"/>
      <c r="AS34" s="44">
        <v>3</v>
      </c>
      <c r="AT34" s="44">
        <f>+M16</f>
        <v>2000000</v>
      </c>
      <c r="AU34" s="44">
        <v>3</v>
      </c>
      <c r="AV34" s="44">
        <v>0</v>
      </c>
      <c r="AW34" s="44">
        <v>0</v>
      </c>
      <c r="AX34" s="44">
        <f>+AT34/AU28</f>
        <v>200000</v>
      </c>
      <c r="AY34" s="44">
        <f>$AX$34</f>
        <v>200000</v>
      </c>
      <c r="AZ34" s="44">
        <f>$AX$34</f>
        <v>200000</v>
      </c>
    </row>
    <row r="35" spans="1:52" ht="27" customHeight="1" x14ac:dyDescent="0.6">
      <c r="A35" s="623"/>
      <c r="B35" s="1759" t="s">
        <v>1060</v>
      </c>
      <c r="C35" s="1759"/>
      <c r="D35" s="1759"/>
      <c r="E35" s="1759"/>
      <c r="F35" s="1759"/>
      <c r="G35" s="1759"/>
      <c r="H35" s="1759"/>
      <c r="I35" s="1759"/>
      <c r="J35" s="1759"/>
      <c r="K35" s="1759"/>
      <c r="L35" s="1759"/>
      <c r="M35" s="1759"/>
      <c r="N35" s="1759"/>
      <c r="O35" s="1759"/>
      <c r="P35" s="1759"/>
      <c r="AS35" s="44">
        <v>4</v>
      </c>
      <c r="AT35" s="44">
        <f>+N16</f>
        <v>2000000</v>
      </c>
      <c r="AU35" s="44">
        <v>4</v>
      </c>
      <c r="AV35" s="44">
        <v>0</v>
      </c>
      <c r="AW35" s="44">
        <v>0</v>
      </c>
      <c r="AX35" s="44">
        <v>0</v>
      </c>
      <c r="AY35" s="44">
        <f>+AT35/AU28</f>
        <v>200000</v>
      </c>
      <c r="AZ35" s="44">
        <f>$AY$35</f>
        <v>200000</v>
      </c>
    </row>
    <row r="36" spans="1:52" ht="16" thickBot="1" x14ac:dyDescent="0.4">
      <c r="AS36" s="634">
        <v>5</v>
      </c>
      <c r="AT36" s="635">
        <f>+O16</f>
        <v>0</v>
      </c>
      <c r="AU36" s="509">
        <v>5</v>
      </c>
      <c r="AV36" s="636">
        <v>0</v>
      </c>
      <c r="AW36" s="636">
        <v>0</v>
      </c>
      <c r="AX36" s="636">
        <v>0</v>
      </c>
      <c r="AY36" s="636">
        <v>0</v>
      </c>
      <c r="AZ36" s="636">
        <f>+AT36/AU28</f>
        <v>0</v>
      </c>
    </row>
    <row r="37" spans="1:52" x14ac:dyDescent="0.35">
      <c r="B37" s="1897" t="s">
        <v>1061</v>
      </c>
      <c r="C37" s="1898"/>
      <c r="D37" s="1898"/>
      <c r="E37" s="1898" t="s">
        <v>1062</v>
      </c>
      <c r="F37" s="1899"/>
      <c r="G37" s="656"/>
      <c r="K37" s="656"/>
      <c r="L37" s="656"/>
      <c r="M37" s="656"/>
      <c r="N37" s="657"/>
      <c r="AS37" s="641"/>
      <c r="AT37" s="497"/>
      <c r="AU37" s="642" t="s">
        <v>654</v>
      </c>
      <c r="AV37" s="643">
        <f>SUM(AV32:AV36)</f>
        <v>2695000</v>
      </c>
      <c r="AW37" s="643">
        <f>SUM(AW32:AW36)</f>
        <v>2695000</v>
      </c>
      <c r="AX37" s="643">
        <f>SUM(AX32:AX36)</f>
        <v>2895000</v>
      </c>
      <c r="AY37" s="643">
        <f>SUM(AY32:AY36)</f>
        <v>3095000</v>
      </c>
      <c r="AZ37" s="643">
        <f>SUM(AZ32:AZ36)</f>
        <v>3095000</v>
      </c>
    </row>
    <row r="38" spans="1:52" x14ac:dyDescent="0.35">
      <c r="B38" s="1887" t="str">
        <f t="shared" ref="B38:B43" si="0">+D14</f>
        <v>Maquinaria y Equipo</v>
      </c>
      <c r="C38" s="1888"/>
      <c r="D38" s="1888"/>
      <c r="E38" s="1889">
        <v>20</v>
      </c>
      <c r="F38" s="1890"/>
      <c r="G38" s="656"/>
      <c r="K38" s="656"/>
      <c r="L38" s="656"/>
      <c r="M38" s="656"/>
      <c r="N38" s="657"/>
    </row>
    <row r="39" spans="1:52" x14ac:dyDescent="0.35">
      <c r="B39" s="1887" t="str">
        <f t="shared" si="0"/>
        <v>Equipo de Comunicación y Computación</v>
      </c>
      <c r="C39" s="1888"/>
      <c r="D39" s="1888"/>
      <c r="E39" s="1889">
        <v>5</v>
      </c>
      <c r="F39" s="1890"/>
      <c r="G39" s="656"/>
      <c r="K39" s="656"/>
      <c r="L39" s="656"/>
      <c r="M39" s="656"/>
      <c r="N39" s="657"/>
      <c r="AS39" s="1876" t="s">
        <v>1032</v>
      </c>
      <c r="AT39" s="1876"/>
      <c r="AU39" s="599">
        <f>+E41</f>
        <v>3</v>
      </c>
      <c r="AV39" s="1876" t="str">
        <f>+D17</f>
        <v>Herramientas - otros</v>
      </c>
      <c r="AW39" s="1876"/>
      <c r="AX39" s="1876"/>
      <c r="AY39" s="1876"/>
      <c r="AZ39" s="1876"/>
    </row>
    <row r="40" spans="1:52" x14ac:dyDescent="0.35">
      <c r="B40" s="1887" t="str">
        <f t="shared" si="0"/>
        <v>Muebles y Enseres</v>
      </c>
      <c r="C40" s="1888"/>
      <c r="D40" s="1888"/>
      <c r="E40" s="1889">
        <v>10</v>
      </c>
      <c r="F40" s="1890"/>
      <c r="G40" s="656"/>
      <c r="H40" s="656"/>
      <c r="I40" s="656"/>
      <c r="J40" s="656"/>
      <c r="K40" s="656"/>
      <c r="L40" s="656"/>
      <c r="M40" s="656"/>
      <c r="N40" s="657"/>
      <c r="AS40" s="608" t="s">
        <v>1034</v>
      </c>
      <c r="AT40" s="599" t="s">
        <v>1035</v>
      </c>
      <c r="AU40" s="599" t="s">
        <v>1034</v>
      </c>
      <c r="AV40" s="599">
        <v>1</v>
      </c>
      <c r="AW40" s="599">
        <v>2</v>
      </c>
      <c r="AX40" s="599">
        <v>3</v>
      </c>
      <c r="AY40" s="599">
        <v>4</v>
      </c>
      <c r="AZ40" s="599">
        <v>5</v>
      </c>
    </row>
    <row r="41" spans="1:52" x14ac:dyDescent="0.35">
      <c r="B41" s="1887" t="str">
        <f t="shared" si="0"/>
        <v>Herramientas - otros</v>
      </c>
      <c r="C41" s="1888"/>
      <c r="D41" s="1888"/>
      <c r="E41" s="1889">
        <v>3</v>
      </c>
      <c r="F41" s="1890"/>
      <c r="G41" s="656"/>
      <c r="H41" s="656"/>
      <c r="I41" s="656"/>
      <c r="J41" s="656"/>
      <c r="K41" s="656"/>
      <c r="L41" s="656"/>
      <c r="M41" s="656"/>
      <c r="N41" s="657"/>
      <c r="AS41" s="634">
        <v>1</v>
      </c>
      <c r="AT41" s="635">
        <f>+H17</f>
        <v>3949000</v>
      </c>
      <c r="AU41" s="509">
        <v>1</v>
      </c>
      <c r="AV41" s="636">
        <f>+AT41/AU39</f>
        <v>1316333.3333333333</v>
      </c>
      <c r="AW41" s="636">
        <f>$AV$41</f>
        <v>1316333.3333333333</v>
      </c>
      <c r="AX41" s="636">
        <f>$AV$41</f>
        <v>1316333.3333333333</v>
      </c>
      <c r="AY41" s="636">
        <v>0</v>
      </c>
      <c r="AZ41" s="636">
        <v>0</v>
      </c>
    </row>
    <row r="42" spans="1:52" x14ac:dyDescent="0.35">
      <c r="B42" s="1887" t="str">
        <f t="shared" si="0"/>
        <v xml:space="preserve">Semovientes - Cultivos </v>
      </c>
      <c r="C42" s="1888"/>
      <c r="D42" s="1888"/>
      <c r="E42" s="1891">
        <v>1</v>
      </c>
      <c r="F42" s="1892"/>
      <c r="G42" s="656"/>
      <c r="H42" s="656"/>
      <c r="I42" s="656"/>
      <c r="J42" s="656"/>
      <c r="K42" s="656"/>
      <c r="L42" s="656"/>
      <c r="M42" s="656"/>
      <c r="N42" s="657"/>
      <c r="AS42" s="634">
        <v>2</v>
      </c>
      <c r="AT42" s="635">
        <f>+L17</f>
        <v>600000</v>
      </c>
      <c r="AU42" s="509">
        <v>2</v>
      </c>
      <c r="AV42" s="636">
        <v>0</v>
      </c>
      <c r="AW42" s="636">
        <f>+AT42/AU39</f>
        <v>200000</v>
      </c>
      <c r="AX42" s="636">
        <f>$AW$42</f>
        <v>200000</v>
      </c>
      <c r="AY42" s="636">
        <f>$AW$42</f>
        <v>200000</v>
      </c>
      <c r="AZ42" s="636">
        <v>0</v>
      </c>
    </row>
    <row r="43" spans="1:52" ht="16" thickBot="1" x14ac:dyDescent="0.4">
      <c r="B43" s="1881" t="str">
        <f t="shared" si="0"/>
        <v>Infraestructura y Adecuaciones</v>
      </c>
      <c r="C43" s="1882"/>
      <c r="D43" s="1882"/>
      <c r="E43" s="1883">
        <v>10</v>
      </c>
      <c r="F43" s="1884"/>
      <c r="G43" s="656"/>
      <c r="H43" s="656"/>
      <c r="I43" s="656"/>
      <c r="J43" s="656"/>
      <c r="K43" s="656"/>
      <c r="L43" s="656"/>
      <c r="M43" s="656"/>
      <c r="N43" s="657"/>
      <c r="AS43" s="634">
        <v>3</v>
      </c>
      <c r="AT43" s="635">
        <f>+M17</f>
        <v>650000</v>
      </c>
      <c r="AU43" s="509">
        <v>3</v>
      </c>
      <c r="AV43" s="636">
        <v>0</v>
      </c>
      <c r="AW43" s="636">
        <v>0</v>
      </c>
      <c r="AX43" s="636">
        <f>+AT43/AU39</f>
        <v>216666.66666666666</v>
      </c>
      <c r="AY43" s="636">
        <f>$AX$43</f>
        <v>216666.66666666666</v>
      </c>
      <c r="AZ43" s="636">
        <f>$AX$43</f>
        <v>216666.66666666666</v>
      </c>
    </row>
    <row r="44" spans="1:52" ht="15" customHeight="1" thickBot="1" x14ac:dyDescent="0.65">
      <c r="A44" s="623"/>
      <c r="AS44" s="44">
        <v>4</v>
      </c>
      <c r="AT44" s="44">
        <f>+N17</f>
        <v>650000</v>
      </c>
      <c r="AU44" s="44">
        <v>4</v>
      </c>
      <c r="AV44" s="44">
        <v>0</v>
      </c>
      <c r="AW44" s="44">
        <v>0</v>
      </c>
      <c r="AX44" s="44">
        <v>0</v>
      </c>
      <c r="AY44" s="44">
        <f>+AT44/AU39</f>
        <v>216666.66666666666</v>
      </c>
      <c r="AZ44" s="44">
        <f>$AY$44</f>
        <v>216666.66666666666</v>
      </c>
    </row>
    <row r="45" spans="1:52" ht="62.25" customHeight="1" x14ac:dyDescent="0.35">
      <c r="B45" s="1885" t="s">
        <v>1063</v>
      </c>
      <c r="C45" s="1886"/>
      <c r="D45" s="1886"/>
      <c r="E45" s="659" t="s">
        <v>1064</v>
      </c>
      <c r="F45" s="659" t="s">
        <v>1065</v>
      </c>
      <c r="G45" s="659" t="s">
        <v>631</v>
      </c>
      <c r="H45" s="659" t="s">
        <v>632</v>
      </c>
      <c r="I45" s="659" t="s">
        <v>633</v>
      </c>
      <c r="J45" s="659" t="s">
        <v>634</v>
      </c>
      <c r="K45" s="659" t="s">
        <v>635</v>
      </c>
      <c r="L45" s="658" t="s">
        <v>1066</v>
      </c>
      <c r="M45" s="660" t="s">
        <v>1067</v>
      </c>
      <c r="N45" s="657"/>
      <c r="AS45" s="634">
        <v>5</v>
      </c>
      <c r="AT45" s="635">
        <f>+O17</f>
        <v>700000</v>
      </c>
      <c r="AU45" s="509">
        <v>5</v>
      </c>
      <c r="AV45" s="636">
        <v>0</v>
      </c>
      <c r="AW45" s="636">
        <v>0</v>
      </c>
      <c r="AX45" s="636">
        <v>0</v>
      </c>
      <c r="AY45" s="636">
        <v>0</v>
      </c>
      <c r="AZ45" s="636">
        <f>+AT45/AU39</f>
        <v>233333.33333333334</v>
      </c>
    </row>
    <row r="46" spans="1:52" x14ac:dyDescent="0.35">
      <c r="B46" s="1877" t="str">
        <f t="shared" ref="B46:B51" si="1">+B38</f>
        <v>Maquinaria y Equipo</v>
      </c>
      <c r="C46" s="1878"/>
      <c r="D46" s="1878"/>
      <c r="E46" s="661">
        <f t="shared" ref="E46:E51" si="2">+H14</f>
        <v>8720000</v>
      </c>
      <c r="F46" s="661">
        <f t="shared" ref="F46:F51" si="3">SUM(K14:O14)</f>
        <v>5000000</v>
      </c>
      <c r="G46" s="661">
        <f>+AV11</f>
        <v>436000</v>
      </c>
      <c r="H46" s="661">
        <f>+AW11</f>
        <v>436000</v>
      </c>
      <c r="I46" s="661">
        <f>+AX11</f>
        <v>436000</v>
      </c>
      <c r="J46" s="661">
        <f>+AY11</f>
        <v>436000</v>
      </c>
      <c r="K46" s="661">
        <f>+AZ11</f>
        <v>436000</v>
      </c>
      <c r="L46" s="661">
        <f t="shared" ref="L46:L51" si="4">SUM(G46:K46)</f>
        <v>2180000</v>
      </c>
      <c r="M46" s="662">
        <f t="shared" ref="M46:M50" si="5">+(E46+F46)-L46</f>
        <v>11540000</v>
      </c>
      <c r="N46" s="657"/>
      <c r="AS46" s="641"/>
      <c r="AT46" s="497"/>
      <c r="AU46" s="642" t="s">
        <v>654</v>
      </c>
      <c r="AV46" s="643">
        <f>SUM(AV41:AV45)</f>
        <v>1316333.3333333333</v>
      </c>
      <c r="AW46" s="643">
        <f>SUM(AW41:AW45)</f>
        <v>1516333.3333333333</v>
      </c>
      <c r="AX46" s="643">
        <f>SUM(AX41:AX45)</f>
        <v>1733000</v>
      </c>
      <c r="AY46" s="643">
        <f>SUM(AY41:AY45)</f>
        <v>633333.33333333326</v>
      </c>
      <c r="AZ46" s="643">
        <f>SUM(AZ41:AZ45)</f>
        <v>666666.66666666663</v>
      </c>
    </row>
    <row r="47" spans="1:52" x14ac:dyDescent="0.35">
      <c r="B47" s="1877" t="str">
        <f t="shared" si="1"/>
        <v>Equipo de Comunicación y Computación</v>
      </c>
      <c r="C47" s="1878"/>
      <c r="D47" s="1878"/>
      <c r="E47" s="661">
        <f t="shared" si="2"/>
        <v>37640000</v>
      </c>
      <c r="F47" s="661">
        <f t="shared" si="3"/>
        <v>4300000</v>
      </c>
      <c r="G47" s="661">
        <f>+AV26</f>
        <v>7528000</v>
      </c>
      <c r="H47" s="661">
        <f>+AW26</f>
        <v>7588000</v>
      </c>
      <c r="I47" s="661">
        <f>+AX26</f>
        <v>7988000</v>
      </c>
      <c r="J47" s="661">
        <f>+AY26</f>
        <v>8228000</v>
      </c>
      <c r="K47" s="661">
        <f>+AZ26</f>
        <v>8388000</v>
      </c>
      <c r="L47" s="661">
        <f t="shared" si="4"/>
        <v>39720000</v>
      </c>
      <c r="M47" s="662">
        <f t="shared" si="5"/>
        <v>2220000</v>
      </c>
      <c r="N47" s="657"/>
    </row>
    <row r="48" spans="1:52" ht="15.75" customHeight="1" x14ac:dyDescent="0.35">
      <c r="B48" s="1877" t="str">
        <f t="shared" si="1"/>
        <v>Muebles y Enseres</v>
      </c>
      <c r="C48" s="1878"/>
      <c r="D48" s="1878"/>
      <c r="E48" s="661">
        <f t="shared" si="2"/>
        <v>26950000</v>
      </c>
      <c r="F48" s="661">
        <f t="shared" si="3"/>
        <v>4000000</v>
      </c>
      <c r="G48" s="663">
        <f>+AV37</f>
        <v>2695000</v>
      </c>
      <c r="H48" s="663">
        <f>+AW37</f>
        <v>2695000</v>
      </c>
      <c r="I48" s="663">
        <f>+AX37</f>
        <v>2895000</v>
      </c>
      <c r="J48" s="663">
        <f>+AY37</f>
        <v>3095000</v>
      </c>
      <c r="K48" s="663">
        <f>+AZ37</f>
        <v>3095000</v>
      </c>
      <c r="L48" s="661">
        <f t="shared" si="4"/>
        <v>14475000</v>
      </c>
      <c r="M48" s="662">
        <f t="shared" si="5"/>
        <v>16475000</v>
      </c>
      <c r="N48" s="657"/>
      <c r="AS48" s="1876" t="s">
        <v>1032</v>
      </c>
      <c r="AT48" s="1876"/>
      <c r="AU48" s="599">
        <f>+E42</f>
        <v>1</v>
      </c>
      <c r="AV48" s="1876" t="str">
        <f>+D18</f>
        <v xml:space="preserve">Semovientes - Cultivos </v>
      </c>
      <c r="AW48" s="1876"/>
      <c r="AX48" s="1876"/>
      <c r="AY48" s="1876"/>
      <c r="AZ48" s="1876"/>
    </row>
    <row r="49" spans="1:52" x14ac:dyDescent="0.35">
      <c r="B49" s="1877" t="str">
        <f t="shared" si="1"/>
        <v>Herramientas - otros</v>
      </c>
      <c r="C49" s="1878"/>
      <c r="D49" s="1878"/>
      <c r="E49" s="661">
        <f t="shared" si="2"/>
        <v>3949000</v>
      </c>
      <c r="F49" s="661">
        <f t="shared" si="3"/>
        <v>2600000</v>
      </c>
      <c r="G49" s="663">
        <f>+AV46</f>
        <v>1316333.3333333333</v>
      </c>
      <c r="H49" s="663">
        <f>+AW46</f>
        <v>1516333.3333333333</v>
      </c>
      <c r="I49" s="663">
        <f>+AX46</f>
        <v>1733000</v>
      </c>
      <c r="J49" s="663">
        <f>+AY46</f>
        <v>633333.33333333326</v>
      </c>
      <c r="K49" s="663">
        <f>+AZ46</f>
        <v>666666.66666666663</v>
      </c>
      <c r="L49" s="661">
        <f t="shared" si="4"/>
        <v>5865666.666666666</v>
      </c>
      <c r="M49" s="662">
        <f t="shared" si="5"/>
        <v>683333.33333333395</v>
      </c>
      <c r="N49" s="657"/>
      <c r="AS49" s="608" t="s">
        <v>1034</v>
      </c>
      <c r="AT49" s="599" t="s">
        <v>1035</v>
      </c>
      <c r="AU49" s="599" t="s">
        <v>1034</v>
      </c>
      <c r="AV49" s="599">
        <v>1</v>
      </c>
      <c r="AW49" s="599">
        <v>2</v>
      </c>
      <c r="AX49" s="599">
        <v>3</v>
      </c>
      <c r="AY49" s="599">
        <v>4</v>
      </c>
      <c r="AZ49" s="599">
        <v>5</v>
      </c>
    </row>
    <row r="50" spans="1:52" ht="15.75" customHeight="1" x14ac:dyDescent="0.35">
      <c r="B50" s="1877" t="str">
        <f t="shared" si="1"/>
        <v xml:space="preserve">Semovientes - Cultivos </v>
      </c>
      <c r="C50" s="1878"/>
      <c r="D50" s="1878"/>
      <c r="E50" s="661">
        <f t="shared" si="2"/>
        <v>0</v>
      </c>
      <c r="F50" s="661">
        <f t="shared" si="3"/>
        <v>0</v>
      </c>
      <c r="G50" s="664">
        <f>+AV56</f>
        <v>0</v>
      </c>
      <c r="H50" s="664">
        <f>+AW56</f>
        <v>0</v>
      </c>
      <c r="I50" s="664">
        <f>+AX56</f>
        <v>0</v>
      </c>
      <c r="J50" s="664">
        <f>+AY56</f>
        <v>0</v>
      </c>
      <c r="K50" s="664">
        <f>+AZ56</f>
        <v>0</v>
      </c>
      <c r="L50" s="661">
        <f t="shared" si="4"/>
        <v>0</v>
      </c>
      <c r="M50" s="662">
        <f t="shared" si="5"/>
        <v>0</v>
      </c>
      <c r="N50" s="657"/>
      <c r="T50" s="712"/>
      <c r="AS50" s="634">
        <v>1</v>
      </c>
      <c r="AT50" s="635">
        <f>+H18</f>
        <v>0</v>
      </c>
      <c r="AU50" s="509">
        <v>1</v>
      </c>
      <c r="AV50" s="636">
        <f>+AT50/AU48</f>
        <v>0</v>
      </c>
      <c r="AW50" s="636">
        <v>0</v>
      </c>
      <c r="AX50" s="636">
        <v>0</v>
      </c>
      <c r="AY50" s="636">
        <v>0</v>
      </c>
      <c r="AZ50" s="636">
        <v>0</v>
      </c>
    </row>
    <row r="51" spans="1:52" ht="15" customHeight="1" x14ac:dyDescent="0.35">
      <c r="B51" s="1877" t="str">
        <f t="shared" si="1"/>
        <v>Infraestructura y Adecuaciones</v>
      </c>
      <c r="C51" s="1878"/>
      <c r="D51" s="1878"/>
      <c r="E51" s="661">
        <f t="shared" si="2"/>
        <v>8300000</v>
      </c>
      <c r="F51" s="661">
        <f t="shared" si="3"/>
        <v>8500000</v>
      </c>
      <c r="G51" s="664">
        <f>+AV66</f>
        <v>830000</v>
      </c>
      <c r="H51" s="664">
        <f>+AW66</f>
        <v>830000</v>
      </c>
      <c r="I51" s="664">
        <f>+AX66</f>
        <v>1280000</v>
      </c>
      <c r="J51" s="664">
        <f>+AY66</f>
        <v>1680000</v>
      </c>
      <c r="K51" s="664">
        <f>+AZ66</f>
        <v>1680000</v>
      </c>
      <c r="L51" s="661">
        <f t="shared" si="4"/>
        <v>6300000</v>
      </c>
      <c r="M51" s="662">
        <f>+(E51+F51)-L51</f>
        <v>10500000</v>
      </c>
      <c r="N51" s="657"/>
      <c r="AS51" s="634">
        <v>2</v>
      </c>
      <c r="AT51" s="635">
        <f>+L18</f>
        <v>0</v>
      </c>
      <c r="AU51" s="509">
        <v>2</v>
      </c>
      <c r="AV51" s="636">
        <v>0</v>
      </c>
      <c r="AW51" s="636">
        <f>+AT51/AU48</f>
        <v>0</v>
      </c>
      <c r="AX51" s="636">
        <v>0</v>
      </c>
      <c r="AY51" s="636">
        <v>0</v>
      </c>
      <c r="AZ51" s="636">
        <v>0</v>
      </c>
    </row>
    <row r="52" spans="1:52" ht="16" thickBot="1" x14ac:dyDescent="0.4">
      <c r="B52" s="1879" t="s">
        <v>159</v>
      </c>
      <c r="C52" s="1880"/>
      <c r="D52" s="1880"/>
      <c r="E52" s="665">
        <f>SUM(E46:E51)</f>
        <v>85559000</v>
      </c>
      <c r="F52" s="665">
        <f t="shared" ref="F52:M52" si="6">SUM(F46:F51)</f>
        <v>24400000</v>
      </c>
      <c r="G52" s="665">
        <f t="shared" si="6"/>
        <v>12805333.333333334</v>
      </c>
      <c r="H52" s="665">
        <f t="shared" si="6"/>
        <v>13065333.333333334</v>
      </c>
      <c r="I52" s="665">
        <f t="shared" si="6"/>
        <v>14332000</v>
      </c>
      <c r="J52" s="665">
        <f t="shared" si="6"/>
        <v>14072333.333333334</v>
      </c>
      <c r="K52" s="665">
        <f t="shared" si="6"/>
        <v>14265666.666666666</v>
      </c>
      <c r="L52" s="665">
        <f t="shared" si="6"/>
        <v>68540666.666666657</v>
      </c>
      <c r="M52" s="666">
        <f t="shared" si="6"/>
        <v>41418333.333333336</v>
      </c>
      <c r="N52" s="657"/>
      <c r="AS52" s="634">
        <v>3</v>
      </c>
      <c r="AT52" s="635">
        <f>+M18</f>
        <v>0</v>
      </c>
      <c r="AU52" s="509">
        <v>3</v>
      </c>
      <c r="AV52" s="636">
        <v>0</v>
      </c>
      <c r="AW52" s="636">
        <v>0</v>
      </c>
      <c r="AX52" s="636">
        <f>+AT52/AU48</f>
        <v>0</v>
      </c>
      <c r="AY52" s="636">
        <v>0</v>
      </c>
      <c r="AZ52" s="636">
        <v>0</v>
      </c>
    </row>
    <row r="53" spans="1:52" ht="16" thickBot="1" x14ac:dyDescent="0.4">
      <c r="N53" s="657"/>
      <c r="AS53" s="634">
        <v>4</v>
      </c>
      <c r="AT53" s="635">
        <f>+N18</f>
        <v>0</v>
      </c>
      <c r="AU53" s="509">
        <v>4</v>
      </c>
      <c r="AV53" s="636">
        <v>0</v>
      </c>
      <c r="AW53" s="636">
        <v>0</v>
      </c>
      <c r="AX53" s="636">
        <v>0</v>
      </c>
      <c r="AY53" s="636">
        <f>+AT53/AU48</f>
        <v>0</v>
      </c>
      <c r="AZ53" s="636">
        <v>0</v>
      </c>
    </row>
    <row r="54" spans="1:52" ht="16" thickBot="1" x14ac:dyDescent="0.4">
      <c r="B54" s="829" t="s">
        <v>1068</v>
      </c>
      <c r="C54" s="830"/>
      <c r="D54" s="1758"/>
      <c r="E54" s="667">
        <f>+M52</f>
        <v>41418333.333333336</v>
      </c>
      <c r="G54" s="668"/>
      <c r="I54" s="669"/>
      <c r="N54" s="657"/>
      <c r="AS54" s="634">
        <v>5</v>
      </c>
      <c r="AT54" s="635">
        <f>+O18</f>
        <v>0</v>
      </c>
      <c r="AU54" s="509">
        <v>5</v>
      </c>
      <c r="AV54" s="636">
        <v>0</v>
      </c>
      <c r="AW54" s="636">
        <v>0</v>
      </c>
      <c r="AX54" s="636">
        <v>0</v>
      </c>
      <c r="AY54" s="636">
        <v>0</v>
      </c>
      <c r="AZ54" s="636">
        <f>+AT54/AU48</f>
        <v>0</v>
      </c>
    </row>
    <row r="55" spans="1:52" ht="15" customHeight="1" x14ac:dyDescent="0.6">
      <c r="A55" s="623"/>
    </row>
    <row r="56" spans="1:52" ht="15" customHeight="1" x14ac:dyDescent="0.6">
      <c r="A56" s="623"/>
      <c r="AU56" s="44" t="s">
        <v>654</v>
      </c>
      <c r="AV56" s="44">
        <f>SUM(AV50:AV54)</f>
        <v>0</v>
      </c>
      <c r="AW56" s="44">
        <f>SUM(AW50:AW54)</f>
        <v>0</v>
      </c>
      <c r="AX56" s="44">
        <f>SUM(AX50:AX54)</f>
        <v>0</v>
      </c>
      <c r="AY56" s="44">
        <f>SUM(AY50:AY54)</f>
        <v>0</v>
      </c>
      <c r="AZ56" s="44">
        <f>SUM(AZ50:AZ54)</f>
        <v>0</v>
      </c>
    </row>
    <row r="57" spans="1:52" ht="27" customHeight="1" x14ac:dyDescent="0.6">
      <c r="A57" s="623"/>
      <c r="B57" s="1759" t="s">
        <v>1069</v>
      </c>
      <c r="C57" s="1759"/>
      <c r="D57" s="1759"/>
      <c r="E57" s="1759"/>
      <c r="F57" s="1759"/>
      <c r="G57" s="1759"/>
      <c r="H57" s="1759"/>
      <c r="I57" s="1759"/>
      <c r="J57" s="1759"/>
      <c r="K57" s="1759"/>
      <c r="L57" s="1759"/>
      <c r="M57" s="1759"/>
      <c r="N57" s="1759"/>
      <c r="O57" s="1759"/>
      <c r="P57" s="1759"/>
    </row>
    <row r="58" spans="1:52" ht="16" thickBot="1" x14ac:dyDescent="0.4">
      <c r="A58" s="512"/>
      <c r="G58" s="669"/>
      <c r="N58" s="657"/>
    </row>
    <row r="59" spans="1:52" ht="16" thickBot="1" x14ac:dyDescent="0.4">
      <c r="B59" s="1864"/>
      <c r="C59" s="1864"/>
      <c r="D59" s="1864"/>
      <c r="E59" s="1864"/>
      <c r="F59" s="1864"/>
      <c r="G59" s="1864"/>
      <c r="H59" s="1867" t="s">
        <v>1070</v>
      </c>
      <c r="I59" s="1868"/>
      <c r="J59" s="1868"/>
      <c r="K59" s="1869"/>
      <c r="AS59" s="1876" t="s">
        <v>1032</v>
      </c>
      <c r="AT59" s="1876"/>
      <c r="AU59" s="599">
        <f>+E43</f>
        <v>10</v>
      </c>
      <c r="AV59" s="1876" t="str">
        <f>+D19</f>
        <v>Infraestructura y Adecuaciones</v>
      </c>
      <c r="AW59" s="1876"/>
      <c r="AX59" s="1876"/>
      <c r="AY59" s="1876"/>
      <c r="AZ59" s="1876"/>
    </row>
    <row r="60" spans="1:52" x14ac:dyDescent="0.35">
      <c r="B60" s="605" t="s">
        <v>1071</v>
      </c>
      <c r="C60" s="1717" t="s">
        <v>1072</v>
      </c>
      <c r="D60" s="1717"/>
      <c r="E60" s="1717"/>
      <c r="F60" s="1717"/>
      <c r="G60" s="606" t="s">
        <v>145</v>
      </c>
      <c r="H60" s="606" t="s">
        <v>146</v>
      </c>
      <c r="I60" s="606" t="s">
        <v>147</v>
      </c>
      <c r="J60" s="606" t="s">
        <v>148</v>
      </c>
      <c r="K60" s="607" t="s">
        <v>149</v>
      </c>
      <c r="L60" s="670"/>
      <c r="M60" s="670"/>
      <c r="N60" s="671"/>
      <c r="O60" s="51"/>
      <c r="AS60" s="608" t="s">
        <v>1034</v>
      </c>
      <c r="AT60" s="599" t="s">
        <v>1035</v>
      </c>
      <c r="AU60" s="599" t="s">
        <v>1034</v>
      </c>
      <c r="AV60" s="599">
        <v>1</v>
      </c>
      <c r="AW60" s="599">
        <v>2</v>
      </c>
      <c r="AX60" s="599">
        <v>3</v>
      </c>
      <c r="AY60" s="599">
        <v>4</v>
      </c>
      <c r="AZ60" s="599">
        <v>5</v>
      </c>
    </row>
    <row r="61" spans="1:52" x14ac:dyDescent="0.35">
      <c r="B61" s="604">
        <v>1</v>
      </c>
      <c r="C61" s="1857" t="str">
        <f>'Estudio de Mercados'!$B$220</f>
        <v>Gestión integral de Cartera y Cobranza</v>
      </c>
      <c r="D61" s="1857"/>
      <c r="E61" s="1857"/>
      <c r="F61" s="1857"/>
      <c r="G61" s="672">
        <f>'Estudio Técnico'!U419</f>
        <v>37449760.617391303</v>
      </c>
      <c r="H61" s="672">
        <f>'Estudio Técnico'!V419</f>
        <v>39236114.198840871</v>
      </c>
      <c r="I61" s="672">
        <f>'Estudio Técnico'!W419</f>
        <v>40687850.424197979</v>
      </c>
      <c r="J61" s="672">
        <f>'Estudio Técnico'!X419</f>
        <v>41949173.787348114</v>
      </c>
      <c r="K61" s="672">
        <f>'Estudio Técnico'!Y419</f>
        <v>43413199.952526554</v>
      </c>
      <c r="AS61" s="634">
        <v>1</v>
      </c>
      <c r="AT61" s="635">
        <f>+H19</f>
        <v>8300000</v>
      </c>
      <c r="AU61" s="509">
        <v>1</v>
      </c>
      <c r="AV61" s="636">
        <f>+AT61/AU59</f>
        <v>830000</v>
      </c>
      <c r="AW61" s="636">
        <f>$AV$61</f>
        <v>830000</v>
      </c>
      <c r="AX61" s="636">
        <f>$AV$61</f>
        <v>830000</v>
      </c>
      <c r="AY61" s="636">
        <f>$AV$61</f>
        <v>830000</v>
      </c>
      <c r="AZ61" s="636">
        <f>$AV$61</f>
        <v>830000</v>
      </c>
    </row>
    <row r="62" spans="1:52" x14ac:dyDescent="0.35">
      <c r="B62" s="604">
        <v>2</v>
      </c>
      <c r="C62" s="1857" t="str">
        <f>'Estudio de Mercados'!$B$226</f>
        <v>Escriba aquì el nombre de su producto ó servicio 2</v>
      </c>
      <c r="D62" s="1857"/>
      <c r="E62" s="1857"/>
      <c r="F62" s="1857"/>
      <c r="G62" s="672">
        <f>'Estudio Técnico'!U443</f>
        <v>0</v>
      </c>
      <c r="H62" s="672">
        <f>'Estudio Técnico'!V443</f>
        <v>0</v>
      </c>
      <c r="I62" s="672">
        <f>'Estudio Técnico'!W443</f>
        <v>0</v>
      </c>
      <c r="J62" s="672">
        <f>'Estudio Técnico'!X443</f>
        <v>0</v>
      </c>
      <c r="K62" s="672">
        <f>'Estudio Técnico'!Y443</f>
        <v>0</v>
      </c>
      <c r="AS62" s="634">
        <v>2</v>
      </c>
      <c r="AT62" s="635">
        <f>+L19</f>
        <v>0</v>
      </c>
      <c r="AU62" s="509">
        <v>2</v>
      </c>
      <c r="AV62" s="636">
        <v>0</v>
      </c>
      <c r="AW62" s="636">
        <f>+AT62/AU59</f>
        <v>0</v>
      </c>
      <c r="AX62" s="636">
        <f>$AW$62</f>
        <v>0</v>
      </c>
      <c r="AY62" s="636">
        <f>$AW$62</f>
        <v>0</v>
      </c>
      <c r="AZ62" s="636">
        <f>$AW$62</f>
        <v>0</v>
      </c>
    </row>
    <row r="63" spans="1:52" x14ac:dyDescent="0.35">
      <c r="B63" s="604">
        <v>3</v>
      </c>
      <c r="C63" s="1857" t="str">
        <f>'Estudio de Mercados'!$B$232</f>
        <v>Escriba aquì el nombre de su producto ó servicio 3</v>
      </c>
      <c r="D63" s="1857"/>
      <c r="E63" s="1857"/>
      <c r="F63" s="1857"/>
      <c r="G63" s="672">
        <f>'Estudio Técnico'!U467</f>
        <v>0</v>
      </c>
      <c r="H63" s="672">
        <f>'Estudio Técnico'!V467</f>
        <v>0</v>
      </c>
      <c r="I63" s="672">
        <f>'Estudio Técnico'!W467</f>
        <v>0</v>
      </c>
      <c r="J63" s="672">
        <f>'Estudio Técnico'!X467</f>
        <v>0</v>
      </c>
      <c r="K63" s="672">
        <f>'Estudio Técnico'!Y467</f>
        <v>0</v>
      </c>
      <c r="AS63" s="634">
        <v>3</v>
      </c>
      <c r="AT63" s="635">
        <f>+M19</f>
        <v>4500000</v>
      </c>
      <c r="AU63" s="509">
        <v>3</v>
      </c>
      <c r="AV63" s="636">
        <v>0</v>
      </c>
      <c r="AW63" s="636">
        <v>0</v>
      </c>
      <c r="AX63" s="636">
        <f>+AT63/AU59</f>
        <v>450000</v>
      </c>
      <c r="AY63" s="636">
        <f>$AX$63</f>
        <v>450000</v>
      </c>
      <c r="AZ63" s="636">
        <f>$AX$63</f>
        <v>450000</v>
      </c>
    </row>
    <row r="64" spans="1:52" ht="16" thickBot="1" x14ac:dyDescent="0.4">
      <c r="B64" s="673">
        <v>4</v>
      </c>
      <c r="C64" s="1875" t="str">
        <f>'Estudio de Mercados'!$B$238</f>
        <v>Escriba aquì el nombre de su producto ó servicio 4</v>
      </c>
      <c r="D64" s="1875"/>
      <c r="E64" s="1875"/>
      <c r="F64" s="1875"/>
      <c r="G64" s="674">
        <f>'Estudio Técnico'!U491</f>
        <v>0</v>
      </c>
      <c r="H64" s="674">
        <f>'Estudio Técnico'!V491</f>
        <v>0</v>
      </c>
      <c r="I64" s="674">
        <f>'Estudio Técnico'!W491</f>
        <v>0</v>
      </c>
      <c r="J64" s="674">
        <f>'Estudio Técnico'!X491</f>
        <v>0</v>
      </c>
      <c r="K64" s="674">
        <f>'Estudio Técnico'!Y491</f>
        <v>0</v>
      </c>
      <c r="AS64" s="634">
        <v>4</v>
      </c>
      <c r="AT64" s="635">
        <f>+N19</f>
        <v>4000000</v>
      </c>
      <c r="AU64" s="509">
        <v>4</v>
      </c>
      <c r="AV64" s="636">
        <v>0</v>
      </c>
      <c r="AW64" s="636">
        <v>0</v>
      </c>
      <c r="AX64" s="636">
        <v>0</v>
      </c>
      <c r="AY64" s="636">
        <f>+AT64/AU59</f>
        <v>400000</v>
      </c>
      <c r="AZ64" s="636">
        <f>$AY$64</f>
        <v>400000</v>
      </c>
    </row>
    <row r="65" spans="1:216" x14ac:dyDescent="0.35">
      <c r="A65" s="512"/>
      <c r="G65" s="669"/>
      <c r="N65" s="657"/>
      <c r="AS65" s="44">
        <v>5</v>
      </c>
      <c r="AT65" s="44">
        <f>+O19</f>
        <v>0</v>
      </c>
      <c r="AU65" s="44">
        <v>5</v>
      </c>
      <c r="AV65" s="44">
        <v>0</v>
      </c>
      <c r="AW65" s="44">
        <v>0</v>
      </c>
      <c r="AX65" s="44">
        <v>0</v>
      </c>
      <c r="AY65" s="44">
        <v>0</v>
      </c>
      <c r="AZ65" s="44">
        <f>+AT65/AU59</f>
        <v>0</v>
      </c>
    </row>
    <row r="66" spans="1:216" ht="16" thickBot="1" x14ac:dyDescent="0.4">
      <c r="A66" s="512"/>
      <c r="G66" s="669"/>
      <c r="N66" s="657"/>
      <c r="AU66" s="44" t="s">
        <v>654</v>
      </c>
      <c r="AV66" s="44">
        <f>SUM(AV61:AV65)</f>
        <v>830000</v>
      </c>
      <c r="AW66" s="44">
        <f>SUM(AW61:AW65)</f>
        <v>830000</v>
      </c>
      <c r="AX66" s="44">
        <f>SUM(AX61:AX65)</f>
        <v>1280000</v>
      </c>
      <c r="AY66" s="44">
        <f>SUM(AY61:AY65)</f>
        <v>1680000</v>
      </c>
      <c r="AZ66" s="44">
        <f>SUM(AZ61:AZ65)</f>
        <v>1680000</v>
      </c>
    </row>
    <row r="67" spans="1:216" ht="16" thickBot="1" x14ac:dyDescent="0.4">
      <c r="B67" s="1864"/>
      <c r="C67" s="1864"/>
      <c r="D67" s="1864"/>
      <c r="E67" s="1864"/>
      <c r="F67" s="1864"/>
      <c r="G67" s="1864"/>
      <c r="H67" s="1864"/>
      <c r="I67" s="1867" t="s">
        <v>1073</v>
      </c>
      <c r="J67" s="1868"/>
      <c r="K67" s="1868"/>
      <c r="L67" s="1868"/>
      <c r="M67" s="1868"/>
      <c r="N67" s="1868"/>
      <c r="O67" s="1868"/>
      <c r="P67" s="1869"/>
    </row>
    <row r="68" spans="1:216" x14ac:dyDescent="0.35">
      <c r="B68" s="605" t="s">
        <v>1071</v>
      </c>
      <c r="C68" s="1870" t="s">
        <v>1072</v>
      </c>
      <c r="D68" s="1870"/>
      <c r="E68" s="1870"/>
      <c r="F68" s="1870"/>
      <c r="G68" s="1717" t="s">
        <v>145</v>
      </c>
      <c r="H68" s="1717"/>
      <c r="I68" s="1717" t="s">
        <v>146</v>
      </c>
      <c r="J68" s="1717"/>
      <c r="K68" s="1717" t="s">
        <v>147</v>
      </c>
      <c r="L68" s="1717"/>
      <c r="M68" s="1717" t="s">
        <v>148</v>
      </c>
      <c r="N68" s="1717"/>
      <c r="O68" s="1717" t="s">
        <v>149</v>
      </c>
      <c r="P68" s="1718"/>
    </row>
    <row r="69" spans="1:216" x14ac:dyDescent="0.35">
      <c r="B69" s="604">
        <v>1</v>
      </c>
      <c r="C69" s="1857" t="str">
        <f>+C61</f>
        <v>Gestión integral de Cartera y Cobranza</v>
      </c>
      <c r="D69" s="1857"/>
      <c r="E69" s="1857"/>
      <c r="F69" s="1857"/>
      <c r="G69" s="1873">
        <f>'Estudio Técnico'!T268*('Est. Viabilidad Financiera'!G61/12)</f>
        <v>674095691.11304343</v>
      </c>
      <c r="H69" s="1873"/>
      <c r="I69" s="1873">
        <f>'Estudio Técnico'!U268*('Est. Viabilidad Financiera'!H61/12)</f>
        <v>755295198.32768679</v>
      </c>
      <c r="J69" s="1873"/>
      <c r="K69" s="1873">
        <f>'Estudio Técnico'!V268*('Est. Viabilidad Financiera'!I61/12)</f>
        <v>834100933.69605863</v>
      </c>
      <c r="L69" s="1873"/>
      <c r="M69" s="1873">
        <f>'Estudio Técnico'!W268*('Est. Viabilidad Financiera'!J61/12)</f>
        <v>901907236.42798448</v>
      </c>
      <c r="N69" s="1873"/>
      <c r="O69" s="1873">
        <f>'Estudio Técnico'!X268*('Est. Viabilidad Financiera'!K61/12)</f>
        <v>973179232.26913691</v>
      </c>
      <c r="P69" s="1873"/>
    </row>
    <row r="70" spans="1:216" x14ac:dyDescent="0.35">
      <c r="B70" s="604">
        <v>2</v>
      </c>
      <c r="C70" s="1857" t="str">
        <f t="shared" ref="C70:C72" si="7">+C62</f>
        <v>Escriba aquì el nombre de su producto ó servicio 2</v>
      </c>
      <c r="D70" s="1857"/>
      <c r="E70" s="1857"/>
      <c r="F70" s="1857"/>
      <c r="G70" s="1873">
        <f>'Estudio Técnico'!T269*'Est. Viabilidad Financiera'!G62</f>
        <v>0</v>
      </c>
      <c r="H70" s="1873"/>
      <c r="I70" s="1873">
        <f>'Estudio Técnico'!U269*'Est. Viabilidad Financiera'!H62</f>
        <v>0</v>
      </c>
      <c r="J70" s="1873"/>
      <c r="K70" s="1873">
        <f>'Estudio Técnico'!V269*'Est. Viabilidad Financiera'!I62</f>
        <v>0</v>
      </c>
      <c r="L70" s="1873"/>
      <c r="M70" s="1873">
        <f>'Estudio Técnico'!W269*'Est. Viabilidad Financiera'!J62</f>
        <v>0</v>
      </c>
      <c r="N70" s="1873"/>
      <c r="O70" s="1873">
        <f>'Estudio Técnico'!X269*'Est. Viabilidad Financiera'!K62</f>
        <v>0</v>
      </c>
      <c r="P70" s="1874"/>
    </row>
    <row r="71" spans="1:216" x14ac:dyDescent="0.35">
      <c r="B71" s="604">
        <v>3</v>
      </c>
      <c r="C71" s="1857" t="str">
        <f t="shared" si="7"/>
        <v>Escriba aquì el nombre de su producto ó servicio 3</v>
      </c>
      <c r="D71" s="1857"/>
      <c r="E71" s="1857"/>
      <c r="F71" s="1857"/>
      <c r="G71" s="1873">
        <f>'Estudio Técnico'!T270*'Est. Viabilidad Financiera'!G63</f>
        <v>0</v>
      </c>
      <c r="H71" s="1873"/>
      <c r="I71" s="1873">
        <f>'Estudio Técnico'!U270*'Est. Viabilidad Financiera'!H63</f>
        <v>0</v>
      </c>
      <c r="J71" s="1873"/>
      <c r="K71" s="1873">
        <f>'Estudio Técnico'!V270*'Est. Viabilidad Financiera'!I63</f>
        <v>0</v>
      </c>
      <c r="L71" s="1873"/>
      <c r="M71" s="1873">
        <f>'Estudio Técnico'!W270*'Est. Viabilidad Financiera'!J63</f>
        <v>0</v>
      </c>
      <c r="N71" s="1873"/>
      <c r="O71" s="1873">
        <f>'Estudio Técnico'!X270*'Est. Viabilidad Financiera'!K63</f>
        <v>0</v>
      </c>
      <c r="P71" s="1874"/>
    </row>
    <row r="72" spans="1:216" ht="16" thickBot="1" x14ac:dyDescent="0.4">
      <c r="B72" s="673">
        <v>4</v>
      </c>
      <c r="C72" s="1857" t="str">
        <f t="shared" si="7"/>
        <v>Escriba aquì el nombre de su producto ó servicio 4</v>
      </c>
      <c r="D72" s="1857"/>
      <c r="E72" s="1857"/>
      <c r="F72" s="1857"/>
      <c r="G72" s="1871">
        <f>'Estudio Técnico'!T271*'Est. Viabilidad Financiera'!G64</f>
        <v>0</v>
      </c>
      <c r="H72" s="1871"/>
      <c r="I72" s="1871">
        <f>'Estudio Técnico'!U271*'Est. Viabilidad Financiera'!H64</f>
        <v>0</v>
      </c>
      <c r="J72" s="1871"/>
      <c r="K72" s="1871">
        <f>'Estudio Técnico'!V271*'Est. Viabilidad Financiera'!I64</f>
        <v>0</v>
      </c>
      <c r="L72" s="1871"/>
      <c r="M72" s="1871">
        <f>'Estudio Técnico'!W271*'Est. Viabilidad Financiera'!J64</f>
        <v>0</v>
      </c>
      <c r="N72" s="1871"/>
      <c r="O72" s="1871">
        <f>'Estudio Técnico'!X271*'Est. Viabilidad Financiera'!K64</f>
        <v>0</v>
      </c>
      <c r="P72" s="1872"/>
    </row>
    <row r="75" spans="1:216" ht="27" customHeight="1" x14ac:dyDescent="0.6">
      <c r="A75" s="623"/>
      <c r="B75" s="1759" t="s">
        <v>1074</v>
      </c>
      <c r="C75" s="1759"/>
      <c r="D75" s="1759"/>
      <c r="E75" s="1759"/>
      <c r="F75" s="1759"/>
      <c r="G75" s="1759"/>
      <c r="H75" s="1759"/>
      <c r="I75" s="1759"/>
      <c r="J75" s="1759"/>
      <c r="K75" s="1759"/>
      <c r="L75" s="1759"/>
      <c r="M75" s="1759"/>
      <c r="N75" s="1759"/>
      <c r="O75" s="1759"/>
      <c r="P75" s="1759"/>
    </row>
    <row r="76" spans="1:216" s="371" customFormat="1" ht="14.25" customHeight="1" thickBot="1" x14ac:dyDescent="0.4">
      <c r="A76" s="504"/>
      <c r="E76" s="675"/>
      <c r="F76" s="675"/>
      <c r="G76" s="675"/>
      <c r="H76" s="675"/>
      <c r="I76" s="675"/>
      <c r="J76" s="675"/>
      <c r="K76" s="675"/>
      <c r="L76" s="675"/>
      <c r="M76" s="675"/>
      <c r="R76" s="603"/>
      <c r="S76" s="603"/>
      <c r="T76" s="603"/>
      <c r="U76" s="603"/>
      <c r="V76" s="603"/>
      <c r="W76" s="603"/>
      <c r="X76" s="603"/>
      <c r="Y76" s="603"/>
      <c r="Z76" s="603"/>
      <c r="AA76" s="603"/>
      <c r="AB76" s="603"/>
      <c r="AC76" s="603"/>
      <c r="AD76" s="603"/>
      <c r="AE76" s="603"/>
      <c r="AF76" s="603"/>
      <c r="AG76" s="603"/>
      <c r="AH76" s="603"/>
      <c r="AI76" s="603"/>
      <c r="AJ76" s="603"/>
      <c r="AK76" s="603"/>
      <c r="AL76" s="603"/>
      <c r="AM76" s="603"/>
      <c r="AN76" s="603"/>
      <c r="AO76" s="603"/>
      <c r="AP76" s="603"/>
      <c r="AQ76" s="603"/>
      <c r="AR76" s="603"/>
      <c r="AS76" s="603"/>
      <c r="AT76" s="603"/>
      <c r="AU76" s="603"/>
      <c r="AV76" s="603"/>
      <c r="AW76" s="603"/>
      <c r="AX76" s="603"/>
      <c r="AY76" s="603"/>
      <c r="AZ76" s="603"/>
      <c r="BA76" s="603"/>
      <c r="BB76" s="603"/>
      <c r="BC76" s="603"/>
      <c r="BD76" s="603"/>
      <c r="BE76" s="603"/>
      <c r="BF76" s="603"/>
      <c r="BG76" s="603"/>
      <c r="BH76" s="603"/>
      <c r="BI76" s="603"/>
      <c r="BJ76" s="603"/>
      <c r="BK76" s="603"/>
      <c r="BL76" s="603"/>
      <c r="BM76" s="603"/>
      <c r="BN76" s="603"/>
      <c r="BO76" s="603"/>
      <c r="BP76" s="603"/>
      <c r="BQ76" s="603"/>
      <c r="BR76" s="603"/>
      <c r="BS76" s="603"/>
      <c r="BT76" s="603"/>
      <c r="BU76" s="603"/>
      <c r="BV76" s="603"/>
      <c r="BW76" s="603"/>
      <c r="BX76" s="603"/>
      <c r="BY76" s="603"/>
      <c r="BZ76" s="603"/>
      <c r="CA76" s="603"/>
      <c r="CB76" s="603"/>
      <c r="CC76" s="603"/>
      <c r="CD76" s="603"/>
      <c r="CE76" s="603"/>
      <c r="CF76" s="603"/>
      <c r="CG76" s="603"/>
      <c r="CH76" s="603"/>
      <c r="CI76" s="603"/>
      <c r="CJ76" s="603"/>
      <c r="CK76" s="603"/>
      <c r="CL76" s="603"/>
      <c r="CM76" s="603"/>
      <c r="CN76" s="603"/>
      <c r="CO76" s="603"/>
      <c r="CP76" s="603"/>
      <c r="CQ76" s="603"/>
      <c r="CR76" s="603"/>
      <c r="CS76" s="603"/>
      <c r="CT76" s="603"/>
      <c r="CU76" s="603"/>
      <c r="CV76" s="603"/>
      <c r="CW76" s="603"/>
      <c r="CX76" s="603"/>
      <c r="CY76" s="603"/>
      <c r="CZ76" s="603"/>
      <c r="DA76" s="603"/>
      <c r="DB76" s="603"/>
      <c r="DC76" s="603"/>
      <c r="DD76" s="603"/>
      <c r="DE76" s="603"/>
      <c r="DF76" s="603"/>
      <c r="DG76" s="603"/>
      <c r="DH76" s="603"/>
      <c r="DI76" s="603"/>
      <c r="DJ76" s="603"/>
      <c r="DK76" s="603"/>
      <c r="DL76" s="603"/>
      <c r="DM76" s="603"/>
      <c r="DN76" s="603"/>
      <c r="DO76" s="603"/>
      <c r="DP76" s="603"/>
      <c r="DQ76" s="603"/>
      <c r="DR76" s="603"/>
      <c r="DS76" s="603"/>
      <c r="DT76" s="603"/>
      <c r="DU76" s="603"/>
      <c r="DV76" s="603"/>
      <c r="DW76" s="603"/>
      <c r="DX76" s="603"/>
      <c r="DY76" s="603"/>
      <c r="DZ76" s="603"/>
      <c r="EA76" s="603"/>
      <c r="EB76" s="603"/>
      <c r="EC76" s="603"/>
      <c r="ED76" s="603"/>
      <c r="EE76" s="603"/>
      <c r="EF76" s="603"/>
      <c r="EG76" s="603"/>
      <c r="EH76" s="603"/>
      <c r="EI76" s="603"/>
      <c r="EJ76" s="603"/>
      <c r="EK76" s="603"/>
      <c r="EL76" s="603"/>
      <c r="EM76" s="603"/>
      <c r="EN76" s="603"/>
      <c r="EO76" s="603"/>
      <c r="EP76" s="603"/>
      <c r="EQ76" s="603"/>
      <c r="ER76" s="603"/>
      <c r="ES76" s="603"/>
      <c r="ET76" s="603"/>
      <c r="EU76" s="603"/>
      <c r="EV76" s="603"/>
      <c r="EW76" s="603"/>
      <c r="EX76" s="603"/>
      <c r="EY76" s="603"/>
      <c r="EZ76" s="603"/>
      <c r="FA76" s="603"/>
      <c r="FB76" s="603"/>
      <c r="FC76" s="603"/>
      <c r="FD76" s="603"/>
      <c r="FE76" s="603"/>
      <c r="FF76" s="603"/>
      <c r="FG76" s="603"/>
      <c r="FH76" s="603"/>
      <c r="FI76" s="603"/>
      <c r="FJ76" s="603"/>
      <c r="FK76" s="603"/>
      <c r="FL76" s="603"/>
      <c r="FM76" s="603"/>
      <c r="FN76" s="603"/>
      <c r="FO76" s="603"/>
      <c r="FP76" s="603"/>
      <c r="FQ76" s="603"/>
      <c r="FR76" s="603"/>
      <c r="FS76" s="603"/>
      <c r="FT76" s="603"/>
      <c r="FU76" s="603"/>
      <c r="FV76" s="603"/>
      <c r="FW76" s="603"/>
      <c r="FX76" s="603"/>
      <c r="FY76" s="603"/>
      <c r="FZ76" s="603"/>
      <c r="GA76" s="603"/>
      <c r="GB76" s="603"/>
      <c r="GC76" s="603"/>
      <c r="GD76" s="603"/>
      <c r="GE76" s="603"/>
      <c r="GF76" s="603"/>
      <c r="GG76" s="603"/>
      <c r="GH76" s="603"/>
      <c r="GI76" s="603"/>
      <c r="GJ76" s="603"/>
      <c r="GK76" s="603"/>
      <c r="GL76" s="603"/>
      <c r="GM76" s="603"/>
      <c r="GN76" s="603"/>
      <c r="GO76" s="603"/>
      <c r="GP76" s="603"/>
      <c r="GQ76" s="603"/>
      <c r="GR76" s="603"/>
      <c r="GS76" s="603"/>
      <c r="GT76" s="603"/>
      <c r="GU76" s="603"/>
      <c r="GV76" s="603"/>
      <c r="GW76" s="603"/>
      <c r="GX76" s="603"/>
      <c r="GY76" s="603"/>
      <c r="GZ76" s="603"/>
      <c r="HA76" s="603"/>
      <c r="HB76" s="603"/>
      <c r="HC76" s="603"/>
      <c r="HD76" s="603"/>
      <c r="HE76" s="603"/>
      <c r="HF76" s="603"/>
      <c r="HG76" s="603"/>
      <c r="HH76" s="603"/>
    </row>
    <row r="77" spans="1:216" s="371" customFormat="1" ht="14.25" customHeight="1" thickBot="1" x14ac:dyDescent="0.4">
      <c r="A77" s="504"/>
      <c r="E77" s="675"/>
      <c r="F77" s="675"/>
      <c r="G77" s="1865" t="s">
        <v>1075</v>
      </c>
      <c r="H77" s="1866"/>
      <c r="I77" s="1866"/>
      <c r="J77" s="676">
        <f>('Estudio de Mercados'!C51)+6%</f>
        <v>0.10769999999999999</v>
      </c>
      <c r="K77" s="676">
        <f>('Estudio de Mercados'!D51)+6%</f>
        <v>9.7000000000000003E-2</v>
      </c>
      <c r="L77" s="676">
        <f>('Estudio de Mercados'!E51)+6%</f>
        <v>9.0999999999999998E-2</v>
      </c>
      <c r="M77" s="677">
        <f>('Estudio de Mercados'!F51)+6%</f>
        <v>9.4899999999999998E-2</v>
      </c>
      <c r="R77" s="603"/>
      <c r="S77" s="603"/>
      <c r="T77" s="603"/>
      <c r="U77" s="603"/>
      <c r="V77" s="603"/>
      <c r="W77" s="603"/>
      <c r="X77" s="603"/>
      <c r="Y77" s="603"/>
      <c r="Z77" s="603"/>
      <c r="AA77" s="603"/>
      <c r="AB77" s="603"/>
      <c r="AC77" s="603"/>
      <c r="AD77" s="603"/>
      <c r="AE77" s="603"/>
      <c r="AF77" s="603"/>
      <c r="AG77" s="603"/>
      <c r="AH77" s="603"/>
      <c r="AI77" s="603"/>
      <c r="AJ77" s="603"/>
      <c r="AK77" s="603"/>
      <c r="AL77" s="603"/>
      <c r="AM77" s="603"/>
      <c r="AN77" s="603"/>
      <c r="AO77" s="603"/>
      <c r="AP77" s="603"/>
      <c r="AQ77" s="603"/>
      <c r="AR77" s="603"/>
      <c r="AS77" s="603"/>
      <c r="AT77" s="603"/>
      <c r="AU77" s="603"/>
      <c r="AV77" s="603"/>
      <c r="AW77" s="603"/>
      <c r="AX77" s="603"/>
      <c r="AY77" s="603"/>
      <c r="AZ77" s="603"/>
      <c r="BA77" s="603"/>
      <c r="BB77" s="603"/>
      <c r="BC77" s="603"/>
      <c r="BD77" s="603"/>
      <c r="BE77" s="603"/>
      <c r="BF77" s="603"/>
      <c r="BG77" s="603"/>
      <c r="BH77" s="603"/>
      <c r="BI77" s="603"/>
      <c r="BJ77" s="603"/>
      <c r="BK77" s="603"/>
      <c r="BL77" s="603"/>
      <c r="BM77" s="603"/>
      <c r="BN77" s="603"/>
      <c r="BO77" s="603"/>
      <c r="BP77" s="603"/>
      <c r="BQ77" s="603"/>
      <c r="BR77" s="603"/>
      <c r="BS77" s="603"/>
      <c r="BT77" s="603"/>
      <c r="BU77" s="603"/>
      <c r="BV77" s="603"/>
      <c r="BW77" s="603"/>
      <c r="BX77" s="603"/>
      <c r="BY77" s="603"/>
      <c r="BZ77" s="603"/>
      <c r="CA77" s="603"/>
      <c r="CB77" s="603"/>
      <c r="CC77" s="603"/>
      <c r="CD77" s="603"/>
      <c r="CE77" s="603"/>
      <c r="CF77" s="603"/>
      <c r="CG77" s="603"/>
      <c r="CH77" s="603"/>
      <c r="CI77" s="603"/>
      <c r="CJ77" s="603"/>
      <c r="CK77" s="603"/>
      <c r="CL77" s="603"/>
      <c r="CM77" s="603"/>
      <c r="CN77" s="603"/>
      <c r="CO77" s="603"/>
      <c r="CP77" s="603"/>
      <c r="CQ77" s="603"/>
      <c r="CR77" s="603"/>
      <c r="CS77" s="603"/>
      <c r="CT77" s="603"/>
      <c r="CU77" s="603"/>
      <c r="CV77" s="603"/>
      <c r="CW77" s="603"/>
      <c r="CX77" s="603"/>
      <c r="CY77" s="603"/>
      <c r="CZ77" s="603"/>
      <c r="DA77" s="603"/>
      <c r="DB77" s="603"/>
      <c r="DC77" s="603"/>
      <c r="DD77" s="603"/>
      <c r="DE77" s="603"/>
      <c r="DF77" s="603"/>
      <c r="DG77" s="603"/>
      <c r="DH77" s="603"/>
      <c r="DI77" s="603"/>
      <c r="DJ77" s="603"/>
      <c r="DK77" s="603"/>
      <c r="DL77" s="603"/>
      <c r="DM77" s="603"/>
      <c r="DN77" s="603"/>
      <c r="DO77" s="603"/>
      <c r="DP77" s="603"/>
      <c r="DQ77" s="603"/>
      <c r="DR77" s="603"/>
      <c r="DS77" s="603"/>
      <c r="DT77" s="603"/>
      <c r="DU77" s="603"/>
      <c r="DV77" s="603"/>
      <c r="DW77" s="603"/>
      <c r="DX77" s="603"/>
      <c r="DY77" s="603"/>
      <c r="DZ77" s="603"/>
      <c r="EA77" s="603"/>
      <c r="EB77" s="603"/>
      <c r="EC77" s="603"/>
      <c r="ED77" s="603"/>
      <c r="EE77" s="603"/>
      <c r="EF77" s="603"/>
      <c r="EG77" s="603"/>
      <c r="EH77" s="603"/>
      <c r="EI77" s="603"/>
      <c r="EJ77" s="603"/>
      <c r="EK77" s="603"/>
      <c r="EL77" s="603"/>
      <c r="EM77" s="603"/>
      <c r="EN77" s="603"/>
      <c r="EO77" s="603"/>
      <c r="EP77" s="603"/>
      <c r="EQ77" s="603"/>
      <c r="ER77" s="603"/>
      <c r="ES77" s="603"/>
      <c r="ET77" s="603"/>
      <c r="EU77" s="603"/>
      <c r="EV77" s="603"/>
      <c r="EW77" s="603"/>
      <c r="EX77" s="603"/>
      <c r="EY77" s="603"/>
      <c r="EZ77" s="603"/>
      <c r="FA77" s="603"/>
      <c r="FB77" s="603"/>
      <c r="FC77" s="603"/>
      <c r="FD77" s="603"/>
      <c r="FE77" s="603"/>
      <c r="FF77" s="603"/>
      <c r="FG77" s="603"/>
      <c r="FH77" s="603"/>
      <c r="FI77" s="603"/>
      <c r="FJ77" s="603"/>
      <c r="FK77" s="603"/>
      <c r="FL77" s="603"/>
      <c r="FM77" s="603"/>
      <c r="FN77" s="603"/>
      <c r="FO77" s="603"/>
      <c r="FP77" s="603"/>
      <c r="FQ77" s="603"/>
      <c r="FR77" s="603"/>
      <c r="FS77" s="603"/>
      <c r="FT77" s="603"/>
      <c r="FU77" s="603"/>
      <c r="FV77" s="603"/>
      <c r="FW77" s="603"/>
      <c r="FX77" s="603"/>
      <c r="FY77" s="603"/>
      <c r="FZ77" s="603"/>
      <c r="GA77" s="603"/>
      <c r="GB77" s="603"/>
      <c r="GC77" s="603"/>
      <c r="GD77" s="603"/>
      <c r="GE77" s="603"/>
      <c r="GF77" s="603"/>
      <c r="GG77" s="603"/>
      <c r="GH77" s="603"/>
      <c r="GI77" s="603"/>
      <c r="GJ77" s="603"/>
      <c r="GK77" s="603"/>
      <c r="GL77" s="603"/>
      <c r="GM77" s="603"/>
      <c r="GN77" s="603"/>
      <c r="GO77" s="603"/>
      <c r="GP77" s="603"/>
      <c r="GQ77" s="603"/>
      <c r="GR77" s="603"/>
      <c r="GS77" s="603"/>
      <c r="GT77" s="603"/>
      <c r="GU77" s="603"/>
      <c r="GV77" s="603"/>
      <c r="GW77" s="603"/>
      <c r="GX77" s="603"/>
      <c r="GY77" s="603"/>
      <c r="GZ77" s="603"/>
      <c r="HA77" s="603"/>
      <c r="HB77" s="603"/>
      <c r="HC77" s="603"/>
      <c r="HD77" s="603"/>
      <c r="HE77" s="603"/>
      <c r="HF77" s="603"/>
      <c r="HG77" s="603"/>
      <c r="HH77" s="603"/>
    </row>
    <row r="78" spans="1:216" s="371" customFormat="1" ht="14.25" customHeight="1" x14ac:dyDescent="0.35">
      <c r="A78" s="504"/>
      <c r="E78" s="675"/>
      <c r="F78" s="675"/>
      <c r="G78" s="675"/>
      <c r="H78" s="675"/>
      <c r="I78" s="675"/>
      <c r="J78" s="675"/>
      <c r="K78" s="675"/>
      <c r="L78" s="675"/>
      <c r="M78" s="675"/>
      <c r="R78" s="603"/>
      <c r="S78" s="603"/>
      <c r="T78" s="603"/>
      <c r="U78" s="603"/>
      <c r="V78" s="603"/>
      <c r="W78" s="603"/>
      <c r="X78" s="603"/>
      <c r="Y78" s="603"/>
      <c r="Z78" s="603"/>
      <c r="AA78" s="603"/>
      <c r="AB78" s="603"/>
      <c r="AC78" s="603"/>
      <c r="AD78" s="603"/>
      <c r="AE78" s="603"/>
      <c r="AF78" s="603"/>
      <c r="AG78" s="603"/>
      <c r="AH78" s="603"/>
      <c r="AI78" s="603"/>
      <c r="AJ78" s="603"/>
      <c r="AK78" s="603"/>
      <c r="AL78" s="603"/>
      <c r="AM78" s="603"/>
      <c r="AN78" s="603"/>
      <c r="AO78" s="603"/>
      <c r="AP78" s="603"/>
      <c r="AQ78" s="603"/>
      <c r="AR78" s="603"/>
      <c r="AS78" s="603"/>
      <c r="AT78" s="603"/>
      <c r="AU78" s="603"/>
      <c r="AV78" s="603"/>
      <c r="AW78" s="603"/>
      <c r="AX78" s="603"/>
      <c r="AY78" s="603"/>
      <c r="AZ78" s="603"/>
      <c r="BA78" s="603"/>
      <c r="BB78" s="603"/>
      <c r="BC78" s="603"/>
      <c r="BD78" s="603"/>
      <c r="BE78" s="603"/>
      <c r="BF78" s="603"/>
      <c r="BG78" s="603"/>
      <c r="BH78" s="603"/>
      <c r="BI78" s="603"/>
      <c r="BJ78" s="603"/>
      <c r="BK78" s="603"/>
      <c r="BL78" s="603"/>
      <c r="BM78" s="603"/>
      <c r="BN78" s="603"/>
      <c r="BO78" s="603"/>
      <c r="BP78" s="603"/>
      <c r="BQ78" s="603"/>
      <c r="BR78" s="603"/>
      <c r="BS78" s="603"/>
      <c r="BT78" s="603"/>
      <c r="BU78" s="603"/>
      <c r="BV78" s="603"/>
      <c r="BW78" s="603"/>
      <c r="BX78" s="603"/>
      <c r="BY78" s="603"/>
      <c r="BZ78" s="603"/>
      <c r="CA78" s="603"/>
      <c r="CB78" s="603"/>
      <c r="CC78" s="603"/>
      <c r="CD78" s="603"/>
      <c r="CE78" s="603"/>
      <c r="CF78" s="603"/>
      <c r="CG78" s="603"/>
      <c r="CH78" s="603"/>
      <c r="CI78" s="603"/>
      <c r="CJ78" s="603"/>
      <c r="CK78" s="603"/>
      <c r="CL78" s="603"/>
      <c r="CM78" s="603"/>
      <c r="CN78" s="603"/>
      <c r="CO78" s="603"/>
      <c r="CP78" s="603"/>
      <c r="CQ78" s="603"/>
      <c r="CR78" s="603"/>
      <c r="CS78" s="603"/>
      <c r="CT78" s="603"/>
      <c r="CU78" s="603"/>
      <c r="CV78" s="603"/>
      <c r="CW78" s="603"/>
      <c r="CX78" s="603"/>
      <c r="CY78" s="603"/>
      <c r="CZ78" s="603"/>
      <c r="DA78" s="603"/>
      <c r="DB78" s="603"/>
      <c r="DC78" s="603"/>
      <c r="DD78" s="603"/>
      <c r="DE78" s="603"/>
      <c r="DF78" s="603"/>
      <c r="DG78" s="603"/>
      <c r="DH78" s="603"/>
      <c r="DI78" s="603"/>
      <c r="DJ78" s="603"/>
      <c r="DK78" s="603"/>
      <c r="DL78" s="603"/>
      <c r="DM78" s="603"/>
      <c r="DN78" s="603"/>
      <c r="DO78" s="603"/>
      <c r="DP78" s="603"/>
      <c r="DQ78" s="603"/>
      <c r="DR78" s="603"/>
      <c r="DS78" s="603"/>
      <c r="DT78" s="603"/>
      <c r="DU78" s="603"/>
      <c r="DV78" s="603"/>
      <c r="DW78" s="603"/>
      <c r="DX78" s="603"/>
      <c r="DY78" s="603"/>
      <c r="DZ78" s="603"/>
      <c r="EA78" s="603"/>
      <c r="EB78" s="603"/>
      <c r="EC78" s="603"/>
      <c r="ED78" s="603"/>
      <c r="EE78" s="603"/>
      <c r="EF78" s="603"/>
      <c r="EG78" s="603"/>
      <c r="EH78" s="603"/>
      <c r="EI78" s="603"/>
      <c r="EJ78" s="603"/>
      <c r="EK78" s="603"/>
      <c r="EL78" s="603"/>
      <c r="EM78" s="603"/>
      <c r="EN78" s="603"/>
      <c r="EO78" s="603"/>
      <c r="EP78" s="603"/>
      <c r="EQ78" s="603"/>
      <c r="ER78" s="603"/>
      <c r="ES78" s="603"/>
      <c r="ET78" s="603"/>
      <c r="EU78" s="603"/>
      <c r="EV78" s="603"/>
      <c r="EW78" s="603"/>
      <c r="EX78" s="603"/>
      <c r="EY78" s="603"/>
      <c r="EZ78" s="603"/>
      <c r="FA78" s="603"/>
      <c r="FB78" s="603"/>
      <c r="FC78" s="603"/>
      <c r="FD78" s="603"/>
      <c r="FE78" s="603"/>
      <c r="FF78" s="603"/>
      <c r="FG78" s="603"/>
      <c r="FH78" s="603"/>
      <c r="FI78" s="603"/>
      <c r="FJ78" s="603"/>
      <c r="FK78" s="603"/>
      <c r="FL78" s="603"/>
      <c r="FM78" s="603"/>
      <c r="FN78" s="603"/>
      <c r="FO78" s="603"/>
      <c r="FP78" s="603"/>
      <c r="FQ78" s="603"/>
      <c r="FR78" s="603"/>
      <c r="FS78" s="603"/>
      <c r="FT78" s="603"/>
      <c r="FU78" s="603"/>
      <c r="FV78" s="603"/>
      <c r="FW78" s="603"/>
      <c r="FX78" s="603"/>
      <c r="FY78" s="603"/>
      <c r="FZ78" s="603"/>
      <c r="GA78" s="603"/>
      <c r="GB78" s="603"/>
      <c r="GC78" s="603"/>
      <c r="GD78" s="603"/>
      <c r="GE78" s="603"/>
      <c r="GF78" s="603"/>
      <c r="GG78" s="603"/>
      <c r="GH78" s="603"/>
      <c r="GI78" s="603"/>
      <c r="GJ78" s="603"/>
      <c r="GK78" s="603"/>
      <c r="GL78" s="603"/>
      <c r="GM78" s="603"/>
      <c r="GN78" s="603"/>
      <c r="GO78" s="603"/>
      <c r="GP78" s="603"/>
      <c r="GQ78" s="603"/>
      <c r="GR78" s="603"/>
      <c r="GS78" s="603"/>
      <c r="GT78" s="603"/>
      <c r="GU78" s="603"/>
      <c r="GV78" s="603"/>
      <c r="GW78" s="603"/>
      <c r="GX78" s="603"/>
      <c r="GY78" s="603"/>
      <c r="GZ78" s="603"/>
      <c r="HA78" s="603"/>
      <c r="HB78" s="603"/>
      <c r="HC78" s="603"/>
      <c r="HD78" s="603"/>
      <c r="HE78" s="603"/>
      <c r="HF78" s="603"/>
      <c r="HG78" s="603"/>
      <c r="HH78" s="603"/>
    </row>
    <row r="79" spans="1:216" s="371" customFormat="1" ht="14.25" customHeight="1" thickBot="1" x14ac:dyDescent="0.4">
      <c r="E79" s="675"/>
      <c r="F79" s="675"/>
      <c r="G79" s="675"/>
      <c r="H79" s="675"/>
      <c r="I79" s="675"/>
      <c r="J79" s="675"/>
      <c r="K79" s="675"/>
      <c r="L79" s="675"/>
      <c r="M79" s="675"/>
      <c r="R79" s="603"/>
      <c r="S79" s="603"/>
      <c r="T79" s="603"/>
      <c r="U79" s="603"/>
      <c r="V79" s="603"/>
      <c r="W79" s="603"/>
      <c r="X79" s="603"/>
      <c r="Y79" s="603"/>
      <c r="Z79" s="603"/>
      <c r="AA79" s="603"/>
      <c r="AB79" s="603"/>
      <c r="AC79" s="603"/>
      <c r="AD79" s="603"/>
      <c r="AE79" s="603"/>
      <c r="AF79" s="603"/>
      <c r="AG79" s="603"/>
      <c r="AH79" s="603"/>
      <c r="AI79" s="603"/>
      <c r="AJ79" s="603"/>
      <c r="AK79" s="603"/>
      <c r="AL79" s="603"/>
      <c r="AM79" s="603"/>
      <c r="AN79" s="603"/>
      <c r="AO79" s="603"/>
      <c r="AP79" s="603"/>
      <c r="AQ79" s="603"/>
      <c r="AR79" s="603"/>
      <c r="AS79" s="603"/>
      <c r="AT79" s="603"/>
      <c r="AU79" s="603"/>
      <c r="AV79" s="603"/>
      <c r="AW79" s="603"/>
      <c r="AX79" s="603"/>
      <c r="AY79" s="603"/>
      <c r="AZ79" s="603"/>
      <c r="BA79" s="603"/>
      <c r="BB79" s="603"/>
      <c r="BC79" s="603"/>
      <c r="BD79" s="603"/>
      <c r="BE79" s="603"/>
      <c r="BF79" s="603"/>
      <c r="BG79" s="603"/>
      <c r="BH79" s="603"/>
      <c r="BI79" s="603"/>
      <c r="BJ79" s="603"/>
      <c r="BK79" s="603"/>
      <c r="BL79" s="603"/>
      <c r="BM79" s="603"/>
      <c r="BN79" s="603"/>
      <c r="BO79" s="603"/>
      <c r="BP79" s="603"/>
      <c r="BQ79" s="603"/>
      <c r="BR79" s="603"/>
      <c r="BS79" s="603"/>
      <c r="BT79" s="603"/>
      <c r="BU79" s="603"/>
      <c r="BV79" s="603"/>
      <c r="BW79" s="603"/>
      <c r="BX79" s="603"/>
      <c r="BY79" s="603"/>
      <c r="BZ79" s="603"/>
      <c r="CA79" s="603"/>
      <c r="CB79" s="603"/>
      <c r="CC79" s="603"/>
      <c r="CD79" s="603"/>
      <c r="CE79" s="603"/>
      <c r="CF79" s="603"/>
      <c r="CG79" s="603"/>
      <c r="CH79" s="603"/>
      <c r="CI79" s="603"/>
      <c r="CJ79" s="603"/>
      <c r="CK79" s="603"/>
      <c r="CL79" s="603"/>
      <c r="CM79" s="603"/>
      <c r="CN79" s="603"/>
      <c r="CO79" s="603"/>
      <c r="CP79" s="603"/>
      <c r="CQ79" s="603"/>
      <c r="CR79" s="603"/>
      <c r="CS79" s="603"/>
      <c r="CT79" s="603"/>
      <c r="CU79" s="603"/>
      <c r="CV79" s="603"/>
      <c r="CW79" s="603"/>
      <c r="CX79" s="603"/>
      <c r="CY79" s="603"/>
      <c r="CZ79" s="603"/>
      <c r="DA79" s="603"/>
      <c r="DB79" s="603"/>
      <c r="DC79" s="603"/>
      <c r="DD79" s="603"/>
      <c r="DE79" s="603"/>
      <c r="DF79" s="603"/>
      <c r="DG79" s="603"/>
      <c r="DH79" s="603"/>
      <c r="DI79" s="603"/>
      <c r="DJ79" s="603"/>
      <c r="DK79" s="603"/>
      <c r="DL79" s="603"/>
      <c r="DM79" s="603"/>
      <c r="DN79" s="603"/>
      <c r="DO79" s="603"/>
      <c r="DP79" s="603"/>
      <c r="DQ79" s="603"/>
      <c r="DR79" s="603"/>
      <c r="DS79" s="603"/>
      <c r="DT79" s="603"/>
      <c r="DU79" s="603"/>
      <c r="DV79" s="603"/>
      <c r="DW79" s="603"/>
      <c r="DX79" s="603"/>
      <c r="DY79" s="603"/>
      <c r="DZ79" s="603"/>
      <c r="EA79" s="603"/>
      <c r="EB79" s="603"/>
      <c r="EC79" s="603"/>
      <c r="ED79" s="603"/>
      <c r="EE79" s="603"/>
      <c r="EF79" s="603"/>
      <c r="EG79" s="603"/>
      <c r="EH79" s="603"/>
      <c r="EI79" s="603"/>
      <c r="EJ79" s="603"/>
      <c r="EK79" s="603"/>
      <c r="EL79" s="603"/>
      <c r="EM79" s="603"/>
      <c r="EN79" s="603"/>
      <c r="EO79" s="603"/>
      <c r="EP79" s="603"/>
      <c r="EQ79" s="603"/>
      <c r="ER79" s="603"/>
      <c r="ES79" s="603"/>
      <c r="ET79" s="603"/>
      <c r="EU79" s="603"/>
      <c r="EV79" s="603"/>
      <c r="EW79" s="603"/>
      <c r="EX79" s="603"/>
      <c r="EY79" s="603"/>
      <c r="EZ79" s="603"/>
      <c r="FA79" s="603"/>
      <c r="FB79" s="603"/>
      <c r="FC79" s="603"/>
      <c r="FD79" s="603"/>
      <c r="FE79" s="603"/>
      <c r="FF79" s="603"/>
      <c r="FG79" s="603"/>
      <c r="FH79" s="603"/>
      <c r="FI79" s="603"/>
      <c r="FJ79" s="603"/>
      <c r="FK79" s="603"/>
      <c r="FL79" s="603"/>
      <c r="FM79" s="603"/>
      <c r="FN79" s="603"/>
      <c r="FO79" s="603"/>
      <c r="FP79" s="603"/>
      <c r="FQ79" s="603"/>
      <c r="FR79" s="603"/>
      <c r="FS79" s="603"/>
      <c r="FT79" s="603"/>
      <c r="FU79" s="603"/>
      <c r="FV79" s="603"/>
      <c r="FW79" s="603"/>
      <c r="FX79" s="603"/>
      <c r="FY79" s="603"/>
      <c r="FZ79" s="603"/>
      <c r="GA79" s="603"/>
      <c r="GB79" s="603"/>
      <c r="GC79" s="603"/>
      <c r="GD79" s="603"/>
      <c r="GE79" s="603"/>
      <c r="GF79" s="603"/>
      <c r="GG79" s="603"/>
      <c r="GH79" s="603"/>
      <c r="GI79" s="603"/>
      <c r="GJ79" s="603"/>
      <c r="GK79" s="603"/>
      <c r="GL79" s="603"/>
      <c r="GM79" s="603"/>
      <c r="GN79" s="603"/>
      <c r="GO79" s="603"/>
      <c r="GP79" s="603"/>
      <c r="GQ79" s="603"/>
      <c r="GR79" s="603"/>
      <c r="GS79" s="603"/>
      <c r="GT79" s="603"/>
      <c r="GU79" s="603"/>
      <c r="GV79" s="603"/>
      <c r="GW79" s="603"/>
      <c r="GX79" s="603"/>
      <c r="GY79" s="603"/>
      <c r="GZ79" s="603"/>
      <c r="HA79" s="603"/>
      <c r="HB79" s="603"/>
      <c r="HC79" s="603"/>
      <c r="HD79" s="603"/>
      <c r="HE79" s="603"/>
      <c r="HF79" s="603"/>
      <c r="HG79" s="603"/>
      <c r="HH79" s="603"/>
    </row>
    <row r="80" spans="1:216" ht="16" thickBot="1" x14ac:dyDescent="0.4">
      <c r="J80" s="1867" t="s">
        <v>1076</v>
      </c>
      <c r="K80" s="1868"/>
      <c r="L80" s="1868"/>
      <c r="M80" s="1869"/>
    </row>
    <row r="81" spans="1:22" ht="31.5" customHeight="1" x14ac:dyDescent="0.35">
      <c r="B81" s="605" t="s">
        <v>1071</v>
      </c>
      <c r="C81" s="1870" t="s">
        <v>1072</v>
      </c>
      <c r="D81" s="1870"/>
      <c r="E81" s="1870"/>
      <c r="F81" s="1870"/>
      <c r="G81" s="678" t="s">
        <v>1077</v>
      </c>
      <c r="H81" s="678" t="s">
        <v>1078</v>
      </c>
      <c r="I81" s="678" t="s">
        <v>1079</v>
      </c>
      <c r="J81" s="606" t="s">
        <v>146</v>
      </c>
      <c r="K81" s="606" t="s">
        <v>147</v>
      </c>
      <c r="L81" s="606" t="s">
        <v>148</v>
      </c>
      <c r="M81" s="607" t="s">
        <v>149</v>
      </c>
      <c r="V81" s="714"/>
    </row>
    <row r="82" spans="1:22" x14ac:dyDescent="0.35">
      <c r="B82" s="604">
        <v>1</v>
      </c>
      <c r="C82" s="1857" t="str">
        <f>+C61</f>
        <v>Gestión integral de Cartera y Cobranza</v>
      </c>
      <c r="D82" s="1857"/>
      <c r="E82" s="1857"/>
      <c r="F82" s="1857"/>
      <c r="G82" s="679">
        <f>+G61</f>
        <v>37449760.617391303</v>
      </c>
      <c r="H82" s="680">
        <v>0.25</v>
      </c>
      <c r="I82" s="679">
        <f>+(G82)+(H82*G82)</f>
        <v>46812200.771739125</v>
      </c>
      <c r="J82" s="679">
        <f>+(I82*$J$77)+(I82)</f>
        <v>51853874.794855431</v>
      </c>
      <c r="K82" s="679">
        <f>+(J82*$K$77)+(J82)</f>
        <v>56883700.649956405</v>
      </c>
      <c r="L82" s="679">
        <f>+(K82*$L$77)+(K82)</f>
        <v>62060117.40910244</v>
      </c>
      <c r="M82" s="681">
        <f>+(L82*$M$77)+(L82)</f>
        <v>67949622.551226258</v>
      </c>
    </row>
    <row r="83" spans="1:22" x14ac:dyDescent="0.35">
      <c r="B83" s="604">
        <v>2</v>
      </c>
      <c r="C83" s="1857" t="str">
        <f t="shared" ref="C83:C85" si="8">+C62</f>
        <v>Escriba aquì el nombre de su producto ó servicio 2</v>
      </c>
      <c r="D83" s="1857"/>
      <c r="E83" s="1857"/>
      <c r="F83" s="1857"/>
      <c r="G83" s="679">
        <f>+G62</f>
        <v>0</v>
      </c>
      <c r="H83" s="680">
        <v>0</v>
      </c>
      <c r="I83" s="679">
        <f>+(G83)+(H83*G83)</f>
        <v>0</v>
      </c>
      <c r="J83" s="679">
        <f>+(I83*$J$77)+(I83)</f>
        <v>0</v>
      </c>
      <c r="K83" s="679">
        <f>+(J83*$K$77)+(J83)</f>
        <v>0</v>
      </c>
      <c r="L83" s="679">
        <f>+(K83*$L$77)+(K83)</f>
        <v>0</v>
      </c>
      <c r="M83" s="681">
        <f>+(L83*$M$77)+(L83)</f>
        <v>0</v>
      </c>
    </row>
    <row r="84" spans="1:22" x14ac:dyDescent="0.35">
      <c r="B84" s="604">
        <v>3</v>
      </c>
      <c r="C84" s="1857" t="str">
        <f t="shared" si="8"/>
        <v>Escriba aquì el nombre de su producto ó servicio 3</v>
      </c>
      <c r="D84" s="1857"/>
      <c r="E84" s="1857"/>
      <c r="F84" s="1857"/>
      <c r="G84" s="679">
        <f>+G63</f>
        <v>0</v>
      </c>
      <c r="H84" s="680">
        <v>0</v>
      </c>
      <c r="I84" s="679">
        <f>+(G84)+(H84*G84)</f>
        <v>0</v>
      </c>
      <c r="J84" s="679">
        <f>+(I84*$J$77)+(I84)</f>
        <v>0</v>
      </c>
      <c r="K84" s="679">
        <f>+(J84*$K$77)+(J84)</f>
        <v>0</v>
      </c>
      <c r="L84" s="679">
        <f>+(K84*$L$77)+(K84)</f>
        <v>0</v>
      </c>
      <c r="M84" s="681">
        <f>+(L84*$M$77)+(L84)</f>
        <v>0</v>
      </c>
      <c r="N84" s="557"/>
      <c r="O84" s="557"/>
      <c r="S84" s="711"/>
    </row>
    <row r="85" spans="1:22" ht="16" thickBot="1" x14ac:dyDescent="0.4">
      <c r="B85" s="673">
        <v>4</v>
      </c>
      <c r="C85" s="1857" t="str">
        <f t="shared" si="8"/>
        <v>Escriba aquì el nombre de su producto ó servicio 4</v>
      </c>
      <c r="D85" s="1857"/>
      <c r="E85" s="1857"/>
      <c r="F85" s="1857"/>
      <c r="G85" s="682">
        <f>+G64</f>
        <v>0</v>
      </c>
      <c r="H85" s="683">
        <v>0</v>
      </c>
      <c r="I85" s="682">
        <f>+(G85)+(H85*G85)</f>
        <v>0</v>
      </c>
      <c r="J85" s="682">
        <f>+(I85*$J$77)+(I85)</f>
        <v>0</v>
      </c>
      <c r="K85" s="682">
        <f>+(J85*$K$77)+(J85)</f>
        <v>0</v>
      </c>
      <c r="L85" s="682">
        <f>+(K85*$L$77)+(K85)</f>
        <v>0</v>
      </c>
      <c r="M85" s="684">
        <f>+(L85*$M$77)+(L85)</f>
        <v>0</v>
      </c>
    </row>
    <row r="88" spans="1:22" ht="27" customHeight="1" x14ac:dyDescent="0.6">
      <c r="A88" s="623"/>
      <c r="B88" s="1759" t="s">
        <v>1080</v>
      </c>
      <c r="C88" s="1759"/>
      <c r="D88" s="1759"/>
      <c r="E88" s="1759"/>
      <c r="F88" s="1759"/>
      <c r="G88" s="1759"/>
      <c r="H88" s="1759"/>
      <c r="I88" s="1759"/>
      <c r="J88" s="1759"/>
      <c r="K88" s="1759"/>
      <c r="L88" s="1759"/>
      <c r="M88" s="1759"/>
      <c r="N88" s="1759"/>
      <c r="O88" s="1759"/>
      <c r="P88" s="1759"/>
    </row>
    <row r="90" spans="1:22" ht="16" thickBot="1" x14ac:dyDescent="0.4">
      <c r="U90" s="711"/>
    </row>
    <row r="91" spans="1:22" ht="16" thickBot="1" x14ac:dyDescent="0.4">
      <c r="B91" s="1864"/>
      <c r="C91" s="1864"/>
      <c r="D91" s="1864"/>
      <c r="E91" s="1864"/>
      <c r="F91" s="1864"/>
      <c r="G91" s="1864"/>
      <c r="H91" s="1864"/>
      <c r="I91" s="1692" t="s">
        <v>1081</v>
      </c>
      <c r="J91" s="1693"/>
      <c r="K91" s="1693"/>
      <c r="L91" s="1693"/>
      <c r="M91" s="1693"/>
      <c r="N91" s="1693"/>
      <c r="O91" s="1693"/>
      <c r="P91" s="1694"/>
    </row>
    <row r="92" spans="1:22" x14ac:dyDescent="0.35">
      <c r="B92" s="605" t="s">
        <v>1071</v>
      </c>
      <c r="C92" s="1717" t="s">
        <v>1072</v>
      </c>
      <c r="D92" s="1717"/>
      <c r="E92" s="1717"/>
      <c r="F92" s="1717"/>
      <c r="G92" s="1717" t="s">
        <v>145</v>
      </c>
      <c r="H92" s="1717"/>
      <c r="I92" s="1717" t="s">
        <v>146</v>
      </c>
      <c r="J92" s="1717"/>
      <c r="K92" s="1717" t="s">
        <v>147</v>
      </c>
      <c r="L92" s="1717"/>
      <c r="M92" s="1717" t="s">
        <v>148</v>
      </c>
      <c r="N92" s="1717"/>
      <c r="O92" s="1717" t="s">
        <v>149</v>
      </c>
      <c r="P92" s="1718"/>
    </row>
    <row r="93" spans="1:22" x14ac:dyDescent="0.35">
      <c r="B93" s="604">
        <v>1</v>
      </c>
      <c r="C93" s="1857" t="str">
        <f>+C61</f>
        <v>Gestión integral de Cartera y Cobranza</v>
      </c>
      <c r="D93" s="1857"/>
      <c r="E93" s="1857"/>
      <c r="F93" s="1857"/>
      <c r="G93" s="1859">
        <f>(I82/12)*'Estudio Técnico'!T268</f>
        <v>842619613.89130425</v>
      </c>
      <c r="H93" s="1859"/>
      <c r="I93" s="1861">
        <f>(J82/12)*'Estudio Técnico'!U268</f>
        <v>998187089.8009671</v>
      </c>
      <c r="J93" s="1862"/>
      <c r="K93" s="1861">
        <f>(K82/12)*'Estudio Técnico'!V268</f>
        <v>1166115863.3241062</v>
      </c>
      <c r="L93" s="1862"/>
      <c r="M93" s="1861">
        <f>(L82/12)*'Estudio Técnico'!W268</f>
        <v>1334292524.2957025</v>
      </c>
      <c r="N93" s="1862"/>
      <c r="O93" s="1861">
        <f>(M82/12)*'Estudio Técnico'!X268</f>
        <v>1523204038.8566554</v>
      </c>
      <c r="P93" s="1863"/>
    </row>
    <row r="94" spans="1:22" x14ac:dyDescent="0.35">
      <c r="B94" s="604">
        <v>2</v>
      </c>
      <c r="C94" s="1857" t="str">
        <f t="shared" ref="C94:C96" si="9">+C62</f>
        <v>Escriba aquì el nombre de su producto ó servicio 2</v>
      </c>
      <c r="D94" s="1857"/>
      <c r="E94" s="1857"/>
      <c r="F94" s="1857"/>
      <c r="G94" s="1859">
        <f>I83*'Estudio Técnico'!T269</f>
        <v>0</v>
      </c>
      <c r="H94" s="1859"/>
      <c r="I94" s="1859">
        <f>J83*'Estudio Técnico'!U269</f>
        <v>0</v>
      </c>
      <c r="J94" s="1859"/>
      <c r="K94" s="1859">
        <f>K83*'Estudio Técnico'!V269</f>
        <v>0</v>
      </c>
      <c r="L94" s="1859"/>
      <c r="M94" s="1859">
        <f>L83*'Estudio Técnico'!W269</f>
        <v>0</v>
      </c>
      <c r="N94" s="1859"/>
      <c r="O94" s="1859">
        <f>M83*'Estudio Técnico'!X269</f>
        <v>0</v>
      </c>
      <c r="P94" s="1860"/>
    </row>
    <row r="95" spans="1:22" x14ac:dyDescent="0.35">
      <c r="B95" s="604">
        <v>3</v>
      </c>
      <c r="C95" s="1857" t="str">
        <f t="shared" si="9"/>
        <v>Escriba aquì el nombre de su producto ó servicio 3</v>
      </c>
      <c r="D95" s="1857"/>
      <c r="E95" s="1857"/>
      <c r="F95" s="1857"/>
      <c r="G95" s="1859">
        <f>I84*'Estudio Técnico'!T270</f>
        <v>0</v>
      </c>
      <c r="H95" s="1859"/>
      <c r="I95" s="1859">
        <f>J84*'Estudio Técnico'!U270</f>
        <v>0</v>
      </c>
      <c r="J95" s="1859"/>
      <c r="K95" s="1859">
        <f>K84*'Estudio Técnico'!V270</f>
        <v>0</v>
      </c>
      <c r="L95" s="1859"/>
      <c r="M95" s="1859">
        <f>L84*'Estudio Técnico'!W270</f>
        <v>0</v>
      </c>
      <c r="N95" s="1859"/>
      <c r="O95" s="1859">
        <f>M84*'Estudio Técnico'!X270</f>
        <v>0</v>
      </c>
      <c r="P95" s="1860"/>
    </row>
    <row r="96" spans="1:22" ht="16" thickBot="1" x14ac:dyDescent="0.4">
      <c r="B96" s="673">
        <v>4</v>
      </c>
      <c r="C96" s="1857" t="str">
        <f t="shared" si="9"/>
        <v>Escriba aquì el nombre de su producto ó servicio 4</v>
      </c>
      <c r="D96" s="1857"/>
      <c r="E96" s="1857"/>
      <c r="F96" s="1857"/>
      <c r="G96" s="1858">
        <f>I85*'Estudio Técnico'!T271</f>
        <v>0</v>
      </c>
      <c r="H96" s="1858"/>
      <c r="I96" s="1859">
        <f>J85*'Estudio Técnico'!U271</f>
        <v>0</v>
      </c>
      <c r="J96" s="1859"/>
      <c r="K96" s="1859">
        <f>K85*'Estudio Técnico'!V271</f>
        <v>0</v>
      </c>
      <c r="L96" s="1859"/>
      <c r="M96" s="1859">
        <f>L85*'Estudio Técnico'!W271</f>
        <v>0</v>
      </c>
      <c r="N96" s="1859"/>
      <c r="O96" s="1859">
        <f>M85*'Estudio Técnico'!X271</f>
        <v>0</v>
      </c>
      <c r="P96" s="1860"/>
    </row>
    <row r="97" spans="1:16" ht="16" thickBot="1" x14ac:dyDescent="0.4"/>
    <row r="98" spans="1:16" ht="16" thickBot="1" x14ac:dyDescent="0.4">
      <c r="B98" s="1692" t="s">
        <v>1082</v>
      </c>
      <c r="C98" s="1693"/>
      <c r="D98" s="1693"/>
      <c r="E98" s="1693"/>
      <c r="F98" s="1693"/>
      <c r="G98" s="1855">
        <f>SUM(G93:H96)</f>
        <v>842619613.89130425</v>
      </c>
      <c r="H98" s="1855"/>
      <c r="I98" s="1855">
        <f>SUM(I93:J96)</f>
        <v>998187089.8009671</v>
      </c>
      <c r="J98" s="1855"/>
      <c r="K98" s="1855">
        <f>SUM(K93:L96)</f>
        <v>1166115863.3241062</v>
      </c>
      <c r="L98" s="1855"/>
      <c r="M98" s="1855">
        <f>SUM(M93:N96)</f>
        <v>1334292524.2957025</v>
      </c>
      <c r="N98" s="1855"/>
      <c r="O98" s="1855">
        <f>SUM(O93:P96)</f>
        <v>1523204038.8566554</v>
      </c>
      <c r="P98" s="1856"/>
    </row>
    <row r="101" spans="1:16" ht="27" customHeight="1" x14ac:dyDescent="0.6">
      <c r="A101" s="623"/>
      <c r="B101" s="1759" t="s">
        <v>1083</v>
      </c>
      <c r="C101" s="1759"/>
      <c r="D101" s="1759"/>
      <c r="E101" s="1759"/>
      <c r="F101" s="1759"/>
      <c r="G101" s="1759"/>
      <c r="H101" s="1759"/>
      <c r="I101" s="1759"/>
      <c r="J101" s="1759"/>
      <c r="K101" s="1759"/>
      <c r="L101" s="1759"/>
      <c r="M101" s="1759"/>
      <c r="N101" s="1759"/>
      <c r="O101" s="1759"/>
      <c r="P101" s="1759"/>
    </row>
    <row r="102" spans="1:16" x14ac:dyDescent="0.35">
      <c r="A102" s="512"/>
      <c r="B102" s="1850" t="s">
        <v>1084</v>
      </c>
      <c r="C102" s="1850"/>
      <c r="D102" s="1850"/>
      <c r="E102" s="1850"/>
      <c r="F102" s="1850"/>
      <c r="G102" s="1850"/>
      <c r="H102" s="1850"/>
      <c r="I102" s="1850"/>
      <c r="J102" s="1850"/>
      <c r="K102" s="1850"/>
      <c r="L102" s="1850"/>
      <c r="M102" s="1850"/>
      <c r="N102" s="1850"/>
      <c r="O102" s="1850"/>
      <c r="P102" s="1850"/>
    </row>
    <row r="103" spans="1:16" ht="16" thickBot="1" x14ac:dyDescent="0.4"/>
    <row r="104" spans="1:16" ht="16" thickBot="1" x14ac:dyDescent="0.4">
      <c r="B104" s="1692" t="s">
        <v>1085</v>
      </c>
      <c r="C104" s="1693"/>
      <c r="D104" s="1693"/>
      <c r="E104" s="1693"/>
      <c r="F104" s="1851">
        <f>+H32</f>
        <v>270031848.10217392</v>
      </c>
      <c r="G104" s="1852"/>
    </row>
    <row r="105" spans="1:16" ht="16" thickBot="1" x14ac:dyDescent="0.4"/>
    <row r="106" spans="1:16" x14ac:dyDescent="0.35">
      <c r="B106" s="1656" t="s">
        <v>1086</v>
      </c>
      <c r="C106" s="884"/>
      <c r="D106" s="884"/>
      <c r="E106" s="602" t="s">
        <v>1087</v>
      </c>
      <c r="F106" s="1853" t="s">
        <v>1088</v>
      </c>
      <c r="G106" s="1854"/>
    </row>
    <row r="107" spans="1:16" x14ac:dyDescent="0.35">
      <c r="B107" s="1848" t="s">
        <v>1089</v>
      </c>
      <c r="C107" s="1849"/>
      <c r="D107" s="1849"/>
      <c r="E107" s="685">
        <v>0.15</v>
      </c>
      <c r="F107" s="1837">
        <f>+($F$104*E107)</f>
        <v>40504777.215326086</v>
      </c>
      <c r="G107" s="1838"/>
    </row>
    <row r="108" spans="1:16" x14ac:dyDescent="0.35">
      <c r="B108" s="1848" t="s">
        <v>1090</v>
      </c>
      <c r="C108" s="1849"/>
      <c r="D108" s="1849"/>
      <c r="E108" s="685">
        <v>0.3</v>
      </c>
      <c r="F108" s="1837">
        <f>+($F$104*E108)</f>
        <v>81009554.430652171</v>
      </c>
      <c r="G108" s="1838"/>
    </row>
    <row r="109" spans="1:16" x14ac:dyDescent="0.35">
      <c r="B109" s="1848" t="s">
        <v>1091</v>
      </c>
      <c r="C109" s="1849"/>
      <c r="D109" s="1849"/>
      <c r="E109" s="685">
        <v>0.35</v>
      </c>
      <c r="F109" s="1837">
        <f>+($F$104*E109)</f>
        <v>94511146.835760862</v>
      </c>
      <c r="G109" s="1838"/>
    </row>
    <row r="110" spans="1:16" x14ac:dyDescent="0.35">
      <c r="B110" s="686" t="s">
        <v>1092</v>
      </c>
      <c r="C110" s="1835" t="s">
        <v>1201</v>
      </c>
      <c r="D110" s="1836"/>
      <c r="E110" s="685">
        <v>0.2</v>
      </c>
      <c r="F110" s="1837">
        <f>+($F$104*E110)</f>
        <v>54006369.620434791</v>
      </c>
      <c r="G110" s="1838"/>
    </row>
    <row r="111" spans="1:16" ht="16" thickBot="1" x14ac:dyDescent="0.4">
      <c r="B111" s="1839" t="s">
        <v>159</v>
      </c>
      <c r="C111" s="1840"/>
      <c r="D111" s="1840"/>
      <c r="E111" s="687">
        <f>SUM(E107:E110)</f>
        <v>1</v>
      </c>
      <c r="F111" s="1841">
        <f>SUM(F107:F110)</f>
        <v>270031848.10217392</v>
      </c>
      <c r="G111" s="1842"/>
    </row>
    <row r="114" spans="2:16" ht="18.5" x14ac:dyDescent="0.45">
      <c r="B114" s="1843" t="s">
        <v>1093</v>
      </c>
      <c r="C114" s="1843"/>
      <c r="D114" s="1843"/>
      <c r="E114" s="1843"/>
      <c r="F114" s="1843"/>
      <c r="G114" s="1843"/>
      <c r="H114" s="1843"/>
      <c r="I114" s="1843"/>
      <c r="J114" s="1843"/>
      <c r="K114" s="1843"/>
      <c r="L114" s="1843"/>
      <c r="M114" s="1843"/>
      <c r="N114" s="1843"/>
      <c r="O114" s="1843"/>
      <c r="P114" s="1843"/>
    </row>
    <row r="116" spans="2:16" ht="16" thickBot="1" x14ac:dyDescent="0.4"/>
    <row r="117" spans="2:16" x14ac:dyDescent="0.35">
      <c r="B117" s="1844" t="s">
        <v>1094</v>
      </c>
      <c r="C117" s="1845"/>
      <c r="D117" s="1846">
        <f>+F109</f>
        <v>94511146.835760862</v>
      </c>
      <c r="E117" s="1847"/>
    </row>
    <row r="118" spans="2:16" x14ac:dyDescent="0.35">
      <c r="B118" s="1826" t="s">
        <v>1095</v>
      </c>
      <c r="C118" s="1719"/>
      <c r="D118" s="1827">
        <v>0.27829999999999999</v>
      </c>
      <c r="E118" s="1828"/>
    </row>
    <row r="119" spans="2:16" x14ac:dyDescent="0.35">
      <c r="B119" s="1826" t="s">
        <v>1096</v>
      </c>
      <c r="C119" s="1719"/>
      <c r="D119" s="1829">
        <v>5</v>
      </c>
      <c r="E119" s="1830"/>
    </row>
    <row r="120" spans="2:16" ht="16" thickBot="1" x14ac:dyDescent="0.4">
      <c r="B120" s="1831" t="s">
        <v>1097</v>
      </c>
      <c r="C120" s="1832"/>
      <c r="D120" s="1833">
        <f>-PMT(D118,D119,D117)</f>
        <v>37201782.123715423</v>
      </c>
      <c r="E120" s="1834"/>
    </row>
    <row r="121" spans="2:16" ht="19" thickBot="1" x14ac:dyDescent="0.5">
      <c r="B121" s="688"/>
    </row>
    <row r="122" spans="2:16" x14ac:dyDescent="0.35">
      <c r="B122" s="52" t="s">
        <v>442</v>
      </c>
      <c r="C122" s="989" t="s">
        <v>1098</v>
      </c>
      <c r="D122" s="989"/>
      <c r="E122" s="1819" t="s">
        <v>1099</v>
      </c>
      <c r="F122" s="1820"/>
      <c r="G122" s="989" t="s">
        <v>1100</v>
      </c>
      <c r="H122" s="989"/>
      <c r="I122" s="989" t="s">
        <v>1101</v>
      </c>
      <c r="J122" s="989"/>
      <c r="K122" s="989" t="s">
        <v>1102</v>
      </c>
      <c r="L122" s="1821"/>
    </row>
    <row r="123" spans="2:16" ht="18.5" x14ac:dyDescent="0.45">
      <c r="B123" s="689">
        <v>0</v>
      </c>
      <c r="C123" s="1822"/>
      <c r="D123" s="1823"/>
      <c r="E123" s="1822"/>
      <c r="F123" s="1823"/>
      <c r="G123" s="1822"/>
      <c r="H123" s="1823"/>
      <c r="I123" s="1822"/>
      <c r="J123" s="1823"/>
      <c r="K123" s="1824">
        <f>+D117</f>
        <v>94511146.835760862</v>
      </c>
      <c r="L123" s="1825"/>
    </row>
    <row r="124" spans="2:16" ht="18.5" x14ac:dyDescent="0.45">
      <c r="B124" s="689">
        <v>1</v>
      </c>
      <c r="C124" s="1816">
        <f>+K123</f>
        <v>94511146.835760862</v>
      </c>
      <c r="D124" s="1817"/>
      <c r="E124" s="1816">
        <f>+$D$120</f>
        <v>37201782.123715423</v>
      </c>
      <c r="F124" s="1817"/>
      <c r="G124" s="1816">
        <f>+C124*$D$118</f>
        <v>26302452.164392248</v>
      </c>
      <c r="H124" s="1817"/>
      <c r="I124" s="1816">
        <f>+E124-G124</f>
        <v>10899329.959323175</v>
      </c>
      <c r="J124" s="1817"/>
      <c r="K124" s="1816">
        <f>+C124-I124</f>
        <v>83611816.876437694</v>
      </c>
      <c r="L124" s="1818"/>
    </row>
    <row r="125" spans="2:16" ht="18.5" x14ac:dyDescent="0.45">
      <c r="B125" s="689">
        <v>2</v>
      </c>
      <c r="C125" s="1816">
        <f>+K124</f>
        <v>83611816.876437694</v>
      </c>
      <c r="D125" s="1817"/>
      <c r="E125" s="1816">
        <f>+$D$120</f>
        <v>37201782.123715423</v>
      </c>
      <c r="F125" s="1817"/>
      <c r="G125" s="1816">
        <f>+C125*$D$118</f>
        <v>23269168.636712611</v>
      </c>
      <c r="H125" s="1817"/>
      <c r="I125" s="1816">
        <f>+E125-G125</f>
        <v>13932613.487002812</v>
      </c>
      <c r="J125" s="1817"/>
      <c r="K125" s="1816">
        <f>+C125-I125</f>
        <v>69679203.389434874</v>
      </c>
      <c r="L125" s="1818"/>
    </row>
    <row r="126" spans="2:16" ht="18.5" x14ac:dyDescent="0.45">
      <c r="B126" s="689">
        <v>3</v>
      </c>
      <c r="C126" s="1816">
        <f>+K125</f>
        <v>69679203.389434874</v>
      </c>
      <c r="D126" s="1817"/>
      <c r="E126" s="1816">
        <f>+$D$120</f>
        <v>37201782.123715423</v>
      </c>
      <c r="F126" s="1817"/>
      <c r="G126" s="1816">
        <f>+C126*$D$118</f>
        <v>19391722.303279724</v>
      </c>
      <c r="H126" s="1817"/>
      <c r="I126" s="1816">
        <f>+E126-G126</f>
        <v>17810059.820435699</v>
      </c>
      <c r="J126" s="1817"/>
      <c r="K126" s="1816">
        <f>+C126-I126</f>
        <v>51869143.568999171</v>
      </c>
      <c r="L126" s="1818"/>
    </row>
    <row r="127" spans="2:16" ht="18.5" x14ac:dyDescent="0.45">
      <c r="B127" s="689">
        <v>4</v>
      </c>
      <c r="C127" s="1816">
        <f>+K126</f>
        <v>51869143.568999171</v>
      </c>
      <c r="D127" s="1817"/>
      <c r="E127" s="1816">
        <f>+$D$120</f>
        <v>37201782.123715423</v>
      </c>
      <c r="F127" s="1817"/>
      <c r="G127" s="1816">
        <f>+C127*$D$118</f>
        <v>14435182.65525247</v>
      </c>
      <c r="H127" s="1817"/>
      <c r="I127" s="1816">
        <f>+E127-G127</f>
        <v>22766599.468462951</v>
      </c>
      <c r="J127" s="1817"/>
      <c r="K127" s="1816">
        <f>+C127-I127</f>
        <v>29102544.10053622</v>
      </c>
      <c r="L127" s="1818"/>
    </row>
    <row r="128" spans="2:16" ht="19" thickBot="1" x14ac:dyDescent="0.5">
      <c r="B128" s="690">
        <v>5</v>
      </c>
      <c r="C128" s="1813">
        <f>+K127</f>
        <v>29102544.10053622</v>
      </c>
      <c r="D128" s="1814"/>
      <c r="E128" s="1813">
        <f>+$D$120</f>
        <v>37201782.123715423</v>
      </c>
      <c r="F128" s="1814"/>
      <c r="G128" s="1813">
        <f>+C128*$D$118</f>
        <v>8099238.0231792293</v>
      </c>
      <c r="H128" s="1814"/>
      <c r="I128" s="1813">
        <f>+E128-G128</f>
        <v>29102544.100536194</v>
      </c>
      <c r="J128" s="1814"/>
      <c r="K128" s="1813">
        <f>+C128-I128</f>
        <v>0</v>
      </c>
      <c r="L128" s="1815"/>
    </row>
    <row r="129" spans="1:16" ht="18.5" x14ac:dyDescent="0.45">
      <c r="B129" s="688"/>
    </row>
    <row r="130" spans="1:16" ht="18.5" x14ac:dyDescent="0.45">
      <c r="B130" s="688"/>
    </row>
    <row r="131" spans="1:16" ht="26" x14ac:dyDescent="0.6">
      <c r="A131" s="512"/>
      <c r="B131" s="1759" t="s">
        <v>1103</v>
      </c>
      <c r="C131" s="1759"/>
      <c r="D131" s="1759"/>
      <c r="E131" s="1759"/>
      <c r="F131" s="1759"/>
      <c r="G131" s="1759"/>
      <c r="H131" s="1759"/>
      <c r="I131" s="1759"/>
      <c r="J131" s="1759"/>
      <c r="K131" s="1759"/>
      <c r="L131" s="1759"/>
      <c r="M131" s="1759"/>
      <c r="N131" s="1759"/>
      <c r="O131" s="1759"/>
      <c r="P131" s="1759"/>
    </row>
    <row r="133" spans="1:16" ht="21" x14ac:dyDescent="0.5">
      <c r="B133" s="1800" t="s">
        <v>1104</v>
      </c>
      <c r="C133" s="1800"/>
      <c r="D133" s="1800"/>
      <c r="E133" s="1800"/>
      <c r="F133" s="1800"/>
      <c r="G133" s="1800"/>
      <c r="H133" s="1800"/>
      <c r="I133" s="1800"/>
      <c r="J133" s="1800"/>
      <c r="K133" s="1800"/>
      <c r="L133" s="1800"/>
      <c r="M133" s="1800"/>
      <c r="N133" s="1800"/>
      <c r="O133" s="1800"/>
      <c r="P133" s="1800"/>
    </row>
    <row r="134" spans="1:16" x14ac:dyDescent="0.35">
      <c r="B134" s="1801" t="s">
        <v>1105</v>
      </c>
      <c r="C134" s="1801"/>
      <c r="D134" s="1801"/>
      <c r="E134" s="1801"/>
      <c r="F134" s="1801"/>
      <c r="G134" s="1801"/>
      <c r="H134" s="1801"/>
      <c r="I134" s="1801"/>
      <c r="J134" s="1801"/>
      <c r="K134" s="1801"/>
      <c r="L134" s="1801"/>
      <c r="M134" s="1801"/>
      <c r="N134" s="1801"/>
      <c r="O134" s="1801"/>
      <c r="P134" s="1801"/>
    </row>
    <row r="135" spans="1:16" ht="16" thickBot="1" x14ac:dyDescent="0.4">
      <c r="B135" s="691"/>
      <c r="C135" s="691"/>
      <c r="D135" s="691"/>
      <c r="E135" s="691"/>
      <c r="F135" s="691"/>
      <c r="G135" s="691"/>
      <c r="H135" s="43"/>
    </row>
    <row r="136" spans="1:16" x14ac:dyDescent="0.35">
      <c r="B136" s="1802" t="s">
        <v>1106</v>
      </c>
      <c r="C136" s="1803"/>
      <c r="D136" s="692" t="s">
        <v>631</v>
      </c>
      <c r="E136" s="692" t="s">
        <v>632</v>
      </c>
      <c r="F136" s="693" t="s">
        <v>633</v>
      </c>
      <c r="G136" s="693" t="s">
        <v>634</v>
      </c>
      <c r="H136" s="694" t="s">
        <v>635</v>
      </c>
    </row>
    <row r="137" spans="1:16" ht="16" thickBot="1" x14ac:dyDescent="0.4">
      <c r="B137" s="1804"/>
      <c r="C137" s="1805"/>
      <c r="D137" s="695">
        <v>8</v>
      </c>
      <c r="E137" s="696">
        <v>8</v>
      </c>
      <c r="F137" s="696">
        <v>8</v>
      </c>
      <c r="G137" s="696">
        <v>8</v>
      </c>
      <c r="H137" s="697">
        <v>8</v>
      </c>
    </row>
    <row r="138" spans="1:16" x14ac:dyDescent="0.35">
      <c r="B138" s="698"/>
      <c r="C138" s="698"/>
      <c r="D138" s="699"/>
      <c r="E138" s="700"/>
      <c r="F138" s="700"/>
      <c r="G138" s="700"/>
      <c r="H138" s="700"/>
    </row>
    <row r="139" spans="1:16" ht="16" thickBot="1" x14ac:dyDescent="0.4">
      <c r="C139" s="701"/>
      <c r="D139" s="701"/>
      <c r="E139" s="701"/>
      <c r="F139" s="701"/>
      <c r="G139" s="701"/>
      <c r="H139" s="43"/>
    </row>
    <row r="140" spans="1:16" x14ac:dyDescent="0.35">
      <c r="B140" s="1806" t="s">
        <v>1107</v>
      </c>
      <c r="C140" s="990"/>
      <c r="D140" s="1809" t="s">
        <v>1108</v>
      </c>
      <c r="E140" s="1809"/>
      <c r="F140" s="1809"/>
      <c r="G140" s="1809"/>
      <c r="H140" s="1809"/>
      <c r="I140" s="1809"/>
      <c r="J140" s="1809"/>
      <c r="K140" s="1809"/>
      <c r="L140" s="1809"/>
      <c r="M140" s="1810"/>
    </row>
    <row r="141" spans="1:16" x14ac:dyDescent="0.35">
      <c r="B141" s="1807"/>
      <c r="C141" s="1808"/>
      <c r="D141" s="1811" t="s">
        <v>631</v>
      </c>
      <c r="E141" s="1811"/>
      <c r="F141" s="1811" t="s">
        <v>632</v>
      </c>
      <c r="G141" s="1811"/>
      <c r="H141" s="1811" t="s">
        <v>633</v>
      </c>
      <c r="I141" s="1811"/>
      <c r="J141" s="1811" t="s">
        <v>634</v>
      </c>
      <c r="K141" s="1811"/>
      <c r="L141" s="1811" t="s">
        <v>635</v>
      </c>
      <c r="M141" s="1812"/>
    </row>
    <row r="142" spans="1:16" x14ac:dyDescent="0.35">
      <c r="B142" s="1770" t="s">
        <v>1109</v>
      </c>
      <c r="C142" s="1771"/>
      <c r="D142" s="1798">
        <v>0</v>
      </c>
      <c r="E142" s="1798"/>
      <c r="F142" s="1798">
        <f>+D144</f>
        <v>18724880.308695652</v>
      </c>
      <c r="G142" s="1798"/>
      <c r="H142" s="1798">
        <f>+F144</f>
        <v>22181935.328910381</v>
      </c>
      <c r="I142" s="1798"/>
      <c r="J142" s="1798">
        <f>+H144</f>
        <v>25913685.851646803</v>
      </c>
      <c r="K142" s="1798"/>
      <c r="L142" s="1798">
        <f>+J144</f>
        <v>29650944.984348945</v>
      </c>
      <c r="M142" s="1799"/>
    </row>
    <row r="143" spans="1:16" x14ac:dyDescent="0.35">
      <c r="B143" s="1569" t="s">
        <v>1110</v>
      </c>
      <c r="C143" s="1570"/>
      <c r="D143" s="1798">
        <f>+G98</f>
        <v>842619613.89130425</v>
      </c>
      <c r="E143" s="1798"/>
      <c r="F143" s="1798">
        <f>+I98</f>
        <v>998187089.8009671</v>
      </c>
      <c r="G143" s="1798"/>
      <c r="H143" s="1798">
        <f>+K98</f>
        <v>1166115863.3241062</v>
      </c>
      <c r="I143" s="1798"/>
      <c r="J143" s="1798">
        <f>+M98</f>
        <v>1334292524.2957025</v>
      </c>
      <c r="K143" s="1798"/>
      <c r="L143" s="1798">
        <f>+O98</f>
        <v>1523204038.8566554</v>
      </c>
      <c r="M143" s="1799"/>
    </row>
    <row r="144" spans="1:16" x14ac:dyDescent="0.35">
      <c r="B144" s="1569" t="s">
        <v>1111</v>
      </c>
      <c r="C144" s="1570"/>
      <c r="D144" s="1798">
        <f>+(G98/360)*(D137)</f>
        <v>18724880.308695652</v>
      </c>
      <c r="E144" s="1798"/>
      <c r="F144" s="1798">
        <f>+(I98/360)*(E137)</f>
        <v>22181935.328910381</v>
      </c>
      <c r="G144" s="1798"/>
      <c r="H144" s="1798">
        <f>+(K98/360)*(F137)</f>
        <v>25913685.851646803</v>
      </c>
      <c r="I144" s="1798"/>
      <c r="J144" s="1798">
        <f>+(M98/360)*(G137)</f>
        <v>29650944.984348945</v>
      </c>
      <c r="K144" s="1798"/>
      <c r="L144" s="1798">
        <f>+(O98/360)*(H137)</f>
        <v>33848978.641259007</v>
      </c>
      <c r="M144" s="1799"/>
    </row>
    <row r="145" spans="2:216" x14ac:dyDescent="0.35">
      <c r="B145" s="1569"/>
      <c r="C145" s="1570"/>
      <c r="D145" s="1798"/>
      <c r="E145" s="1798"/>
      <c r="F145" s="1798"/>
      <c r="G145" s="1798"/>
      <c r="H145" s="1798"/>
      <c r="I145" s="1798"/>
      <c r="J145" s="1798"/>
      <c r="K145" s="1798"/>
      <c r="L145" s="1798"/>
      <c r="M145" s="1799"/>
    </row>
    <row r="146" spans="2:216" ht="16" thickBot="1" x14ac:dyDescent="0.4">
      <c r="B146" s="1645" t="s">
        <v>1112</v>
      </c>
      <c r="C146" s="1646"/>
      <c r="D146" s="1796">
        <f>+D143+D144</f>
        <v>861344494.19999993</v>
      </c>
      <c r="E146" s="1796"/>
      <c r="F146" s="1796">
        <f>+F143+F144</f>
        <v>1020369025.1298774</v>
      </c>
      <c r="G146" s="1796"/>
      <c r="H146" s="1796">
        <f>+H143+H144</f>
        <v>1192029549.1757531</v>
      </c>
      <c r="I146" s="1796"/>
      <c r="J146" s="1796">
        <f>+J143+J144</f>
        <v>1363943469.2800515</v>
      </c>
      <c r="K146" s="1796"/>
      <c r="L146" s="1796">
        <f>+L143+L144</f>
        <v>1557053017.4979143</v>
      </c>
      <c r="M146" s="1797"/>
    </row>
    <row r="147" spans="2:216" ht="15" customHeight="1" x14ac:dyDescent="0.35">
      <c r="B147" s="702"/>
      <c r="C147" s="703"/>
      <c r="D147" s="703"/>
      <c r="E147" s="703"/>
      <c r="F147" s="703"/>
      <c r="G147" s="703"/>
      <c r="H147" s="43"/>
    </row>
    <row r="148" spans="2:216" ht="15" customHeight="1" x14ac:dyDescent="0.35">
      <c r="B148" s="702"/>
      <c r="C148" s="703"/>
      <c r="D148" s="703"/>
      <c r="E148" s="703"/>
      <c r="F148" s="703"/>
      <c r="G148" s="703"/>
      <c r="H148" s="43"/>
    </row>
    <row r="149" spans="2:216" ht="15" customHeight="1" x14ac:dyDescent="0.35">
      <c r="B149" s="704" t="s">
        <v>1113</v>
      </c>
      <c r="C149" s="703"/>
      <c r="D149" s="703"/>
      <c r="E149" s="703"/>
      <c r="F149" s="703"/>
      <c r="G149" s="703"/>
      <c r="H149" s="43"/>
    </row>
    <row r="150" spans="2:216" ht="15" customHeight="1" x14ac:dyDescent="0.35">
      <c r="B150" s="702"/>
      <c r="C150" s="703"/>
      <c r="D150" s="703"/>
      <c r="E150" s="703"/>
      <c r="F150" s="703"/>
      <c r="G150" s="703"/>
      <c r="H150" s="43"/>
    </row>
    <row r="151" spans="2:216" x14ac:dyDescent="0.35">
      <c r="D151" s="1791" t="s">
        <v>1114</v>
      </c>
      <c r="E151" s="1791"/>
      <c r="F151" s="1792">
        <v>0</v>
      </c>
      <c r="G151" s="43"/>
      <c r="H151" s="1793" t="s">
        <v>1115</v>
      </c>
      <c r="I151" s="1793"/>
      <c r="J151" s="1794">
        <v>0.25</v>
      </c>
      <c r="K151" s="43"/>
      <c r="L151" s="1795" t="s">
        <v>1116</v>
      </c>
      <c r="M151" s="1795"/>
      <c r="N151" s="1794">
        <v>0.35</v>
      </c>
    </row>
    <row r="152" spans="2:216" ht="15" customHeight="1" x14ac:dyDescent="0.35">
      <c r="B152" s="702"/>
      <c r="C152" s="703"/>
      <c r="D152" s="1791"/>
      <c r="E152" s="1791"/>
      <c r="F152" s="1792"/>
      <c r="G152" s="703"/>
      <c r="H152" s="1793"/>
      <c r="I152" s="1793"/>
      <c r="J152" s="1794"/>
      <c r="L152" s="1795"/>
      <c r="M152" s="1795"/>
      <c r="N152" s="1794"/>
    </row>
    <row r="153" spans="2:216" ht="15" customHeight="1" x14ac:dyDescent="0.35">
      <c r="B153" s="702"/>
      <c r="C153" s="703"/>
      <c r="D153" s="703"/>
      <c r="E153" s="703"/>
      <c r="F153" s="703"/>
      <c r="G153" s="703"/>
      <c r="H153" s="43"/>
      <c r="P153" s="723"/>
    </row>
    <row r="154" spans="2:216" ht="15" customHeight="1" thickBot="1" x14ac:dyDescent="0.4">
      <c r="B154" s="702"/>
      <c r="C154" s="703"/>
      <c r="D154" s="703"/>
      <c r="E154" s="703"/>
      <c r="F154" s="703"/>
      <c r="G154" s="703"/>
      <c r="H154" s="43"/>
      <c r="J154" s="718"/>
      <c r="L154" s="718"/>
      <c r="N154" s="723"/>
      <c r="P154" s="723"/>
    </row>
    <row r="155" spans="2:216" ht="21.75" customHeight="1" thickBot="1" x14ac:dyDescent="0.4">
      <c r="B155" s="1783"/>
      <c r="C155" s="1784"/>
      <c r="D155" s="1784"/>
      <c r="E155" s="1784"/>
      <c r="F155" s="1784"/>
      <c r="G155" s="1785" t="s">
        <v>1117</v>
      </c>
      <c r="H155" s="1786"/>
      <c r="I155" s="1786"/>
      <c r="J155" s="1786"/>
      <c r="K155" s="1786"/>
      <c r="L155" s="1786"/>
      <c r="M155" s="1786"/>
      <c r="N155" s="1786"/>
      <c r="O155" s="1786"/>
      <c r="P155" s="1787"/>
    </row>
    <row r="156" spans="2:216" s="51" customFormat="1" ht="27" customHeight="1" x14ac:dyDescent="0.35">
      <c r="B156" s="1788" t="s">
        <v>1118</v>
      </c>
      <c r="C156" s="1789"/>
      <c r="D156" s="1789"/>
      <c r="E156" s="1789" t="s">
        <v>1119</v>
      </c>
      <c r="F156" s="1789"/>
      <c r="G156" s="1789" t="s">
        <v>631</v>
      </c>
      <c r="H156" s="1789"/>
      <c r="I156" s="1789" t="s">
        <v>632</v>
      </c>
      <c r="J156" s="1789"/>
      <c r="K156" s="1789" t="s">
        <v>633</v>
      </c>
      <c r="L156" s="1789"/>
      <c r="M156" s="1789" t="s">
        <v>634</v>
      </c>
      <c r="N156" s="1789"/>
      <c r="O156" s="1789" t="s">
        <v>635</v>
      </c>
      <c r="P156" s="1790"/>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44"/>
      <c r="AU156" s="44"/>
      <c r="AV156" s="44"/>
      <c r="AW156" s="44"/>
      <c r="AX156" s="44"/>
      <c r="AY156" s="44"/>
      <c r="AZ156" s="4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c r="CY156" s="64"/>
      <c r="CZ156" s="64"/>
      <c r="DA156" s="64"/>
      <c r="DB156" s="64"/>
      <c r="DC156" s="64"/>
      <c r="DD156" s="64"/>
      <c r="DE156" s="64"/>
      <c r="DF156" s="64"/>
      <c r="DG156" s="64"/>
      <c r="DH156" s="64"/>
      <c r="DI156" s="64"/>
      <c r="DJ156" s="64"/>
      <c r="DK156" s="64"/>
      <c r="DL156" s="64"/>
      <c r="DM156" s="64"/>
      <c r="DN156" s="64"/>
      <c r="DO156" s="64"/>
      <c r="DP156" s="64"/>
      <c r="DQ156" s="64"/>
      <c r="DR156" s="64"/>
      <c r="DS156" s="64"/>
      <c r="DT156" s="64"/>
      <c r="DU156" s="64"/>
      <c r="DV156" s="64"/>
      <c r="DW156" s="64"/>
      <c r="DX156" s="64"/>
      <c r="DY156" s="64"/>
      <c r="DZ156" s="64"/>
      <c r="EA156" s="64"/>
      <c r="EB156" s="64"/>
      <c r="EC156" s="64"/>
      <c r="ED156" s="64"/>
      <c r="EE156" s="64"/>
      <c r="EF156" s="64"/>
      <c r="EG156" s="64"/>
      <c r="EH156" s="64"/>
      <c r="EI156" s="64"/>
      <c r="EJ156" s="64"/>
      <c r="EK156" s="64"/>
      <c r="EL156" s="64"/>
      <c r="EM156" s="64"/>
      <c r="EN156" s="64"/>
      <c r="EO156" s="64"/>
      <c r="EP156" s="64"/>
      <c r="EQ156" s="64"/>
      <c r="ER156" s="64"/>
      <c r="ES156" s="64"/>
      <c r="ET156" s="64"/>
      <c r="EU156" s="64"/>
      <c r="EV156" s="64"/>
      <c r="EW156" s="64"/>
      <c r="EX156" s="64"/>
      <c r="EY156" s="64"/>
      <c r="EZ156" s="64"/>
      <c r="FA156" s="64"/>
      <c r="FB156" s="64"/>
      <c r="FC156" s="64"/>
      <c r="FD156" s="64"/>
      <c r="FE156" s="64"/>
      <c r="FF156" s="64"/>
      <c r="FG156" s="64"/>
      <c r="FH156" s="64"/>
      <c r="FI156" s="64"/>
      <c r="FJ156" s="64"/>
      <c r="FK156" s="64"/>
      <c r="FL156" s="64"/>
      <c r="FM156" s="64"/>
      <c r="FN156" s="64"/>
      <c r="FO156" s="64"/>
      <c r="FP156" s="64"/>
      <c r="FQ156" s="6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64"/>
      <c r="HH156" s="64"/>
    </row>
    <row r="157" spans="2:216" x14ac:dyDescent="0.35">
      <c r="B157" s="1770" t="s">
        <v>1120</v>
      </c>
      <c r="C157" s="1771"/>
      <c r="D157" s="1771"/>
      <c r="E157" s="1766"/>
      <c r="F157" s="1766"/>
      <c r="G157" s="1766"/>
      <c r="H157" s="1766"/>
      <c r="I157" s="1766"/>
      <c r="J157" s="1766"/>
      <c r="K157" s="1766"/>
      <c r="L157" s="1766"/>
      <c r="M157" s="1766"/>
      <c r="N157" s="1766"/>
      <c r="O157" s="1766"/>
      <c r="P157" s="1767"/>
    </row>
    <row r="158" spans="2:216" x14ac:dyDescent="0.35">
      <c r="B158" s="1569" t="str">
        <f>B146</f>
        <v>Ingreso por ventas</v>
      </c>
      <c r="C158" s="1570"/>
      <c r="D158" s="1570"/>
      <c r="E158" s="1766"/>
      <c r="F158" s="1766"/>
      <c r="G158" s="1766">
        <f>D146</f>
        <v>861344494.19999993</v>
      </c>
      <c r="H158" s="1766"/>
      <c r="I158" s="1766">
        <f>+F146</f>
        <v>1020369025.1298774</v>
      </c>
      <c r="J158" s="1766"/>
      <c r="K158" s="1766">
        <f>+H146</f>
        <v>1192029549.1757531</v>
      </c>
      <c r="L158" s="1766"/>
      <c r="M158" s="1766">
        <f>+J146</f>
        <v>1363943469.2800515</v>
      </c>
      <c r="N158" s="1766"/>
      <c r="O158" s="1766">
        <f>+L146</f>
        <v>1557053017.4979143</v>
      </c>
      <c r="P158" s="1767"/>
      <c r="R158" s="715"/>
    </row>
    <row r="159" spans="2:216" x14ac:dyDescent="0.35">
      <c r="B159" s="1569" t="s">
        <v>1121</v>
      </c>
      <c r="C159" s="1570"/>
      <c r="D159" s="1570"/>
      <c r="E159" s="1766"/>
      <c r="F159" s="1766"/>
      <c r="G159" s="1766">
        <v>0</v>
      </c>
      <c r="H159" s="1766"/>
      <c r="I159" s="1766">
        <v>0</v>
      </c>
      <c r="J159" s="1766"/>
      <c r="K159" s="1766">
        <v>0</v>
      </c>
      <c r="L159" s="1766"/>
      <c r="M159" s="1766">
        <v>0</v>
      </c>
      <c r="N159" s="1766"/>
      <c r="O159" s="1766">
        <f>+E54</f>
        <v>41418333.333333336</v>
      </c>
      <c r="P159" s="1767"/>
    </row>
    <row r="160" spans="2:216" x14ac:dyDescent="0.35">
      <c r="B160" s="1569" t="s">
        <v>1122</v>
      </c>
      <c r="C160" s="1570"/>
      <c r="D160" s="1570"/>
      <c r="E160" s="1766">
        <f>+F107+F108+F110</f>
        <v>175520701.26641303</v>
      </c>
      <c r="F160" s="1766"/>
      <c r="G160" s="1766">
        <v>0</v>
      </c>
      <c r="H160" s="1766"/>
      <c r="I160" s="1766">
        <v>0</v>
      </c>
      <c r="J160" s="1766"/>
      <c r="K160" s="1766">
        <v>0</v>
      </c>
      <c r="L160" s="1766"/>
      <c r="M160" s="1766">
        <v>0</v>
      </c>
      <c r="N160" s="1766"/>
      <c r="O160" s="1766">
        <v>0</v>
      </c>
      <c r="P160" s="1767"/>
    </row>
    <row r="161" spans="2:16" x14ac:dyDescent="0.35">
      <c r="B161" s="1569" t="s">
        <v>1123</v>
      </c>
      <c r="C161" s="1570"/>
      <c r="D161" s="1570"/>
      <c r="E161" s="1766">
        <f>+F109</f>
        <v>94511146.835760862</v>
      </c>
      <c r="F161" s="1766"/>
      <c r="G161" s="1766"/>
      <c r="H161" s="1766"/>
      <c r="I161" s="1766"/>
      <c r="J161" s="1766"/>
      <c r="K161" s="1766"/>
      <c r="L161" s="1766"/>
      <c r="M161" s="1766"/>
      <c r="N161" s="1766"/>
      <c r="O161" s="1766"/>
      <c r="P161" s="1767"/>
    </row>
    <row r="162" spans="2:16" x14ac:dyDescent="0.35">
      <c r="B162" s="1770" t="s">
        <v>1124</v>
      </c>
      <c r="C162" s="1771"/>
      <c r="D162" s="1771"/>
      <c r="E162" s="1781">
        <f>SUM(E158:F161)</f>
        <v>270031848.10217392</v>
      </c>
      <c r="F162" s="1781"/>
      <c r="G162" s="1781">
        <f>SUM(G158:H161)</f>
        <v>861344494.19999993</v>
      </c>
      <c r="H162" s="1781"/>
      <c r="I162" s="1781">
        <f>SUM(I158:J161)</f>
        <v>1020369025.1298774</v>
      </c>
      <c r="J162" s="1781"/>
      <c r="K162" s="1781">
        <f>SUM(K158:L161)</f>
        <v>1192029549.1757531</v>
      </c>
      <c r="L162" s="1781"/>
      <c r="M162" s="1781">
        <f>SUM(M158:N161)</f>
        <v>1363943469.2800515</v>
      </c>
      <c r="N162" s="1781"/>
      <c r="O162" s="1781">
        <f>SUM(O158:P161)</f>
        <v>1598471350.8312476</v>
      </c>
      <c r="P162" s="1782"/>
    </row>
    <row r="163" spans="2:16" x14ac:dyDescent="0.35">
      <c r="B163" s="1569"/>
      <c r="C163" s="1570"/>
      <c r="D163" s="1570"/>
      <c r="E163" s="1766"/>
      <c r="F163" s="1766"/>
      <c r="G163" s="1766"/>
      <c r="H163" s="1766"/>
      <c r="I163" s="1766"/>
      <c r="J163" s="1766"/>
      <c r="K163" s="1766"/>
      <c r="L163" s="1766"/>
      <c r="M163" s="1766"/>
      <c r="N163" s="1766"/>
      <c r="O163" s="1766"/>
      <c r="P163" s="1767"/>
    </row>
    <row r="164" spans="2:16" x14ac:dyDescent="0.35">
      <c r="B164" s="1770" t="s">
        <v>1125</v>
      </c>
      <c r="C164" s="1771"/>
      <c r="D164" s="1771"/>
      <c r="E164" s="1766"/>
      <c r="F164" s="1766"/>
      <c r="G164" s="1766"/>
      <c r="H164" s="1766"/>
      <c r="I164" s="1766"/>
      <c r="J164" s="1766"/>
      <c r="K164" s="1766"/>
      <c r="L164" s="1766"/>
      <c r="M164" s="1766"/>
      <c r="N164" s="1766"/>
      <c r="O164" s="1766"/>
      <c r="P164" s="1767"/>
    </row>
    <row r="165" spans="2:16" x14ac:dyDescent="0.35">
      <c r="B165" s="1569" t="s">
        <v>1126</v>
      </c>
      <c r="C165" s="1570"/>
      <c r="D165" s="1570"/>
      <c r="E165" s="1766"/>
      <c r="F165" s="1766"/>
      <c r="G165" s="1773">
        <f>'Estudio Técnico'!$J$503-('Est. Organizacional y Legal'!F220*12)-G171-'Est. Organizacional y Legal'!AO314</f>
        <v>403290357.77971011</v>
      </c>
      <c r="H165" s="1773"/>
      <c r="I165" s="1778">
        <f>'Estudio Técnico'!$L$503-(('Est. Organizacional y Legal'!F220*(1+'Est. Organizacional y Legal'!E229))*12)-I171-'Est. Organizacional y Legal'!AP314</f>
        <v>471923264.99435341</v>
      </c>
      <c r="J165" s="1780"/>
      <c r="K165" s="1778">
        <f>'Estudio Técnico'!$O$503-((('Est. Organizacional y Legal'!F220*(1+'Est. Organizacional y Legal'!E229))*12)*(1+'Est. Organizacional y Legal'!F229))-K171-'Est. Organizacional y Legal'!AQ314</f>
        <v>539460989.4960587</v>
      </c>
      <c r="L165" s="1780"/>
      <c r="M165" s="1778">
        <f>'Estudio Técnico'!$S$503-(((('Est. Organizacional y Legal'!F220*(1+'Est. Organizacional y Legal'!E229))*12)*(1+'Est. Organizacional y Legal'!F229))*(1+'Est. Organizacional y Legal'!G229))-M171-'Est. Organizacional y Legal'!AR314</f>
        <v>598837412.62445116</v>
      </c>
      <c r="N165" s="1780"/>
      <c r="O165" s="1778">
        <f>'Estudio Técnico'!$V$503-((((('Est. Organizacional y Legal'!F220*(1+'Est. Organizacional y Legal'!E229))*12)*(1+'Est. Organizacional y Legal'!F229))*(1+'Est. Organizacional y Legal'!G229))*(1+'Est. Organizacional y Legal'!H229))-O171-'Est. Organizacional y Legal'!AS314</f>
        <v>659830062.71486032</v>
      </c>
      <c r="P165" s="1779"/>
    </row>
    <row r="166" spans="2:16" x14ac:dyDescent="0.35">
      <c r="B166" s="1569" t="s">
        <v>1127</v>
      </c>
      <c r="C166" s="1570"/>
      <c r="D166" s="1570"/>
      <c r="E166" s="1766"/>
      <c r="F166" s="1766"/>
      <c r="G166" s="1773">
        <f>'Estudio de Mercados'!H368</f>
        <v>37693073.5</v>
      </c>
      <c r="H166" s="1773"/>
      <c r="I166" s="1773">
        <f>'Estudio de Mercados'!I368</f>
        <v>39491033.105949998</v>
      </c>
      <c r="J166" s="1773"/>
      <c r="K166" s="1773">
        <f>'Estudio de Mercados'!J368</f>
        <v>40952201.330870152</v>
      </c>
      <c r="L166" s="1773"/>
      <c r="M166" s="1773">
        <f>'Estudio de Mercados'!K368</f>
        <v>42221719.572127119</v>
      </c>
      <c r="N166" s="1773"/>
      <c r="O166" s="1773">
        <f>'Estudio de Mercados'!L368</f>
        <v>43695257.585194364</v>
      </c>
      <c r="P166" s="1774"/>
    </row>
    <row r="167" spans="2:16" x14ac:dyDescent="0.35">
      <c r="B167" s="1569" t="s">
        <v>1128</v>
      </c>
      <c r="C167" s="1570"/>
      <c r="D167" s="1570"/>
      <c r="E167" s="1766"/>
      <c r="F167" s="1766"/>
      <c r="G167" s="1773">
        <f>'Est. Organizacional y Legal'!F330+'Est. Organizacional y Legal'!F331</f>
        <v>279043824</v>
      </c>
      <c r="H167" s="1773"/>
      <c r="I167" s="1773">
        <f>'Est. Organizacional y Legal'!G330+'Est. Organizacional y Legal'!G331</f>
        <v>292354214.4048</v>
      </c>
      <c r="J167" s="1773"/>
      <c r="K167" s="1773">
        <f>'Est. Organizacional y Legal'!H330+'Est. Organizacional y Legal'!H331</f>
        <v>303171320.33777761</v>
      </c>
      <c r="L167" s="1773"/>
      <c r="M167" s="1773">
        <f>'Est. Organizacional y Legal'!I330+'Est. Organizacional y Legal'!I331</f>
        <v>312569631.26824874</v>
      </c>
      <c r="N167" s="1773"/>
      <c r="O167" s="1773">
        <f>'Est. Organizacional y Legal'!J330+'Est. Organizacional y Legal'!J331</f>
        <v>323478311.39951056</v>
      </c>
      <c r="P167" s="1774"/>
    </row>
    <row r="168" spans="2:16" x14ac:dyDescent="0.35">
      <c r="B168" s="1569" t="s">
        <v>1129</v>
      </c>
      <c r="C168" s="1570"/>
      <c r="D168" s="1570"/>
      <c r="E168" s="1766"/>
      <c r="F168" s="1766"/>
      <c r="G168" s="1773">
        <f>'Est. Organizacional y Legal'!F332-'Est. Organizacional y Legal'!H309</f>
        <v>88104500</v>
      </c>
      <c r="H168" s="1773"/>
      <c r="I168" s="1773">
        <f>'Est. Organizacional y Legal'!G332-'Est. Organizacional y Legal'!I309</f>
        <v>92307084.650000006</v>
      </c>
      <c r="J168" s="1773"/>
      <c r="K168" s="1773">
        <f>'Est. Organizacional y Legal'!H332-'Est. Organizacional y Legal'!J309</f>
        <v>95722446.782050014</v>
      </c>
      <c r="L168" s="1773"/>
      <c r="M168" s="1773">
        <f>'Est. Organizacional y Legal'!I332-'Est. Organizacional y Legal'!K309</f>
        <v>98689842.632293567</v>
      </c>
      <c r="N168" s="1773"/>
      <c r="O168" s="1773">
        <f>'Est. Organizacional y Legal'!J332-'Est. Organizacional y Legal'!L309</f>
        <v>102134118.14016061</v>
      </c>
      <c r="P168" s="1774"/>
    </row>
    <row r="169" spans="2:16" x14ac:dyDescent="0.35">
      <c r="B169" s="1569" t="s">
        <v>1182</v>
      </c>
      <c r="C169" s="1570"/>
      <c r="D169" s="1570"/>
      <c r="E169" s="1766"/>
      <c r="F169" s="1766"/>
      <c r="G169" s="1773">
        <f>+G124</f>
        <v>26302452.164392248</v>
      </c>
      <c r="H169" s="1773"/>
      <c r="I169" s="1773">
        <f>+G125</f>
        <v>23269168.636712611</v>
      </c>
      <c r="J169" s="1773"/>
      <c r="K169" s="1773">
        <f>+G126</f>
        <v>19391722.303279724</v>
      </c>
      <c r="L169" s="1773"/>
      <c r="M169" s="1773">
        <f>+G127</f>
        <v>14435182.65525247</v>
      </c>
      <c r="N169" s="1773"/>
      <c r="O169" s="1773">
        <f>+G128</f>
        <v>8099238.0231792293</v>
      </c>
      <c r="P169" s="1774"/>
    </row>
    <row r="170" spans="2:16" x14ac:dyDescent="0.35">
      <c r="B170" s="1569" t="s">
        <v>1130</v>
      </c>
      <c r="C170" s="1570"/>
      <c r="D170" s="1570"/>
      <c r="E170" s="1766"/>
      <c r="F170" s="1766"/>
      <c r="G170" s="1773">
        <f>+I124</f>
        <v>10899329.959323175</v>
      </c>
      <c r="H170" s="1773"/>
      <c r="I170" s="1773">
        <f>+I125</f>
        <v>13932613.487002812</v>
      </c>
      <c r="J170" s="1773"/>
      <c r="K170" s="1773">
        <f>+I126</f>
        <v>17810059.820435699</v>
      </c>
      <c r="L170" s="1773"/>
      <c r="M170" s="1773">
        <f>+I127</f>
        <v>22766599.468462951</v>
      </c>
      <c r="N170" s="1773"/>
      <c r="O170" s="1773">
        <f>+I128</f>
        <v>29102544.100536194</v>
      </c>
      <c r="P170" s="1774"/>
    </row>
    <row r="171" spans="2:16" x14ac:dyDescent="0.35">
      <c r="B171" s="1569" t="s">
        <v>1131</v>
      </c>
      <c r="C171" s="1570"/>
      <c r="D171" s="1570"/>
      <c r="E171" s="1773"/>
      <c r="F171" s="1773"/>
      <c r="G171" s="1773">
        <f>+G52</f>
        <v>12805333.333333334</v>
      </c>
      <c r="H171" s="1773"/>
      <c r="I171" s="1773">
        <f>+H52</f>
        <v>13065333.333333334</v>
      </c>
      <c r="J171" s="1773"/>
      <c r="K171" s="1773">
        <f>+I52</f>
        <v>14332000</v>
      </c>
      <c r="L171" s="1773"/>
      <c r="M171" s="1773">
        <f>+J52</f>
        <v>14072333.333333334</v>
      </c>
      <c r="N171" s="1773"/>
      <c r="O171" s="1773">
        <f>+K52</f>
        <v>14265666.666666666</v>
      </c>
      <c r="P171" s="1774"/>
    </row>
    <row r="172" spans="2:16" x14ac:dyDescent="0.35">
      <c r="B172" s="1770" t="s">
        <v>1132</v>
      </c>
      <c r="C172" s="1771"/>
      <c r="D172" s="1771"/>
      <c r="E172" s="1775">
        <f>SUM(E165:F170)</f>
        <v>0</v>
      </c>
      <c r="F172" s="1776"/>
      <c r="G172" s="1775">
        <f>SUM(G165:H170)</f>
        <v>845333537.40342546</v>
      </c>
      <c r="H172" s="1776"/>
      <c r="I172" s="1775">
        <f>SUM(I165:J170)</f>
        <v>933277379.27881885</v>
      </c>
      <c r="J172" s="1776"/>
      <c r="K172" s="1775">
        <f>SUM(K165:L170)</f>
        <v>1016508740.0704719</v>
      </c>
      <c r="L172" s="1776"/>
      <c r="M172" s="1775">
        <f>SUM(M165:N170)</f>
        <v>1089520388.2208362</v>
      </c>
      <c r="N172" s="1776"/>
      <c r="O172" s="1775">
        <f>SUM(O165:P170)</f>
        <v>1166339531.9634411</v>
      </c>
      <c r="P172" s="1777"/>
    </row>
    <row r="173" spans="2:16" x14ac:dyDescent="0.35">
      <c r="B173" s="1569"/>
      <c r="C173" s="1570"/>
      <c r="D173" s="1570"/>
      <c r="E173" s="1766"/>
      <c r="F173" s="1766"/>
      <c r="G173" s="1766"/>
      <c r="H173" s="1766"/>
      <c r="I173" s="1766"/>
      <c r="J173" s="1766"/>
      <c r="K173" s="1766"/>
      <c r="L173" s="1766"/>
      <c r="M173" s="1766"/>
      <c r="N173" s="1766"/>
      <c r="O173" s="1766"/>
      <c r="P173" s="1767"/>
    </row>
    <row r="174" spans="2:16" x14ac:dyDescent="0.35">
      <c r="B174" s="1770" t="s">
        <v>1133</v>
      </c>
      <c r="C174" s="1771"/>
      <c r="D174" s="1771"/>
      <c r="E174" s="1766"/>
      <c r="F174" s="1766"/>
      <c r="G174" s="1766">
        <f>+G162-G172</f>
        <v>16010956.796574473</v>
      </c>
      <c r="H174" s="1766"/>
      <c r="I174" s="1766">
        <f>+I162-I172</f>
        <v>87091645.851058602</v>
      </c>
      <c r="J174" s="1766"/>
      <c r="K174" s="1766">
        <f>+K162-K172</f>
        <v>175520809.10528123</v>
      </c>
      <c r="L174" s="1766"/>
      <c r="M174" s="1766">
        <f>+M162-M172</f>
        <v>274423081.05921531</v>
      </c>
      <c r="N174" s="1766"/>
      <c r="O174" s="1766">
        <f>+O162-O172</f>
        <v>432131818.86780643</v>
      </c>
      <c r="P174" s="1767"/>
    </row>
    <row r="175" spans="2:16" x14ac:dyDescent="0.35">
      <c r="B175" s="1569" t="s">
        <v>1134</v>
      </c>
      <c r="C175" s="1570"/>
      <c r="D175" s="1570"/>
      <c r="E175" s="1766"/>
      <c r="F175" s="1766"/>
      <c r="G175" s="1772">
        <v>0</v>
      </c>
      <c r="H175" s="1772"/>
      <c r="I175" s="1772">
        <f>+I174*N151</f>
        <v>30482076.047870509</v>
      </c>
      <c r="J175" s="1772"/>
      <c r="K175" s="1772">
        <f>+K174*N151</f>
        <v>61432283.186848424</v>
      </c>
      <c r="L175" s="1772"/>
      <c r="M175" s="1772">
        <f>+M174*N151</f>
        <v>96048078.370725349</v>
      </c>
      <c r="N175" s="1772"/>
      <c r="O175" s="1772">
        <f>+O174*N151</f>
        <v>151246136.60373223</v>
      </c>
      <c r="P175" s="1772"/>
    </row>
    <row r="176" spans="2:16" x14ac:dyDescent="0.35">
      <c r="B176" s="1770" t="s">
        <v>1135</v>
      </c>
      <c r="C176" s="1771"/>
      <c r="D176" s="1771"/>
      <c r="E176" s="1766"/>
      <c r="F176" s="1766"/>
      <c r="G176" s="1766">
        <f>+G174-G175</f>
        <v>16010956.796574473</v>
      </c>
      <c r="H176" s="1766"/>
      <c r="I176" s="1766">
        <f>+I174-I175</f>
        <v>56609569.803188093</v>
      </c>
      <c r="J176" s="1766"/>
      <c r="K176" s="1766">
        <f>+K174-K175</f>
        <v>114088525.9184328</v>
      </c>
      <c r="L176" s="1766"/>
      <c r="M176" s="1766">
        <f>+M174-M175</f>
        <v>178375002.68848997</v>
      </c>
      <c r="N176" s="1766"/>
      <c r="O176" s="1766">
        <f>+O174-O175</f>
        <v>280885682.26407421</v>
      </c>
      <c r="P176" s="1767"/>
    </row>
    <row r="177" spans="1:18" x14ac:dyDescent="0.35">
      <c r="B177" s="1569"/>
      <c r="C177" s="1570"/>
      <c r="D177" s="1570"/>
      <c r="E177" s="1766"/>
      <c r="F177" s="1766"/>
      <c r="G177" s="1766"/>
      <c r="H177" s="1766"/>
      <c r="I177" s="1766"/>
      <c r="J177" s="1766"/>
      <c r="K177" s="1766"/>
      <c r="L177" s="1766"/>
      <c r="M177" s="1766"/>
      <c r="N177" s="1766"/>
      <c r="O177" s="1766"/>
      <c r="P177" s="1767"/>
    </row>
    <row r="178" spans="1:18" x14ac:dyDescent="0.35">
      <c r="B178" s="1770" t="s">
        <v>1136</v>
      </c>
      <c r="C178" s="1771"/>
      <c r="D178" s="1771"/>
      <c r="E178" s="1766">
        <f>-F104</f>
        <v>-270031848.10217392</v>
      </c>
      <c r="F178" s="1766"/>
      <c r="G178" s="1766"/>
      <c r="H178" s="1766"/>
      <c r="I178" s="1766"/>
      <c r="J178" s="1766"/>
      <c r="K178" s="1766"/>
      <c r="L178" s="1766"/>
      <c r="M178" s="1766"/>
      <c r="N178" s="1766"/>
      <c r="O178" s="1766"/>
      <c r="P178" s="1767"/>
    </row>
    <row r="179" spans="1:18" x14ac:dyDescent="0.35">
      <c r="B179" s="1569"/>
      <c r="C179" s="1570"/>
      <c r="D179" s="1570"/>
      <c r="E179" s="1766"/>
      <c r="F179" s="1766"/>
      <c r="G179" s="1766"/>
      <c r="H179" s="1766"/>
      <c r="I179" s="1766"/>
      <c r="J179" s="1766"/>
      <c r="K179" s="1766"/>
      <c r="L179" s="1766"/>
      <c r="M179" s="1766"/>
      <c r="N179" s="1766"/>
      <c r="O179" s="1766"/>
      <c r="P179" s="1767"/>
      <c r="R179" s="714"/>
    </row>
    <row r="180" spans="1:18" x14ac:dyDescent="0.35">
      <c r="B180" s="1770" t="s">
        <v>1137</v>
      </c>
      <c r="C180" s="1771"/>
      <c r="D180" s="1771"/>
      <c r="E180" s="1766">
        <f>+E178</f>
        <v>-270031848.10217392</v>
      </c>
      <c r="F180" s="1766"/>
      <c r="G180" s="1766">
        <f>+G176</f>
        <v>16010956.796574473</v>
      </c>
      <c r="H180" s="1766"/>
      <c r="I180" s="1766">
        <f>+I176</f>
        <v>56609569.803188093</v>
      </c>
      <c r="J180" s="1766"/>
      <c r="K180" s="1766">
        <f>+K176</f>
        <v>114088525.9184328</v>
      </c>
      <c r="L180" s="1766"/>
      <c r="M180" s="1766">
        <f>+M176</f>
        <v>178375002.68848997</v>
      </c>
      <c r="N180" s="1766"/>
      <c r="O180" s="1766">
        <f>+O176</f>
        <v>280885682.26407421</v>
      </c>
      <c r="P180" s="1767"/>
    </row>
    <row r="181" spans="1:18" x14ac:dyDescent="0.35">
      <c r="B181" s="1770" t="s">
        <v>1138</v>
      </c>
      <c r="C181" s="1771"/>
      <c r="D181" s="1771"/>
      <c r="E181" s="1766"/>
      <c r="F181" s="1766"/>
      <c r="G181" s="1766">
        <v>0</v>
      </c>
      <c r="H181" s="1766"/>
      <c r="I181" s="1766">
        <f>+G182</f>
        <v>16010956.796574473</v>
      </c>
      <c r="J181" s="1766"/>
      <c r="K181" s="1766">
        <f>+I182</f>
        <v>72620526.599762559</v>
      </c>
      <c r="L181" s="1766"/>
      <c r="M181" s="1766">
        <f>+K182</f>
        <v>186709052.51819536</v>
      </c>
      <c r="N181" s="1766"/>
      <c r="O181" s="1766">
        <f>+M182</f>
        <v>365084055.2066853</v>
      </c>
      <c r="P181" s="1767"/>
    </row>
    <row r="182" spans="1:18" ht="16" thickBot="1" x14ac:dyDescent="0.4">
      <c r="B182" s="1645" t="s">
        <v>1139</v>
      </c>
      <c r="C182" s="1646"/>
      <c r="D182" s="1646"/>
      <c r="E182" s="1768"/>
      <c r="F182" s="1768"/>
      <c r="G182" s="1768">
        <f>+G180+G181</f>
        <v>16010956.796574473</v>
      </c>
      <c r="H182" s="1768"/>
      <c r="I182" s="1768">
        <f>+I180+I181</f>
        <v>72620526.599762559</v>
      </c>
      <c r="J182" s="1768"/>
      <c r="K182" s="1768">
        <f>+K180+K181</f>
        <v>186709052.51819536</v>
      </c>
      <c r="L182" s="1768"/>
      <c r="M182" s="1768">
        <f>+M180+M181</f>
        <v>365084055.2066853</v>
      </c>
      <c r="N182" s="1768"/>
      <c r="O182" s="1768">
        <f>+O180+O181</f>
        <v>645969737.47075951</v>
      </c>
      <c r="P182" s="1769"/>
    </row>
    <row r="183" spans="1:18" ht="16" thickBot="1" x14ac:dyDescent="0.4"/>
    <row r="184" spans="1:18" ht="16" thickBot="1" x14ac:dyDescent="0.4">
      <c r="B184" s="1692" t="s">
        <v>1140</v>
      </c>
      <c r="C184" s="1693"/>
      <c r="D184" s="1693"/>
      <c r="E184" s="1693"/>
      <c r="F184" s="1693"/>
      <c r="G184" s="1764">
        <f>+G182+E178</f>
        <v>-254020891.30559945</v>
      </c>
      <c r="H184" s="1764"/>
      <c r="I184" s="1764">
        <f>+I182+G184</f>
        <v>-181400364.70583689</v>
      </c>
      <c r="J184" s="1764"/>
      <c r="K184" s="1764">
        <f>+K182+I184</f>
        <v>5308687.8123584688</v>
      </c>
      <c r="L184" s="1764"/>
      <c r="M184" s="1764">
        <f>+M182+K184</f>
        <v>370392743.0190438</v>
      </c>
      <c r="N184" s="1764"/>
      <c r="O184" s="1764">
        <f>+O182+M184</f>
        <v>1016362480.4898033</v>
      </c>
      <c r="P184" s="1765"/>
    </row>
    <row r="185" spans="1:18" ht="16" thickBot="1" x14ac:dyDescent="0.4"/>
    <row r="186" spans="1:18" ht="16" thickBot="1" x14ac:dyDescent="0.4">
      <c r="B186" s="829" t="s">
        <v>1141</v>
      </c>
      <c r="C186" s="830"/>
      <c r="D186" s="830"/>
      <c r="E186" s="1758"/>
      <c r="F186" s="705">
        <v>3</v>
      </c>
    </row>
    <row r="187" spans="1:18" x14ac:dyDescent="0.35">
      <c r="B187" s="706"/>
      <c r="C187" s="706"/>
      <c r="D187" s="706"/>
      <c r="E187" s="706"/>
      <c r="K187" s="706" t="s">
        <v>1200</v>
      </c>
      <c r="L187" s="725">
        <f>3+((-E178-K182)/M180)</f>
        <v>3.4671214818675664</v>
      </c>
      <c r="N187" s="723"/>
      <c r="O187" s="723"/>
    </row>
    <row r="189" spans="1:18" ht="26" x14ac:dyDescent="0.6">
      <c r="A189" s="707"/>
      <c r="B189" s="1759" t="s">
        <v>1142</v>
      </c>
      <c r="C189" s="1759"/>
      <c r="D189" s="1759"/>
      <c r="E189" s="1759"/>
      <c r="F189" s="1759"/>
      <c r="G189" s="1759"/>
      <c r="H189" s="1759"/>
      <c r="I189" s="1759"/>
      <c r="J189" s="1759"/>
      <c r="K189" s="1759"/>
      <c r="L189" s="1759"/>
      <c r="M189" s="1759"/>
      <c r="N189" s="1759"/>
      <c r="O189" s="1759"/>
      <c r="P189" s="1759"/>
    </row>
    <row r="190" spans="1:18" ht="15" customHeight="1" x14ac:dyDescent="0.5">
      <c r="A190" s="707"/>
      <c r="B190" s="708"/>
    </row>
    <row r="191" spans="1:18" ht="15" customHeight="1" x14ac:dyDescent="0.35">
      <c r="B191" s="709"/>
      <c r="C191" s="709"/>
      <c r="D191" s="709"/>
      <c r="E191" s="710"/>
      <c r="F191" s="710"/>
      <c r="G191" s="710"/>
      <c r="H191" s="710"/>
      <c r="I191" s="710"/>
    </row>
    <row r="192" spans="1:18" ht="16" thickBot="1" x14ac:dyDescent="0.4">
      <c r="B192" s="709"/>
      <c r="C192" s="709"/>
      <c r="D192" s="709"/>
      <c r="E192" s="710"/>
      <c r="F192" s="710"/>
      <c r="G192" s="710"/>
      <c r="H192" s="710"/>
      <c r="I192" s="710"/>
    </row>
    <row r="193" spans="2:16" ht="21" x14ac:dyDescent="0.5">
      <c r="B193" s="709"/>
      <c r="C193" s="1760" t="s">
        <v>1143</v>
      </c>
      <c r="D193" s="1761"/>
      <c r="E193" s="1761"/>
      <c r="F193" s="1761"/>
      <c r="G193" s="1762">
        <v>0.14050000000000001</v>
      </c>
      <c r="H193" s="1763"/>
      <c r="I193" s="710"/>
    </row>
    <row r="194" spans="2:16" ht="21" x14ac:dyDescent="0.5">
      <c r="B194" s="709"/>
      <c r="C194" s="1748" t="s">
        <v>1144</v>
      </c>
      <c r="D194" s="1749"/>
      <c r="E194" s="1749"/>
      <c r="F194" s="1749"/>
      <c r="G194" s="1750">
        <f>NPV(G193,G180:P180)</f>
        <v>385455814.60170406</v>
      </c>
      <c r="H194" s="1751"/>
      <c r="I194" s="710"/>
      <c r="L194" s="718"/>
    </row>
    <row r="195" spans="2:16" ht="21" x14ac:dyDescent="0.5">
      <c r="B195" s="709"/>
      <c r="C195" s="1748" t="s">
        <v>1145</v>
      </c>
      <c r="D195" s="1749"/>
      <c r="E195" s="1749"/>
      <c r="F195" s="1749"/>
      <c r="G195" s="1750">
        <f>+G194+E178</f>
        <v>115423966.49953014</v>
      </c>
      <c r="H195" s="1751"/>
      <c r="I195" s="710"/>
    </row>
    <row r="196" spans="2:16" ht="21" x14ac:dyDescent="0.5">
      <c r="B196" s="709"/>
      <c r="C196" s="1748" t="s">
        <v>1146</v>
      </c>
      <c r="D196" s="1749"/>
      <c r="E196" s="1749"/>
      <c r="F196" s="1749"/>
      <c r="G196" s="1756">
        <f>IRR(E180:P180)</f>
        <v>0.25313380538298258</v>
      </c>
      <c r="H196" s="1757"/>
      <c r="I196" s="710"/>
    </row>
    <row r="197" spans="2:16" ht="21" x14ac:dyDescent="0.5">
      <c r="B197" s="709"/>
      <c r="C197" s="1748" t="s">
        <v>1147</v>
      </c>
      <c r="D197" s="1749"/>
      <c r="E197" s="1749"/>
      <c r="F197" s="1749"/>
      <c r="G197" s="1750">
        <f>NPV(G193,G162:P162)</f>
        <v>3977741441.0385528</v>
      </c>
      <c r="H197" s="1751"/>
      <c r="I197" s="710"/>
    </row>
    <row r="198" spans="2:16" ht="21" x14ac:dyDescent="0.5">
      <c r="B198" s="709"/>
      <c r="C198" s="1748" t="s">
        <v>1148</v>
      </c>
      <c r="D198" s="1749"/>
      <c r="E198" s="1749"/>
      <c r="F198" s="1749"/>
      <c r="G198" s="1750">
        <f>NPV(G193,G172:P172)</f>
        <v>3392291710.2532125</v>
      </c>
      <c r="H198" s="1751"/>
      <c r="I198" s="710"/>
    </row>
    <row r="199" spans="2:16" ht="21" x14ac:dyDescent="0.5">
      <c r="B199" s="709"/>
      <c r="C199" s="1748" t="s">
        <v>1154</v>
      </c>
      <c r="D199" s="1749"/>
      <c r="E199" s="1749"/>
      <c r="F199" s="1749"/>
      <c r="G199" s="1750">
        <f>+G198-E178</f>
        <v>3662323558.3553863</v>
      </c>
      <c r="H199" s="1751"/>
      <c r="I199" s="710"/>
    </row>
    <row r="200" spans="2:16" ht="21.5" thickBot="1" x14ac:dyDescent="0.55000000000000004">
      <c r="B200" s="709"/>
      <c r="C200" s="1752" t="s">
        <v>1149</v>
      </c>
      <c r="D200" s="1753"/>
      <c r="E200" s="1753"/>
      <c r="F200" s="1753"/>
      <c r="G200" s="1754">
        <f>+G197/G199</f>
        <v>1.0861250726915044</v>
      </c>
      <c r="H200" s="1755"/>
      <c r="I200" s="710"/>
    </row>
    <row r="201" spans="2:16" x14ac:dyDescent="0.35">
      <c r="B201" s="709"/>
      <c r="C201" s="709"/>
      <c r="D201" s="709"/>
      <c r="E201" s="710"/>
      <c r="F201" s="710"/>
      <c r="G201" s="709"/>
      <c r="H201" s="709"/>
      <c r="I201" s="710"/>
    </row>
    <row r="202" spans="2:16" x14ac:dyDescent="0.35">
      <c r="B202" s="709"/>
      <c r="C202" s="709"/>
      <c r="D202" s="709"/>
      <c r="E202" s="710"/>
      <c r="F202" s="710"/>
      <c r="G202" s="710"/>
      <c r="H202" s="710"/>
      <c r="I202" s="710"/>
    </row>
    <row r="205" spans="2:16" ht="21" x14ac:dyDescent="0.5">
      <c r="B205" s="1746" t="s">
        <v>1157</v>
      </c>
      <c r="C205" s="1746"/>
      <c r="D205" s="1746"/>
      <c r="E205" s="1746"/>
      <c r="F205" s="1746"/>
      <c r="G205" s="1746"/>
      <c r="H205" s="1746"/>
      <c r="I205" s="1746"/>
      <c r="J205" s="1746"/>
      <c r="K205" s="1746"/>
      <c r="L205" s="1746"/>
      <c r="M205" s="1746"/>
      <c r="N205" s="1746"/>
      <c r="O205" s="1746"/>
      <c r="P205" s="1746"/>
    </row>
    <row r="206" spans="2:16" ht="33.75" customHeight="1" x14ac:dyDescent="0.35">
      <c r="B206" s="1747" t="s">
        <v>1156</v>
      </c>
      <c r="C206" s="1747"/>
      <c r="D206" s="1747"/>
      <c r="E206" s="1747"/>
      <c r="F206" s="1747"/>
      <c r="G206" s="1747"/>
      <c r="H206" s="1747"/>
      <c r="I206" s="1747"/>
      <c r="J206" s="1747"/>
      <c r="K206" s="1747"/>
      <c r="L206" s="1747"/>
      <c r="M206" s="1747"/>
      <c r="N206" s="1747"/>
      <c r="O206" s="1747"/>
      <c r="P206" s="1747"/>
    </row>
    <row r="207" spans="2:16" ht="16" thickBot="1" x14ac:dyDescent="0.4"/>
    <row r="208" spans="2:16" ht="317.5" customHeight="1" x14ac:dyDescent="0.35">
      <c r="B208" s="1737" t="s">
        <v>1202</v>
      </c>
      <c r="C208" s="1738"/>
      <c r="D208" s="1738"/>
      <c r="E208" s="1738"/>
      <c r="F208" s="1738"/>
      <c r="G208" s="1738"/>
      <c r="H208" s="1738"/>
      <c r="I208" s="1738"/>
      <c r="J208" s="1738"/>
      <c r="K208" s="1738"/>
      <c r="L208" s="1738"/>
      <c r="M208" s="1738"/>
      <c r="N208" s="1738"/>
      <c r="O208" s="1738"/>
      <c r="P208" s="1739"/>
    </row>
    <row r="209" spans="2:16" ht="317.5" customHeight="1" x14ac:dyDescent="0.35">
      <c r="B209" s="1740"/>
      <c r="C209" s="1741"/>
      <c r="D209" s="1741"/>
      <c r="E209" s="1741"/>
      <c r="F209" s="1741"/>
      <c r="G209" s="1741"/>
      <c r="H209" s="1741"/>
      <c r="I209" s="1741"/>
      <c r="J209" s="1741"/>
      <c r="K209" s="1741"/>
      <c r="L209" s="1741"/>
      <c r="M209" s="1741"/>
      <c r="N209" s="1741"/>
      <c r="O209" s="1741"/>
      <c r="P209" s="1742"/>
    </row>
    <row r="210" spans="2:16" ht="266.5" customHeight="1" thickBot="1" x14ac:dyDescent="0.4">
      <c r="B210" s="1743"/>
      <c r="C210" s="1744"/>
      <c r="D210" s="1744"/>
      <c r="E210" s="1744"/>
      <c r="F210" s="1744"/>
      <c r="G210" s="1744"/>
      <c r="H210" s="1744"/>
      <c r="I210" s="1744"/>
      <c r="J210" s="1744"/>
      <c r="K210" s="1744"/>
      <c r="L210" s="1744"/>
      <c r="M210" s="1744"/>
      <c r="N210" s="1744"/>
      <c r="O210" s="1744"/>
      <c r="P210" s="1745"/>
    </row>
    <row r="213" spans="2:16" s="44" customFormat="1" x14ac:dyDescent="0.35">
      <c r="E213" s="57"/>
      <c r="F213" s="57"/>
      <c r="G213" s="57"/>
      <c r="H213" s="57"/>
      <c r="I213" s="57"/>
      <c r="J213" s="57"/>
      <c r="K213" s="57"/>
      <c r="L213" s="57"/>
      <c r="M213" s="57"/>
    </row>
    <row r="214" spans="2:16" s="44" customFormat="1" x14ac:dyDescent="0.35">
      <c r="E214" s="57"/>
      <c r="F214" s="57"/>
      <c r="G214" s="57"/>
      <c r="H214" s="57"/>
      <c r="I214" s="57"/>
      <c r="J214" s="57"/>
      <c r="K214" s="57"/>
      <c r="L214" s="57"/>
      <c r="M214" s="57"/>
    </row>
    <row r="215" spans="2:16" s="44" customFormat="1" x14ac:dyDescent="0.35">
      <c r="E215" s="57"/>
      <c r="F215" s="57"/>
      <c r="G215" s="57"/>
      <c r="H215" s="57"/>
      <c r="I215" s="57"/>
      <c r="J215" s="57"/>
      <c r="K215" s="57"/>
      <c r="L215" s="57"/>
      <c r="M215" s="57"/>
    </row>
    <row r="216" spans="2:16" s="44" customFormat="1" x14ac:dyDescent="0.35">
      <c r="E216" s="57"/>
      <c r="F216" s="57"/>
      <c r="G216" s="57"/>
      <c r="H216" s="57"/>
      <c r="I216" s="57"/>
      <c r="J216" s="57"/>
      <c r="K216" s="57"/>
      <c r="L216" s="57"/>
      <c r="M216" s="57"/>
    </row>
    <row r="217" spans="2:16" s="44" customFormat="1" x14ac:dyDescent="0.35">
      <c r="E217" s="57"/>
      <c r="F217" s="57"/>
      <c r="G217" s="57"/>
      <c r="H217" s="57"/>
      <c r="I217" s="57"/>
      <c r="J217" s="57"/>
      <c r="K217" s="57"/>
      <c r="L217" s="57"/>
      <c r="M217" s="57"/>
    </row>
    <row r="218" spans="2:16" s="44" customFormat="1" x14ac:dyDescent="0.35">
      <c r="E218" s="57"/>
      <c r="F218" s="57"/>
      <c r="G218" s="57"/>
      <c r="H218" s="57"/>
      <c r="I218" s="57"/>
      <c r="J218" s="57"/>
      <c r="K218" s="57"/>
      <c r="L218" s="57"/>
      <c r="M218" s="57"/>
    </row>
    <row r="219" spans="2:16" s="44" customFormat="1" x14ac:dyDescent="0.35">
      <c r="E219" s="57"/>
      <c r="F219" s="57"/>
      <c r="G219" s="57"/>
      <c r="H219" s="57"/>
      <c r="I219" s="57"/>
      <c r="J219" s="57"/>
      <c r="K219" s="57"/>
      <c r="L219" s="57"/>
      <c r="M219" s="57"/>
    </row>
    <row r="220" spans="2:16" s="44" customFormat="1" x14ac:dyDescent="0.35">
      <c r="E220" s="57"/>
      <c r="F220" s="57"/>
      <c r="G220" s="57"/>
      <c r="H220" s="57"/>
      <c r="I220" s="57"/>
      <c r="J220" s="57"/>
      <c r="K220" s="57"/>
      <c r="L220" s="57"/>
      <c r="M220" s="57"/>
    </row>
    <row r="221" spans="2:16" s="44" customFormat="1" x14ac:dyDescent="0.35">
      <c r="E221" s="57"/>
      <c r="F221" s="57"/>
      <c r="G221" s="57"/>
      <c r="H221" s="57"/>
      <c r="I221" s="57"/>
      <c r="J221" s="57"/>
      <c r="K221" s="57"/>
      <c r="L221" s="57"/>
      <c r="M221" s="57"/>
    </row>
    <row r="222" spans="2:16" s="44" customFormat="1" x14ac:dyDescent="0.35">
      <c r="E222" s="57"/>
      <c r="F222" s="57"/>
      <c r="G222" s="57"/>
      <c r="H222" s="57"/>
      <c r="I222" s="57"/>
      <c r="J222" s="57"/>
      <c r="K222" s="57"/>
      <c r="L222" s="57"/>
      <c r="M222" s="57"/>
    </row>
    <row r="223" spans="2:16" s="44" customFormat="1" x14ac:dyDescent="0.35">
      <c r="E223" s="57"/>
      <c r="F223" s="57"/>
      <c r="G223" s="57"/>
      <c r="H223" s="57"/>
      <c r="I223" s="57"/>
      <c r="J223" s="57"/>
      <c r="K223" s="57"/>
      <c r="L223" s="57"/>
      <c r="M223" s="57"/>
    </row>
    <row r="224" spans="2:16" s="44" customFormat="1" x14ac:dyDescent="0.35">
      <c r="E224" s="57"/>
      <c r="F224" s="57"/>
      <c r="G224" s="57"/>
      <c r="H224" s="57"/>
      <c r="I224" s="57"/>
      <c r="J224" s="57"/>
      <c r="K224" s="57"/>
      <c r="L224" s="57"/>
      <c r="M224" s="57"/>
    </row>
    <row r="225" spans="5:13" s="44" customFormat="1" x14ac:dyDescent="0.35">
      <c r="E225" s="57"/>
      <c r="F225" s="57"/>
      <c r="G225" s="57"/>
      <c r="H225" s="57"/>
      <c r="I225" s="57"/>
      <c r="J225" s="57"/>
      <c r="K225" s="57"/>
      <c r="L225" s="57"/>
      <c r="M225" s="57"/>
    </row>
    <row r="226" spans="5:13" s="44" customFormat="1" x14ac:dyDescent="0.35">
      <c r="E226" s="57"/>
      <c r="F226" s="57"/>
      <c r="G226" s="57"/>
      <c r="H226" s="57"/>
      <c r="I226" s="57"/>
      <c r="J226" s="57"/>
      <c r="K226" s="57"/>
      <c r="L226" s="57"/>
      <c r="M226" s="57"/>
    </row>
    <row r="227" spans="5:13" s="44" customFormat="1" x14ac:dyDescent="0.35">
      <c r="E227" s="57"/>
      <c r="F227" s="57"/>
      <c r="G227" s="57"/>
      <c r="H227" s="57"/>
      <c r="I227" s="57"/>
      <c r="J227" s="57"/>
      <c r="K227" s="57"/>
      <c r="L227" s="57"/>
      <c r="M227" s="57"/>
    </row>
    <row r="228" spans="5:13" s="44" customFormat="1" x14ac:dyDescent="0.35">
      <c r="E228" s="57"/>
      <c r="F228" s="57"/>
      <c r="G228" s="57"/>
      <c r="H228" s="57"/>
      <c r="I228" s="57"/>
      <c r="J228" s="57"/>
      <c r="K228" s="57"/>
      <c r="L228" s="57"/>
      <c r="M228" s="57"/>
    </row>
    <row r="229" spans="5:13" s="44" customFormat="1" x14ac:dyDescent="0.35">
      <c r="E229" s="57"/>
      <c r="F229" s="57"/>
      <c r="G229" s="57"/>
      <c r="H229" s="57"/>
      <c r="I229" s="57"/>
      <c r="J229" s="57"/>
      <c r="K229" s="57"/>
      <c r="L229" s="57"/>
      <c r="M229" s="57"/>
    </row>
    <row r="230" spans="5:13" s="44" customFormat="1" x14ac:dyDescent="0.35">
      <c r="E230" s="57"/>
      <c r="F230" s="57"/>
      <c r="G230" s="57"/>
      <c r="H230" s="57"/>
      <c r="I230" s="57"/>
      <c r="J230" s="57"/>
      <c r="K230" s="57"/>
      <c r="L230" s="57"/>
      <c r="M230" s="57"/>
    </row>
    <row r="231" spans="5:13" s="44" customFormat="1" x14ac:dyDescent="0.35">
      <c r="E231" s="57"/>
      <c r="F231" s="57"/>
      <c r="G231" s="57"/>
      <c r="H231" s="57"/>
      <c r="I231" s="57"/>
      <c r="J231" s="57"/>
      <c r="K231" s="57"/>
      <c r="L231" s="57"/>
      <c r="M231" s="57"/>
    </row>
    <row r="232" spans="5:13" s="44" customFormat="1" x14ac:dyDescent="0.35">
      <c r="E232" s="57"/>
      <c r="F232" s="57"/>
      <c r="G232" s="57"/>
      <c r="H232" s="57"/>
      <c r="I232" s="57"/>
      <c r="J232" s="57"/>
      <c r="K232" s="57"/>
      <c r="L232" s="57"/>
      <c r="M232" s="57"/>
    </row>
    <row r="233" spans="5:13" s="44" customFormat="1" x14ac:dyDescent="0.35">
      <c r="E233" s="57"/>
      <c r="F233" s="57"/>
      <c r="G233" s="57"/>
      <c r="H233" s="57"/>
      <c r="I233" s="57"/>
      <c r="J233" s="57"/>
      <c r="K233" s="57"/>
      <c r="L233" s="57"/>
      <c r="M233" s="57"/>
    </row>
    <row r="234" spans="5:13" s="44" customFormat="1" x14ac:dyDescent="0.35">
      <c r="E234" s="57"/>
      <c r="F234" s="57"/>
      <c r="G234" s="57"/>
      <c r="H234" s="57"/>
      <c r="I234" s="57"/>
      <c r="J234" s="57"/>
      <c r="K234" s="57"/>
      <c r="L234" s="57"/>
      <c r="M234" s="57"/>
    </row>
    <row r="235" spans="5:13" s="44" customFormat="1" x14ac:dyDescent="0.35">
      <c r="E235" s="57"/>
      <c r="F235" s="57"/>
      <c r="G235" s="57"/>
      <c r="H235" s="57"/>
      <c r="I235" s="57"/>
      <c r="J235" s="57"/>
      <c r="K235" s="57"/>
      <c r="L235" s="57"/>
      <c r="M235" s="57"/>
    </row>
    <row r="236" spans="5:13" s="44" customFormat="1" x14ac:dyDescent="0.35">
      <c r="E236" s="57"/>
      <c r="F236" s="57"/>
      <c r="G236" s="57"/>
      <c r="H236" s="57"/>
      <c r="I236" s="57"/>
      <c r="J236" s="57"/>
      <c r="K236" s="57"/>
      <c r="L236" s="57"/>
      <c r="M236" s="57"/>
    </row>
    <row r="237" spans="5:13" s="44" customFormat="1" x14ac:dyDescent="0.35">
      <c r="E237" s="57"/>
      <c r="F237" s="57"/>
      <c r="G237" s="57"/>
      <c r="H237" s="57"/>
      <c r="I237" s="57"/>
      <c r="J237" s="57"/>
      <c r="K237" s="57"/>
      <c r="L237" s="57"/>
      <c r="M237" s="57"/>
    </row>
    <row r="238" spans="5:13" s="44" customFormat="1" x14ac:dyDescent="0.35">
      <c r="E238" s="57"/>
      <c r="F238" s="57"/>
      <c r="G238" s="57"/>
      <c r="H238" s="57"/>
      <c r="I238" s="57"/>
      <c r="J238" s="57"/>
      <c r="K238" s="57"/>
      <c r="L238" s="57"/>
      <c r="M238" s="57"/>
    </row>
    <row r="239" spans="5:13" s="44" customFormat="1" x14ac:dyDescent="0.35">
      <c r="E239" s="57"/>
      <c r="F239" s="57"/>
      <c r="G239" s="57"/>
      <c r="H239" s="57"/>
      <c r="I239" s="57"/>
      <c r="J239" s="57"/>
      <c r="K239" s="57"/>
      <c r="L239" s="57"/>
      <c r="M239" s="57"/>
    </row>
    <row r="240" spans="5:13" s="44" customFormat="1" x14ac:dyDescent="0.35">
      <c r="E240" s="57"/>
      <c r="F240" s="57"/>
      <c r="G240" s="57"/>
      <c r="H240" s="57"/>
      <c r="I240" s="57"/>
      <c r="J240" s="57"/>
      <c r="K240" s="57"/>
      <c r="L240" s="57"/>
      <c r="M240" s="57"/>
    </row>
    <row r="241" spans="5:13" s="44" customFormat="1" x14ac:dyDescent="0.35">
      <c r="E241" s="57"/>
      <c r="F241" s="57"/>
      <c r="G241" s="57"/>
      <c r="H241" s="57"/>
      <c r="I241" s="57"/>
      <c r="J241" s="57"/>
      <c r="K241" s="57"/>
      <c r="L241" s="57"/>
      <c r="M241" s="57"/>
    </row>
    <row r="242" spans="5:13" s="44" customFormat="1" x14ac:dyDescent="0.35">
      <c r="E242" s="57"/>
      <c r="F242" s="57"/>
      <c r="G242" s="57"/>
      <c r="H242" s="57"/>
      <c r="I242" s="57"/>
      <c r="J242" s="57"/>
      <c r="K242" s="57"/>
      <c r="L242" s="57"/>
      <c r="M242" s="57"/>
    </row>
    <row r="243" spans="5:13" s="44" customFormat="1" x14ac:dyDescent="0.35">
      <c r="E243" s="57"/>
      <c r="F243" s="57"/>
      <c r="G243" s="57"/>
      <c r="H243" s="57"/>
      <c r="I243" s="57"/>
      <c r="J243" s="57"/>
      <c r="K243" s="57"/>
      <c r="L243" s="57"/>
      <c r="M243" s="57"/>
    </row>
    <row r="244" spans="5:13" s="44" customFormat="1" x14ac:dyDescent="0.35">
      <c r="E244" s="57"/>
      <c r="F244" s="57"/>
      <c r="G244" s="57"/>
      <c r="H244" s="57"/>
      <c r="I244" s="57"/>
      <c r="J244" s="57"/>
      <c r="K244" s="57"/>
      <c r="L244" s="57"/>
      <c r="M244" s="57"/>
    </row>
    <row r="245" spans="5:13" s="44" customFormat="1" x14ac:dyDescent="0.35">
      <c r="E245" s="57"/>
      <c r="F245" s="57"/>
      <c r="G245" s="57"/>
      <c r="H245" s="57"/>
      <c r="I245" s="57"/>
      <c r="J245" s="57"/>
      <c r="K245" s="57"/>
      <c r="L245" s="57"/>
      <c r="M245" s="57"/>
    </row>
    <row r="246" spans="5:13" s="44" customFormat="1" x14ac:dyDescent="0.35">
      <c r="E246" s="57"/>
      <c r="F246" s="57"/>
      <c r="G246" s="57"/>
      <c r="H246" s="57"/>
      <c r="I246" s="57"/>
      <c r="J246" s="57"/>
      <c r="K246" s="57"/>
      <c r="L246" s="57"/>
      <c r="M246" s="57"/>
    </row>
    <row r="247" spans="5:13" s="44" customFormat="1" x14ac:dyDescent="0.35">
      <c r="E247" s="57"/>
      <c r="F247" s="57"/>
      <c r="G247" s="57"/>
      <c r="H247" s="57"/>
      <c r="I247" s="57"/>
      <c r="J247" s="57"/>
      <c r="K247" s="57"/>
      <c r="L247" s="57"/>
      <c r="M247" s="57"/>
    </row>
    <row r="248" spans="5:13" s="44" customFormat="1" x14ac:dyDescent="0.35">
      <c r="E248" s="57"/>
      <c r="F248" s="57"/>
      <c r="G248" s="57"/>
      <c r="H248" s="57"/>
      <c r="I248" s="57"/>
      <c r="J248" s="57"/>
      <c r="K248" s="57"/>
      <c r="L248" s="57"/>
      <c r="M248" s="57"/>
    </row>
    <row r="249" spans="5:13" s="44" customFormat="1" x14ac:dyDescent="0.35">
      <c r="E249" s="57"/>
      <c r="F249" s="57"/>
      <c r="G249" s="57"/>
      <c r="H249" s="57"/>
      <c r="I249" s="57"/>
      <c r="J249" s="57"/>
      <c r="K249" s="57"/>
      <c r="L249" s="57"/>
      <c r="M249" s="57"/>
    </row>
    <row r="250" spans="5:13" s="44" customFormat="1" x14ac:dyDescent="0.35">
      <c r="E250" s="57"/>
      <c r="F250" s="57"/>
      <c r="G250" s="57"/>
      <c r="H250" s="57"/>
      <c r="I250" s="57"/>
      <c r="J250" s="57"/>
      <c r="K250" s="57"/>
      <c r="L250" s="57"/>
      <c r="M250" s="57"/>
    </row>
    <row r="251" spans="5:13" s="44" customFormat="1" x14ac:dyDescent="0.35">
      <c r="E251" s="57"/>
      <c r="F251" s="57"/>
      <c r="G251" s="57"/>
      <c r="H251" s="57"/>
      <c r="I251" s="57"/>
      <c r="J251" s="57"/>
      <c r="K251" s="57"/>
      <c r="L251" s="57"/>
      <c r="M251" s="57"/>
    </row>
    <row r="252" spans="5:13" s="44" customFormat="1" x14ac:dyDescent="0.35">
      <c r="E252" s="57"/>
      <c r="F252" s="57"/>
      <c r="G252" s="57"/>
      <c r="H252" s="57"/>
      <c r="I252" s="57"/>
      <c r="J252" s="57"/>
      <c r="K252" s="57"/>
      <c r="L252" s="57"/>
      <c r="M252" s="57"/>
    </row>
    <row r="253" spans="5:13" s="44" customFormat="1" x14ac:dyDescent="0.35">
      <c r="E253" s="57"/>
      <c r="F253" s="57"/>
      <c r="G253" s="57"/>
      <c r="H253" s="57"/>
      <c r="I253" s="57"/>
      <c r="J253" s="57"/>
      <c r="K253" s="57"/>
      <c r="L253" s="57"/>
      <c r="M253" s="57"/>
    </row>
    <row r="254" spans="5:13" s="44" customFormat="1" x14ac:dyDescent="0.35">
      <c r="E254" s="57"/>
      <c r="F254" s="57"/>
      <c r="G254" s="57"/>
      <c r="H254" s="57"/>
      <c r="I254" s="57"/>
      <c r="J254" s="57"/>
      <c r="K254" s="57"/>
      <c r="L254" s="57"/>
      <c r="M254" s="57"/>
    </row>
    <row r="255" spans="5:13" s="44" customFormat="1" x14ac:dyDescent="0.35">
      <c r="E255" s="57"/>
      <c r="F255" s="57"/>
      <c r="G255" s="57"/>
      <c r="H255" s="57"/>
      <c r="I255" s="57"/>
      <c r="J255" s="57"/>
      <c r="K255" s="57"/>
      <c r="L255" s="57"/>
      <c r="M255" s="57"/>
    </row>
    <row r="256" spans="5:13" s="44" customFormat="1" x14ac:dyDescent="0.35">
      <c r="E256" s="57"/>
      <c r="F256" s="57"/>
      <c r="G256" s="57"/>
      <c r="H256" s="57"/>
      <c r="I256" s="57"/>
      <c r="J256" s="57"/>
      <c r="K256" s="57"/>
      <c r="L256" s="57"/>
      <c r="M256" s="57"/>
    </row>
    <row r="257" spans="5:13" s="44" customFormat="1" x14ac:dyDescent="0.35">
      <c r="E257" s="57"/>
      <c r="F257" s="57"/>
      <c r="G257" s="57"/>
      <c r="H257" s="57"/>
      <c r="I257" s="57"/>
      <c r="J257" s="57"/>
      <c r="K257" s="57"/>
      <c r="L257" s="57"/>
      <c r="M257" s="57"/>
    </row>
    <row r="258" spans="5:13" s="44" customFormat="1" x14ac:dyDescent="0.35">
      <c r="E258" s="57"/>
      <c r="F258" s="57"/>
      <c r="G258" s="57"/>
      <c r="H258" s="57"/>
      <c r="I258" s="57"/>
      <c r="J258" s="57"/>
      <c r="K258" s="57"/>
      <c r="L258" s="57"/>
      <c r="M258" s="57"/>
    </row>
    <row r="259" spans="5:13" s="44" customFormat="1" x14ac:dyDescent="0.35">
      <c r="E259" s="57"/>
      <c r="F259" s="57"/>
      <c r="G259" s="57"/>
      <c r="H259" s="57"/>
      <c r="I259" s="57"/>
      <c r="J259" s="57"/>
      <c r="K259" s="57"/>
      <c r="L259" s="57"/>
      <c r="M259" s="57"/>
    </row>
    <row r="260" spans="5:13" s="44" customFormat="1" x14ac:dyDescent="0.35">
      <c r="E260" s="57"/>
      <c r="F260" s="57"/>
      <c r="G260" s="57"/>
      <c r="H260" s="57"/>
      <c r="I260" s="57"/>
      <c r="J260" s="57"/>
      <c r="K260" s="57"/>
      <c r="L260" s="57"/>
      <c r="M260" s="57"/>
    </row>
    <row r="261" spans="5:13" s="44" customFormat="1" x14ac:dyDescent="0.35">
      <c r="E261" s="57"/>
      <c r="F261" s="57"/>
      <c r="G261" s="57"/>
      <c r="H261" s="57"/>
      <c r="I261" s="57"/>
      <c r="J261" s="57"/>
      <c r="K261" s="57"/>
      <c r="L261" s="57"/>
      <c r="M261" s="57"/>
    </row>
    <row r="262" spans="5:13" s="44" customFormat="1" x14ac:dyDescent="0.35">
      <c r="E262" s="57"/>
      <c r="F262" s="57"/>
      <c r="G262" s="57"/>
      <c r="H262" s="57"/>
      <c r="I262" s="57"/>
      <c r="J262" s="57"/>
      <c r="K262" s="57"/>
      <c r="L262" s="57"/>
      <c r="M262" s="57"/>
    </row>
    <row r="263" spans="5:13" s="44" customFormat="1" x14ac:dyDescent="0.35">
      <c r="E263" s="57"/>
      <c r="F263" s="57"/>
      <c r="G263" s="57"/>
      <c r="H263" s="57"/>
      <c r="I263" s="57"/>
      <c r="J263" s="57"/>
      <c r="K263" s="57"/>
      <c r="L263" s="57"/>
      <c r="M263" s="57"/>
    </row>
    <row r="264" spans="5:13" s="44" customFormat="1" x14ac:dyDescent="0.35">
      <c r="E264" s="57"/>
      <c r="F264" s="57"/>
      <c r="G264" s="57"/>
      <c r="H264" s="57"/>
      <c r="I264" s="57"/>
      <c r="J264" s="57"/>
      <c r="K264" s="57"/>
      <c r="L264" s="57"/>
      <c r="M264" s="57"/>
    </row>
    <row r="265" spans="5:13" s="44" customFormat="1" x14ac:dyDescent="0.35">
      <c r="E265" s="57"/>
      <c r="F265" s="57"/>
      <c r="G265" s="57"/>
      <c r="H265" s="57"/>
      <c r="I265" s="57"/>
      <c r="J265" s="57"/>
      <c r="K265" s="57"/>
      <c r="L265" s="57"/>
      <c r="M265" s="57"/>
    </row>
    <row r="266" spans="5:13" s="44" customFormat="1" x14ac:dyDescent="0.35">
      <c r="E266" s="57"/>
      <c r="F266" s="57"/>
      <c r="G266" s="57"/>
      <c r="H266" s="57"/>
      <c r="I266" s="57"/>
      <c r="J266" s="57"/>
      <c r="K266" s="57"/>
      <c r="L266" s="57"/>
      <c r="M266" s="57"/>
    </row>
    <row r="267" spans="5:13" s="44" customFormat="1" x14ac:dyDescent="0.35">
      <c r="E267" s="57"/>
      <c r="F267" s="57"/>
      <c r="G267" s="57"/>
      <c r="H267" s="57"/>
      <c r="I267" s="57"/>
      <c r="J267" s="57"/>
      <c r="K267" s="57"/>
      <c r="L267" s="57"/>
      <c r="M267" s="57"/>
    </row>
    <row r="268" spans="5:13" s="44" customFormat="1" x14ac:dyDescent="0.35">
      <c r="E268" s="57"/>
      <c r="F268" s="57"/>
      <c r="G268" s="57"/>
      <c r="H268" s="57"/>
      <c r="I268" s="57"/>
      <c r="J268" s="57"/>
      <c r="K268" s="57"/>
      <c r="L268" s="57"/>
      <c r="M268" s="57"/>
    </row>
    <row r="269" spans="5:13" s="44" customFormat="1" x14ac:dyDescent="0.35">
      <c r="E269" s="57"/>
      <c r="F269" s="57"/>
      <c r="G269" s="57"/>
      <c r="H269" s="57"/>
      <c r="I269" s="57"/>
      <c r="J269" s="57"/>
      <c r="K269" s="57"/>
      <c r="L269" s="57"/>
      <c r="M269" s="57"/>
    </row>
    <row r="270" spans="5:13" s="44" customFormat="1" x14ac:dyDescent="0.35">
      <c r="E270" s="57"/>
      <c r="F270" s="57"/>
      <c r="G270" s="57"/>
      <c r="H270" s="57"/>
      <c r="I270" s="57"/>
      <c r="J270" s="57"/>
      <c r="K270" s="57"/>
      <c r="L270" s="57"/>
      <c r="M270" s="57"/>
    </row>
    <row r="271" spans="5:13" s="44" customFormat="1" x14ac:dyDescent="0.35">
      <c r="E271" s="57"/>
      <c r="F271" s="57"/>
      <c r="G271" s="57"/>
      <c r="H271" s="57"/>
      <c r="I271" s="57"/>
      <c r="J271" s="57"/>
      <c r="K271" s="57"/>
      <c r="L271" s="57"/>
      <c r="M271" s="57"/>
    </row>
    <row r="272" spans="5:13" s="44" customFormat="1" x14ac:dyDescent="0.35">
      <c r="E272" s="57"/>
      <c r="F272" s="57"/>
      <c r="G272" s="57"/>
      <c r="H272" s="57"/>
      <c r="I272" s="57"/>
      <c r="J272" s="57"/>
      <c r="K272" s="57"/>
      <c r="L272" s="57"/>
      <c r="M272" s="57"/>
    </row>
    <row r="273" spans="5:13" s="44" customFormat="1" x14ac:dyDescent="0.35">
      <c r="E273" s="57"/>
      <c r="F273" s="57"/>
      <c r="G273" s="57"/>
      <c r="H273" s="57"/>
      <c r="I273" s="57"/>
      <c r="J273" s="57"/>
      <c r="K273" s="57"/>
      <c r="L273" s="57"/>
      <c r="M273" s="57"/>
    </row>
    <row r="274" spans="5:13" s="44" customFormat="1" x14ac:dyDescent="0.35">
      <c r="E274" s="57"/>
      <c r="F274" s="57"/>
      <c r="G274" s="57"/>
      <c r="H274" s="57"/>
      <c r="I274" s="57"/>
      <c r="J274" s="57"/>
      <c r="K274" s="57"/>
      <c r="L274" s="57"/>
      <c r="M274" s="57"/>
    </row>
    <row r="275" spans="5:13" s="44" customFormat="1" x14ac:dyDescent="0.35">
      <c r="E275" s="57"/>
      <c r="F275" s="57"/>
      <c r="G275" s="57"/>
      <c r="H275" s="57"/>
      <c r="I275" s="57"/>
      <c r="J275" s="57"/>
      <c r="K275" s="57"/>
      <c r="L275" s="57"/>
      <c r="M275" s="57"/>
    </row>
    <row r="276" spans="5:13" s="44" customFormat="1" x14ac:dyDescent="0.35">
      <c r="E276" s="57"/>
      <c r="F276" s="57"/>
      <c r="G276" s="57"/>
      <c r="H276" s="57"/>
      <c r="I276" s="57"/>
      <c r="J276" s="57"/>
      <c r="K276" s="57"/>
      <c r="L276" s="57"/>
      <c r="M276" s="57"/>
    </row>
    <row r="277" spans="5:13" s="44" customFormat="1" x14ac:dyDescent="0.35">
      <c r="E277" s="57"/>
      <c r="F277" s="57"/>
      <c r="G277" s="57"/>
      <c r="H277" s="57"/>
      <c r="I277" s="57"/>
      <c r="J277" s="57"/>
      <c r="K277" s="57"/>
      <c r="L277" s="57"/>
      <c r="M277" s="57"/>
    </row>
    <row r="278" spans="5:13" s="44" customFormat="1" x14ac:dyDescent="0.35">
      <c r="E278" s="57"/>
      <c r="F278" s="57"/>
      <c r="G278" s="57"/>
      <c r="H278" s="57"/>
      <c r="I278" s="57"/>
      <c r="J278" s="57"/>
      <c r="K278" s="57"/>
      <c r="L278" s="57"/>
      <c r="M278" s="57"/>
    </row>
    <row r="279" spans="5:13" s="44" customFormat="1" x14ac:dyDescent="0.35">
      <c r="E279" s="57"/>
      <c r="F279" s="57"/>
      <c r="G279" s="57"/>
      <c r="H279" s="57"/>
      <c r="I279" s="57"/>
      <c r="J279" s="57"/>
      <c r="K279" s="57"/>
      <c r="L279" s="57"/>
      <c r="M279" s="57"/>
    </row>
    <row r="280" spans="5:13" s="44" customFormat="1" x14ac:dyDescent="0.35">
      <c r="E280" s="57"/>
      <c r="F280" s="57"/>
      <c r="G280" s="57"/>
      <c r="H280" s="57"/>
      <c r="I280" s="57"/>
      <c r="J280" s="57"/>
      <c r="K280" s="57"/>
      <c r="L280" s="57"/>
      <c r="M280" s="57"/>
    </row>
    <row r="281" spans="5:13" s="44" customFormat="1" x14ac:dyDescent="0.35">
      <c r="E281" s="57"/>
      <c r="F281" s="57"/>
      <c r="G281" s="57"/>
      <c r="H281" s="57"/>
      <c r="I281" s="57"/>
      <c r="J281" s="57"/>
      <c r="K281" s="57"/>
      <c r="L281" s="57"/>
      <c r="M281" s="57"/>
    </row>
    <row r="282" spans="5:13" s="44" customFormat="1" x14ac:dyDescent="0.35">
      <c r="E282" s="57"/>
      <c r="F282" s="57"/>
      <c r="G282" s="57"/>
      <c r="H282" s="57"/>
      <c r="I282" s="57"/>
      <c r="J282" s="57"/>
      <c r="K282" s="57"/>
      <c r="L282" s="57"/>
      <c r="M282" s="57"/>
    </row>
    <row r="283" spans="5:13" s="44" customFormat="1" x14ac:dyDescent="0.35">
      <c r="E283" s="57"/>
      <c r="F283" s="57"/>
      <c r="G283" s="57"/>
      <c r="H283" s="57"/>
      <c r="I283" s="57"/>
      <c r="J283" s="57"/>
      <c r="K283" s="57"/>
      <c r="L283" s="57"/>
      <c r="M283" s="57"/>
    </row>
    <row r="284" spans="5:13" s="44" customFormat="1" x14ac:dyDescent="0.35">
      <c r="E284" s="57"/>
      <c r="F284" s="57"/>
      <c r="G284" s="57"/>
      <c r="H284" s="57"/>
      <c r="I284" s="57"/>
      <c r="J284" s="57"/>
      <c r="K284" s="57"/>
      <c r="L284" s="57"/>
      <c r="M284" s="57"/>
    </row>
    <row r="285" spans="5:13" s="44" customFormat="1" x14ac:dyDescent="0.35">
      <c r="E285" s="57"/>
      <c r="F285" s="57"/>
      <c r="G285" s="57"/>
      <c r="H285" s="57"/>
      <c r="I285" s="57"/>
      <c r="J285" s="57"/>
      <c r="K285" s="57"/>
      <c r="L285" s="57"/>
      <c r="M285" s="57"/>
    </row>
    <row r="286" spans="5:13" s="44" customFormat="1" x14ac:dyDescent="0.35">
      <c r="E286" s="57"/>
      <c r="F286" s="57"/>
      <c r="G286" s="57"/>
      <c r="H286" s="57"/>
      <c r="I286" s="57"/>
      <c r="J286" s="57"/>
      <c r="K286" s="57"/>
      <c r="L286" s="57"/>
      <c r="M286" s="57"/>
    </row>
    <row r="287" spans="5:13" s="44" customFormat="1" x14ac:dyDescent="0.35">
      <c r="E287" s="57"/>
      <c r="F287" s="57"/>
      <c r="G287" s="57"/>
      <c r="H287" s="57"/>
      <c r="I287" s="57"/>
      <c r="J287" s="57"/>
      <c r="K287" s="57"/>
      <c r="L287" s="57"/>
      <c r="M287" s="57"/>
    </row>
    <row r="288" spans="5:13" s="44" customFormat="1" x14ac:dyDescent="0.35">
      <c r="E288" s="57"/>
      <c r="F288" s="57"/>
      <c r="G288" s="57"/>
      <c r="H288" s="57"/>
      <c r="I288" s="57"/>
      <c r="J288" s="57"/>
      <c r="K288" s="57"/>
      <c r="L288" s="57"/>
      <c r="M288" s="57"/>
    </row>
    <row r="289" spans="5:13" s="44" customFormat="1" x14ac:dyDescent="0.35">
      <c r="E289" s="57"/>
      <c r="F289" s="57"/>
      <c r="G289" s="57"/>
      <c r="H289" s="57"/>
      <c r="I289" s="57"/>
      <c r="J289" s="57"/>
      <c r="K289" s="57"/>
      <c r="L289" s="57"/>
      <c r="M289" s="57"/>
    </row>
    <row r="290" spans="5:13" s="44" customFormat="1" x14ac:dyDescent="0.35">
      <c r="E290" s="57"/>
      <c r="F290" s="57"/>
      <c r="G290" s="57"/>
      <c r="H290" s="57"/>
      <c r="I290" s="57"/>
      <c r="J290" s="57"/>
      <c r="K290" s="57"/>
      <c r="L290" s="57"/>
      <c r="M290" s="57"/>
    </row>
    <row r="291" spans="5:13" s="44" customFormat="1" x14ac:dyDescent="0.35">
      <c r="E291" s="57"/>
      <c r="F291" s="57"/>
      <c r="G291" s="57"/>
      <c r="H291" s="57"/>
      <c r="I291" s="57"/>
      <c r="J291" s="57"/>
      <c r="K291" s="57"/>
      <c r="L291" s="57"/>
      <c r="M291" s="57"/>
    </row>
    <row r="292" spans="5:13" s="44" customFormat="1" x14ac:dyDescent="0.35">
      <c r="E292" s="57"/>
      <c r="F292" s="57"/>
      <c r="G292" s="57"/>
      <c r="H292" s="57"/>
      <c r="I292" s="57"/>
      <c r="J292" s="57"/>
      <c r="K292" s="57"/>
      <c r="L292" s="57"/>
      <c r="M292" s="57"/>
    </row>
    <row r="293" spans="5:13" s="44" customFormat="1" x14ac:dyDescent="0.35">
      <c r="E293" s="57"/>
      <c r="F293" s="57"/>
      <c r="G293" s="57"/>
      <c r="H293" s="57"/>
      <c r="I293" s="57"/>
      <c r="J293" s="57"/>
      <c r="K293" s="57"/>
      <c r="L293" s="57"/>
      <c r="M293" s="57"/>
    </row>
    <row r="294" spans="5:13" s="44" customFormat="1" x14ac:dyDescent="0.35">
      <c r="E294" s="57"/>
      <c r="F294" s="57"/>
      <c r="G294" s="57"/>
      <c r="H294" s="57"/>
      <c r="I294" s="57"/>
      <c r="J294" s="57"/>
      <c r="K294" s="57"/>
      <c r="L294" s="57"/>
      <c r="M294" s="57"/>
    </row>
    <row r="295" spans="5:13" s="44" customFormat="1" x14ac:dyDescent="0.35">
      <c r="E295" s="57"/>
      <c r="F295" s="57"/>
      <c r="G295" s="57"/>
      <c r="H295" s="57"/>
      <c r="I295" s="57"/>
      <c r="J295" s="57"/>
      <c r="K295" s="57"/>
      <c r="L295" s="57"/>
      <c r="M295" s="57"/>
    </row>
    <row r="296" spans="5:13" s="44" customFormat="1" x14ac:dyDescent="0.35">
      <c r="E296" s="57"/>
      <c r="F296" s="57"/>
      <c r="G296" s="57"/>
      <c r="H296" s="57"/>
      <c r="I296" s="57"/>
      <c r="J296" s="57"/>
      <c r="K296" s="57"/>
      <c r="L296" s="57"/>
      <c r="M296" s="57"/>
    </row>
    <row r="297" spans="5:13" s="44" customFormat="1" x14ac:dyDescent="0.35">
      <c r="E297" s="57"/>
      <c r="F297" s="57"/>
      <c r="G297" s="57"/>
      <c r="H297" s="57"/>
      <c r="I297" s="57"/>
      <c r="J297" s="57"/>
      <c r="K297" s="57"/>
      <c r="L297" s="57"/>
      <c r="M297" s="57"/>
    </row>
    <row r="298" spans="5:13" s="44" customFormat="1" x14ac:dyDescent="0.35">
      <c r="E298" s="57"/>
      <c r="F298" s="57"/>
      <c r="G298" s="57"/>
      <c r="H298" s="57"/>
      <c r="I298" s="57"/>
      <c r="J298" s="57"/>
      <c r="K298" s="57"/>
      <c r="L298" s="57"/>
      <c r="M298" s="57"/>
    </row>
    <row r="299" spans="5:13" s="44" customFormat="1" x14ac:dyDescent="0.35">
      <c r="E299" s="57"/>
      <c r="F299" s="57"/>
      <c r="G299" s="57"/>
      <c r="H299" s="57"/>
      <c r="I299" s="57"/>
      <c r="J299" s="57"/>
      <c r="K299" s="57"/>
      <c r="L299" s="57"/>
      <c r="M299" s="57"/>
    </row>
    <row r="300" spans="5:13" s="44" customFormat="1" x14ac:dyDescent="0.35">
      <c r="E300" s="57"/>
      <c r="F300" s="57"/>
      <c r="G300" s="57"/>
      <c r="H300" s="57"/>
      <c r="I300" s="57"/>
      <c r="J300" s="57"/>
      <c r="K300" s="57"/>
      <c r="L300" s="57"/>
      <c r="M300" s="57"/>
    </row>
    <row r="301" spans="5:13" s="44" customFormat="1" x14ac:dyDescent="0.35">
      <c r="E301" s="57"/>
      <c r="F301" s="57"/>
      <c r="G301" s="57"/>
      <c r="H301" s="57"/>
      <c r="I301" s="57"/>
      <c r="J301" s="57"/>
      <c r="K301" s="57"/>
      <c r="L301" s="57"/>
      <c r="M301" s="57"/>
    </row>
    <row r="302" spans="5:13" s="44" customFormat="1" x14ac:dyDescent="0.35">
      <c r="E302" s="57"/>
      <c r="F302" s="57"/>
      <c r="G302" s="57"/>
      <c r="H302" s="57"/>
      <c r="I302" s="57"/>
      <c r="J302" s="57"/>
      <c r="K302" s="57"/>
      <c r="L302" s="57"/>
      <c r="M302" s="57"/>
    </row>
    <row r="303" spans="5:13" s="44" customFormat="1" x14ac:dyDescent="0.35">
      <c r="E303" s="57"/>
      <c r="F303" s="57"/>
      <c r="G303" s="57"/>
      <c r="H303" s="57"/>
      <c r="I303" s="57"/>
      <c r="J303" s="57"/>
      <c r="K303" s="57"/>
      <c r="L303" s="57"/>
      <c r="M303" s="57"/>
    </row>
    <row r="304" spans="5:13" s="44" customFormat="1" x14ac:dyDescent="0.35">
      <c r="E304" s="57"/>
      <c r="F304" s="57"/>
      <c r="G304" s="57"/>
      <c r="H304" s="57"/>
      <c r="I304" s="57"/>
      <c r="J304" s="57"/>
      <c r="K304" s="57"/>
      <c r="L304" s="57"/>
      <c r="M304" s="57"/>
    </row>
    <row r="305" spans="5:13" s="44" customFormat="1" x14ac:dyDescent="0.35">
      <c r="E305" s="57"/>
      <c r="F305" s="57"/>
      <c r="G305" s="57"/>
      <c r="H305" s="57"/>
      <c r="I305" s="57"/>
      <c r="J305" s="57"/>
      <c r="K305" s="57"/>
      <c r="L305" s="57"/>
      <c r="M305" s="57"/>
    </row>
    <row r="306" spans="5:13" s="44" customFormat="1" x14ac:dyDescent="0.35">
      <c r="E306" s="57"/>
      <c r="F306" s="57"/>
      <c r="G306" s="57"/>
      <c r="H306" s="57"/>
      <c r="I306" s="57"/>
      <c r="J306" s="57"/>
      <c r="K306" s="57"/>
      <c r="L306" s="57"/>
      <c r="M306" s="57"/>
    </row>
    <row r="307" spans="5:13" s="44" customFormat="1" x14ac:dyDescent="0.35">
      <c r="E307" s="57"/>
      <c r="F307" s="57"/>
      <c r="G307" s="57"/>
      <c r="H307" s="57"/>
      <c r="I307" s="57"/>
      <c r="J307" s="57"/>
      <c r="K307" s="57"/>
      <c r="L307" s="57"/>
      <c r="M307" s="57"/>
    </row>
    <row r="308" spans="5:13" s="44" customFormat="1" x14ac:dyDescent="0.35">
      <c r="E308" s="57"/>
      <c r="F308" s="57"/>
      <c r="G308" s="57"/>
      <c r="H308" s="57"/>
      <c r="I308" s="57"/>
      <c r="J308" s="57"/>
      <c r="K308" s="57"/>
      <c r="L308" s="57"/>
      <c r="M308" s="57"/>
    </row>
    <row r="309" spans="5:13" s="44" customFormat="1" x14ac:dyDescent="0.35">
      <c r="E309" s="57"/>
      <c r="F309" s="57"/>
      <c r="G309" s="57"/>
      <c r="H309" s="57"/>
      <c r="I309" s="57"/>
      <c r="J309" s="57"/>
      <c r="K309" s="57"/>
      <c r="L309" s="57"/>
      <c r="M309" s="57"/>
    </row>
    <row r="310" spans="5:13" s="44" customFormat="1" x14ac:dyDescent="0.35">
      <c r="E310" s="57"/>
      <c r="F310" s="57"/>
      <c r="G310" s="57"/>
      <c r="H310" s="57"/>
      <c r="I310" s="57"/>
      <c r="J310" s="57"/>
      <c r="K310" s="57"/>
      <c r="L310" s="57"/>
      <c r="M310" s="57"/>
    </row>
    <row r="311" spans="5:13" s="44" customFormat="1" x14ac:dyDescent="0.35">
      <c r="E311" s="57"/>
      <c r="F311" s="57"/>
      <c r="G311" s="57"/>
      <c r="H311" s="57"/>
      <c r="I311" s="57"/>
      <c r="J311" s="57"/>
      <c r="K311" s="57"/>
      <c r="L311" s="57"/>
      <c r="M311" s="57"/>
    </row>
    <row r="312" spans="5:13" s="44" customFormat="1" x14ac:dyDescent="0.35">
      <c r="E312" s="57"/>
      <c r="F312" s="57"/>
      <c r="G312" s="57"/>
      <c r="H312" s="57"/>
      <c r="I312" s="57"/>
      <c r="J312" s="57"/>
      <c r="K312" s="57"/>
      <c r="L312" s="57"/>
      <c r="M312" s="57"/>
    </row>
    <row r="313" spans="5:13" s="44" customFormat="1" x14ac:dyDescent="0.35">
      <c r="E313" s="57"/>
      <c r="F313" s="57"/>
      <c r="G313" s="57"/>
      <c r="H313" s="57"/>
      <c r="I313" s="57"/>
      <c r="J313" s="57"/>
      <c r="K313" s="57"/>
      <c r="L313" s="57"/>
      <c r="M313" s="57"/>
    </row>
    <row r="314" spans="5:13" s="44" customFormat="1" x14ac:dyDescent="0.35">
      <c r="E314" s="57"/>
      <c r="F314" s="57"/>
      <c r="G314" s="57"/>
      <c r="H314" s="57"/>
      <c r="I314" s="57"/>
      <c r="J314" s="57"/>
      <c r="K314" s="57"/>
      <c r="L314" s="57"/>
      <c r="M314" s="57"/>
    </row>
    <row r="315" spans="5:13" s="44" customFormat="1" x14ac:dyDescent="0.35">
      <c r="E315" s="57"/>
      <c r="F315" s="57"/>
      <c r="G315" s="57"/>
      <c r="H315" s="57"/>
      <c r="I315" s="57"/>
      <c r="J315" s="57"/>
      <c r="K315" s="57"/>
      <c r="L315" s="57"/>
      <c r="M315" s="57"/>
    </row>
    <row r="316" spans="5:13" s="44" customFormat="1" x14ac:dyDescent="0.35">
      <c r="E316" s="57"/>
      <c r="F316" s="57"/>
      <c r="G316" s="57"/>
      <c r="H316" s="57"/>
      <c r="I316" s="57"/>
      <c r="J316" s="57"/>
      <c r="K316" s="57"/>
      <c r="L316" s="57"/>
      <c r="M316" s="57"/>
    </row>
    <row r="317" spans="5:13" s="44" customFormat="1" x14ac:dyDescent="0.35">
      <c r="E317" s="57"/>
      <c r="F317" s="57"/>
      <c r="G317" s="57"/>
      <c r="H317" s="57"/>
      <c r="I317" s="57"/>
      <c r="J317" s="57"/>
      <c r="K317" s="57"/>
      <c r="L317" s="57"/>
      <c r="M317" s="57"/>
    </row>
    <row r="318" spans="5:13" s="44" customFormat="1" x14ac:dyDescent="0.35">
      <c r="E318" s="57"/>
      <c r="F318" s="57"/>
      <c r="G318" s="57"/>
      <c r="H318" s="57"/>
      <c r="I318" s="57"/>
      <c r="J318" s="57"/>
      <c r="K318" s="57"/>
      <c r="L318" s="57"/>
      <c r="M318" s="57"/>
    </row>
    <row r="319" spans="5:13" s="44" customFormat="1" x14ac:dyDescent="0.35">
      <c r="E319" s="57"/>
      <c r="F319" s="57"/>
      <c r="G319" s="57"/>
      <c r="H319" s="57"/>
      <c r="I319" s="57"/>
      <c r="J319" s="57"/>
      <c r="K319" s="57"/>
      <c r="L319" s="57"/>
      <c r="M319" s="57"/>
    </row>
    <row r="320" spans="5:13" s="44" customFormat="1" x14ac:dyDescent="0.35">
      <c r="E320" s="57"/>
      <c r="F320" s="57"/>
      <c r="G320" s="57"/>
      <c r="H320" s="57"/>
      <c r="I320" s="57"/>
      <c r="J320" s="57"/>
      <c r="K320" s="57"/>
      <c r="L320" s="57"/>
      <c r="M320" s="57"/>
    </row>
    <row r="321" spans="5:13" s="44" customFormat="1" x14ac:dyDescent="0.35">
      <c r="E321" s="57"/>
      <c r="F321" s="57"/>
      <c r="G321" s="57"/>
      <c r="H321" s="57"/>
      <c r="I321" s="57"/>
      <c r="J321" s="57"/>
      <c r="K321" s="57"/>
      <c r="L321" s="57"/>
      <c r="M321" s="57"/>
    </row>
    <row r="322" spans="5:13" s="44" customFormat="1" x14ac:dyDescent="0.35">
      <c r="E322" s="57"/>
      <c r="F322" s="57"/>
      <c r="G322" s="57"/>
      <c r="H322" s="57"/>
      <c r="I322" s="57"/>
      <c r="J322" s="57"/>
      <c r="K322" s="57"/>
      <c r="L322" s="57"/>
      <c r="M322" s="57"/>
    </row>
    <row r="323" spans="5:13" s="44" customFormat="1" x14ac:dyDescent="0.35">
      <c r="E323" s="57"/>
      <c r="F323" s="57"/>
      <c r="G323" s="57"/>
      <c r="H323" s="57"/>
      <c r="I323" s="57"/>
      <c r="J323" s="57"/>
      <c r="K323" s="57"/>
      <c r="L323" s="57"/>
      <c r="M323" s="57"/>
    </row>
    <row r="324" spans="5:13" s="44" customFormat="1" x14ac:dyDescent="0.35">
      <c r="E324" s="57"/>
      <c r="F324" s="57"/>
      <c r="G324" s="57"/>
      <c r="H324" s="57"/>
      <c r="I324" s="57"/>
      <c r="J324" s="57"/>
      <c r="K324" s="57"/>
      <c r="L324" s="57"/>
      <c r="M324" s="57"/>
    </row>
    <row r="325" spans="5:13" s="44" customFormat="1" x14ac:dyDescent="0.35">
      <c r="E325" s="57"/>
      <c r="F325" s="57"/>
      <c r="G325" s="57"/>
      <c r="H325" s="57"/>
      <c r="I325" s="57"/>
      <c r="J325" s="57"/>
      <c r="K325" s="57"/>
      <c r="L325" s="57"/>
      <c r="M325" s="57"/>
    </row>
    <row r="326" spans="5:13" s="44" customFormat="1" x14ac:dyDescent="0.35">
      <c r="E326" s="57"/>
      <c r="F326" s="57"/>
      <c r="G326" s="57"/>
      <c r="H326" s="57"/>
      <c r="I326" s="57"/>
      <c r="J326" s="57"/>
      <c r="K326" s="57"/>
      <c r="L326" s="57"/>
      <c r="M326" s="57"/>
    </row>
    <row r="327" spans="5:13" s="44" customFormat="1" x14ac:dyDescent="0.35">
      <c r="E327" s="57"/>
      <c r="F327" s="57"/>
      <c r="G327" s="57"/>
      <c r="H327" s="57"/>
      <c r="I327" s="57"/>
      <c r="J327" s="57"/>
      <c r="K327" s="57"/>
      <c r="L327" s="57"/>
      <c r="M327" s="57"/>
    </row>
    <row r="328" spans="5:13" s="44" customFormat="1" x14ac:dyDescent="0.35">
      <c r="E328" s="57"/>
      <c r="F328" s="57"/>
      <c r="G328" s="57"/>
      <c r="H328" s="57"/>
      <c r="I328" s="57"/>
      <c r="J328" s="57"/>
      <c r="K328" s="57"/>
      <c r="L328" s="57"/>
      <c r="M328" s="57"/>
    </row>
    <row r="329" spans="5:13" s="44" customFormat="1" x14ac:dyDescent="0.35">
      <c r="E329" s="57"/>
      <c r="F329" s="57"/>
      <c r="G329" s="57"/>
      <c r="H329" s="57"/>
      <c r="I329" s="57"/>
      <c r="J329" s="57"/>
      <c r="K329" s="57"/>
      <c r="L329" s="57"/>
      <c r="M329" s="57"/>
    </row>
    <row r="330" spans="5:13" s="44" customFormat="1" x14ac:dyDescent="0.35">
      <c r="E330" s="57"/>
      <c r="F330" s="57"/>
      <c r="G330" s="57"/>
      <c r="H330" s="57"/>
      <c r="I330" s="57"/>
      <c r="J330" s="57"/>
      <c r="K330" s="57"/>
      <c r="L330" s="57"/>
      <c r="M330" s="57"/>
    </row>
    <row r="331" spans="5:13" s="44" customFormat="1" x14ac:dyDescent="0.35">
      <c r="E331" s="57"/>
      <c r="F331" s="57"/>
      <c r="G331" s="57"/>
      <c r="H331" s="57"/>
      <c r="I331" s="57"/>
      <c r="J331" s="57"/>
      <c r="K331" s="57"/>
      <c r="L331" s="57"/>
      <c r="M331" s="57"/>
    </row>
    <row r="332" spans="5:13" s="44" customFormat="1" x14ac:dyDescent="0.35">
      <c r="E332" s="57"/>
      <c r="F332" s="57"/>
      <c r="G332" s="57"/>
      <c r="H332" s="57"/>
      <c r="I332" s="57"/>
      <c r="J332" s="57"/>
      <c r="K332" s="57"/>
      <c r="L332" s="57"/>
      <c r="M332" s="57"/>
    </row>
    <row r="333" spans="5:13" s="44" customFormat="1" x14ac:dyDescent="0.35">
      <c r="E333" s="57"/>
      <c r="F333" s="57"/>
      <c r="G333" s="57"/>
      <c r="H333" s="57"/>
      <c r="I333" s="57"/>
      <c r="J333" s="57"/>
      <c r="K333" s="57"/>
      <c r="L333" s="57"/>
      <c r="M333" s="57"/>
    </row>
    <row r="334" spans="5:13" s="44" customFormat="1" x14ac:dyDescent="0.35">
      <c r="E334" s="57"/>
      <c r="F334" s="57"/>
      <c r="G334" s="57"/>
      <c r="H334" s="57"/>
      <c r="I334" s="57"/>
      <c r="J334" s="57"/>
      <c r="K334" s="57"/>
      <c r="L334" s="57"/>
      <c r="M334" s="57"/>
    </row>
    <row r="335" spans="5:13" s="44" customFormat="1" x14ac:dyDescent="0.35">
      <c r="E335" s="57"/>
      <c r="F335" s="57"/>
      <c r="G335" s="57"/>
      <c r="H335" s="57"/>
      <c r="I335" s="57"/>
      <c r="J335" s="57"/>
      <c r="K335" s="57"/>
      <c r="L335" s="57"/>
      <c r="M335" s="57"/>
    </row>
    <row r="336" spans="5:13" s="44" customFormat="1" x14ac:dyDescent="0.35">
      <c r="E336" s="57"/>
      <c r="F336" s="57"/>
      <c r="G336" s="57"/>
      <c r="H336" s="57"/>
      <c r="I336" s="57"/>
      <c r="J336" s="57"/>
      <c r="K336" s="57"/>
      <c r="L336" s="57"/>
      <c r="M336" s="57"/>
    </row>
    <row r="337" spans="5:13" s="44" customFormat="1" x14ac:dyDescent="0.35">
      <c r="E337" s="57"/>
      <c r="F337" s="57"/>
      <c r="G337" s="57"/>
      <c r="H337" s="57"/>
      <c r="I337" s="57"/>
      <c r="J337" s="57"/>
      <c r="K337" s="57"/>
      <c r="L337" s="57"/>
      <c r="M337" s="57"/>
    </row>
    <row r="338" spans="5:13" s="44" customFormat="1" x14ac:dyDescent="0.35">
      <c r="E338" s="57"/>
      <c r="F338" s="57"/>
      <c r="G338" s="57"/>
      <c r="H338" s="57"/>
      <c r="I338" s="57"/>
      <c r="J338" s="57"/>
      <c r="K338" s="57"/>
      <c r="L338" s="57"/>
      <c r="M338" s="57"/>
    </row>
    <row r="339" spans="5:13" s="44" customFormat="1" x14ac:dyDescent="0.35">
      <c r="E339" s="57"/>
      <c r="F339" s="57"/>
      <c r="G339" s="57"/>
      <c r="H339" s="57"/>
      <c r="I339" s="57"/>
      <c r="J339" s="57"/>
      <c r="K339" s="57"/>
      <c r="L339" s="57"/>
      <c r="M339" s="57"/>
    </row>
    <row r="340" spans="5:13" s="44" customFormat="1" x14ac:dyDescent="0.35">
      <c r="E340" s="57"/>
      <c r="F340" s="57"/>
      <c r="G340" s="57"/>
      <c r="H340" s="57"/>
      <c r="I340" s="57"/>
      <c r="J340" s="57"/>
      <c r="K340" s="57"/>
      <c r="L340" s="57"/>
      <c r="M340" s="57"/>
    </row>
    <row r="341" spans="5:13" s="44" customFormat="1" x14ac:dyDescent="0.35">
      <c r="E341" s="57"/>
      <c r="F341" s="57"/>
      <c r="G341" s="57"/>
      <c r="H341" s="57"/>
      <c r="I341" s="57"/>
      <c r="J341" s="57"/>
      <c r="K341" s="57"/>
      <c r="L341" s="57"/>
      <c r="M341" s="57"/>
    </row>
    <row r="342" spans="5:13" s="44" customFormat="1" x14ac:dyDescent="0.35">
      <c r="E342" s="57"/>
      <c r="F342" s="57"/>
      <c r="G342" s="57"/>
      <c r="H342" s="57"/>
      <c r="I342" s="57"/>
      <c r="J342" s="57"/>
      <c r="K342" s="57"/>
      <c r="L342" s="57"/>
      <c r="M342" s="57"/>
    </row>
    <row r="343" spans="5:13" s="44" customFormat="1" x14ac:dyDescent="0.35">
      <c r="E343" s="57"/>
      <c r="F343" s="57"/>
      <c r="G343" s="57"/>
      <c r="H343" s="57"/>
      <c r="I343" s="57"/>
      <c r="J343" s="57"/>
      <c r="K343" s="57"/>
      <c r="L343" s="57"/>
      <c r="M343" s="57"/>
    </row>
    <row r="344" spans="5:13" s="44" customFormat="1" x14ac:dyDescent="0.35">
      <c r="E344" s="57"/>
      <c r="F344" s="57"/>
      <c r="G344" s="57"/>
      <c r="H344" s="57"/>
      <c r="I344" s="57"/>
      <c r="J344" s="57"/>
      <c r="K344" s="57"/>
      <c r="L344" s="57"/>
      <c r="M344" s="57"/>
    </row>
    <row r="345" spans="5:13" s="44" customFormat="1" x14ac:dyDescent="0.35">
      <c r="E345" s="57"/>
      <c r="F345" s="57"/>
      <c r="G345" s="57"/>
      <c r="H345" s="57"/>
      <c r="I345" s="57"/>
      <c r="J345" s="57"/>
      <c r="K345" s="57"/>
      <c r="L345" s="57"/>
      <c r="M345" s="57"/>
    </row>
    <row r="346" spans="5:13" s="44" customFormat="1" x14ac:dyDescent="0.35">
      <c r="E346" s="57"/>
      <c r="F346" s="57"/>
      <c r="G346" s="57"/>
      <c r="H346" s="57"/>
      <c r="I346" s="57"/>
      <c r="J346" s="57"/>
      <c r="K346" s="57"/>
      <c r="L346" s="57"/>
      <c r="M346" s="57"/>
    </row>
    <row r="347" spans="5:13" s="44" customFormat="1" x14ac:dyDescent="0.35">
      <c r="E347" s="57"/>
      <c r="F347" s="57"/>
      <c r="G347" s="57"/>
      <c r="H347" s="57"/>
      <c r="I347" s="57"/>
      <c r="J347" s="57"/>
      <c r="K347" s="57"/>
      <c r="L347" s="57"/>
      <c r="M347" s="57"/>
    </row>
    <row r="348" spans="5:13" s="44" customFormat="1" x14ac:dyDescent="0.35">
      <c r="E348" s="57"/>
      <c r="F348" s="57"/>
      <c r="G348" s="57"/>
      <c r="H348" s="57"/>
      <c r="I348" s="57"/>
      <c r="J348" s="57"/>
      <c r="K348" s="57"/>
      <c r="L348" s="57"/>
      <c r="M348" s="57"/>
    </row>
    <row r="349" spans="5:13" s="44" customFormat="1" x14ac:dyDescent="0.35">
      <c r="E349" s="57"/>
      <c r="F349" s="57"/>
      <c r="G349" s="57"/>
      <c r="H349" s="57"/>
      <c r="I349" s="57"/>
      <c r="J349" s="57"/>
      <c r="K349" s="57"/>
      <c r="L349" s="57"/>
      <c r="M349" s="57"/>
    </row>
    <row r="350" spans="5:13" s="44" customFormat="1" x14ac:dyDescent="0.35">
      <c r="E350" s="57"/>
      <c r="F350" s="57"/>
      <c r="G350" s="57"/>
      <c r="H350" s="57"/>
      <c r="I350" s="57"/>
      <c r="J350" s="57"/>
      <c r="K350" s="57"/>
      <c r="L350" s="57"/>
      <c r="M350" s="57"/>
    </row>
    <row r="351" spans="5:13" s="44" customFormat="1" x14ac:dyDescent="0.35">
      <c r="E351" s="57"/>
      <c r="F351" s="57"/>
      <c r="G351" s="57"/>
      <c r="H351" s="57"/>
      <c r="I351" s="57"/>
      <c r="J351" s="57"/>
      <c r="K351" s="57"/>
      <c r="L351" s="57"/>
      <c r="M351" s="57"/>
    </row>
    <row r="352" spans="5:13" s="44" customFormat="1" x14ac:dyDescent="0.35">
      <c r="E352" s="57"/>
      <c r="F352" s="57"/>
      <c r="G352" s="57"/>
      <c r="H352" s="57"/>
      <c r="I352" s="57"/>
      <c r="J352" s="57"/>
      <c r="K352" s="57"/>
      <c r="L352" s="57"/>
      <c r="M352" s="57"/>
    </row>
    <row r="353" spans="5:13" s="44" customFormat="1" x14ac:dyDescent="0.35">
      <c r="E353" s="57"/>
      <c r="F353" s="57"/>
      <c r="G353" s="57"/>
      <c r="H353" s="57"/>
      <c r="I353" s="57"/>
      <c r="J353" s="57"/>
      <c r="K353" s="57"/>
      <c r="L353" s="57"/>
      <c r="M353" s="57"/>
    </row>
    <row r="354" spans="5:13" s="44" customFormat="1" x14ac:dyDescent="0.35">
      <c r="E354" s="57"/>
      <c r="F354" s="57"/>
      <c r="G354" s="57"/>
      <c r="H354" s="57"/>
      <c r="I354" s="57"/>
      <c r="J354" s="57"/>
      <c r="K354" s="57"/>
      <c r="L354" s="57"/>
      <c r="M354" s="57"/>
    </row>
    <row r="355" spans="5:13" s="44" customFormat="1" x14ac:dyDescent="0.35">
      <c r="E355" s="57"/>
      <c r="F355" s="57"/>
      <c r="G355" s="57"/>
      <c r="H355" s="57"/>
      <c r="I355" s="57"/>
      <c r="J355" s="57"/>
      <c r="K355" s="57"/>
      <c r="L355" s="57"/>
      <c r="M355" s="57"/>
    </row>
    <row r="356" spans="5:13" s="44" customFormat="1" x14ac:dyDescent="0.35">
      <c r="E356" s="57"/>
      <c r="F356" s="57"/>
      <c r="G356" s="57"/>
      <c r="H356" s="57"/>
      <c r="I356" s="57"/>
      <c r="J356" s="57"/>
      <c r="K356" s="57"/>
      <c r="L356" s="57"/>
      <c r="M356" s="57"/>
    </row>
    <row r="357" spans="5:13" s="44" customFormat="1" x14ac:dyDescent="0.35">
      <c r="E357" s="57"/>
      <c r="F357" s="57"/>
      <c r="G357" s="57"/>
      <c r="H357" s="57"/>
      <c r="I357" s="57"/>
      <c r="J357" s="57"/>
      <c r="K357" s="57"/>
      <c r="L357" s="57"/>
      <c r="M357" s="57"/>
    </row>
    <row r="358" spans="5:13" s="44" customFormat="1" x14ac:dyDescent="0.35">
      <c r="E358" s="57"/>
      <c r="F358" s="57"/>
      <c r="G358" s="57"/>
      <c r="H358" s="57"/>
      <c r="I358" s="57"/>
      <c r="J358" s="57"/>
      <c r="K358" s="57"/>
      <c r="L358" s="57"/>
      <c r="M358" s="57"/>
    </row>
    <row r="359" spans="5:13" s="44" customFormat="1" x14ac:dyDescent="0.35">
      <c r="E359" s="57"/>
      <c r="F359" s="57"/>
      <c r="G359" s="57"/>
      <c r="H359" s="57"/>
      <c r="I359" s="57"/>
      <c r="J359" s="57"/>
      <c r="K359" s="57"/>
      <c r="L359" s="57"/>
      <c r="M359" s="57"/>
    </row>
    <row r="360" spans="5:13" s="44" customFormat="1" x14ac:dyDescent="0.35">
      <c r="E360" s="57"/>
      <c r="F360" s="57"/>
      <c r="G360" s="57"/>
      <c r="H360" s="57"/>
      <c r="I360" s="57"/>
      <c r="J360" s="57"/>
      <c r="K360" s="57"/>
      <c r="L360" s="57"/>
      <c r="M360" s="57"/>
    </row>
    <row r="361" spans="5:13" s="44" customFormat="1" x14ac:dyDescent="0.35">
      <c r="E361" s="57"/>
      <c r="F361" s="57"/>
      <c r="G361" s="57"/>
      <c r="H361" s="57"/>
      <c r="I361" s="57"/>
      <c r="J361" s="57"/>
      <c r="K361" s="57"/>
      <c r="L361" s="57"/>
      <c r="M361" s="57"/>
    </row>
    <row r="362" spans="5:13" s="44" customFormat="1" x14ac:dyDescent="0.35">
      <c r="E362" s="57"/>
      <c r="F362" s="57"/>
      <c r="G362" s="57"/>
      <c r="H362" s="57"/>
      <c r="I362" s="57"/>
      <c r="J362" s="57"/>
      <c r="K362" s="57"/>
      <c r="L362" s="57"/>
      <c r="M362" s="57"/>
    </row>
    <row r="363" spans="5:13" s="44" customFormat="1" x14ac:dyDescent="0.35">
      <c r="E363" s="57"/>
      <c r="F363" s="57"/>
      <c r="G363" s="57"/>
      <c r="H363" s="57"/>
      <c r="I363" s="57"/>
      <c r="J363" s="57"/>
      <c r="K363" s="57"/>
      <c r="L363" s="57"/>
      <c r="M363" s="57"/>
    </row>
    <row r="364" spans="5:13" s="44" customFormat="1" x14ac:dyDescent="0.35">
      <c r="E364" s="57"/>
      <c r="F364" s="57"/>
      <c r="G364" s="57"/>
      <c r="H364" s="57"/>
      <c r="I364" s="57"/>
      <c r="J364" s="57"/>
      <c r="K364" s="57"/>
      <c r="L364" s="57"/>
      <c r="M364" s="57"/>
    </row>
    <row r="365" spans="5:13" s="44" customFormat="1" x14ac:dyDescent="0.35">
      <c r="E365" s="57"/>
      <c r="F365" s="57"/>
      <c r="G365" s="57"/>
      <c r="H365" s="57"/>
      <c r="I365" s="57"/>
      <c r="J365" s="57"/>
      <c r="K365" s="57"/>
      <c r="L365" s="57"/>
      <c r="M365" s="57"/>
    </row>
    <row r="366" spans="5:13" s="44" customFormat="1" x14ac:dyDescent="0.35">
      <c r="E366" s="57"/>
      <c r="F366" s="57"/>
      <c r="G366" s="57"/>
      <c r="H366" s="57"/>
      <c r="I366" s="57"/>
      <c r="J366" s="57"/>
      <c r="K366" s="57"/>
      <c r="L366" s="57"/>
      <c r="M366" s="57"/>
    </row>
    <row r="367" spans="5:13" s="44" customFormat="1" x14ac:dyDescent="0.35">
      <c r="E367" s="57"/>
      <c r="F367" s="57"/>
      <c r="G367" s="57"/>
      <c r="H367" s="57"/>
      <c r="I367" s="57"/>
      <c r="J367" s="57"/>
      <c r="K367" s="57"/>
      <c r="L367" s="57"/>
      <c r="M367" s="57"/>
    </row>
    <row r="368" spans="5:13" s="44" customFormat="1" x14ac:dyDescent="0.35">
      <c r="E368" s="57"/>
      <c r="F368" s="57"/>
      <c r="G368" s="57"/>
      <c r="H368" s="57"/>
      <c r="I368" s="57"/>
      <c r="J368" s="57"/>
      <c r="K368" s="57"/>
      <c r="L368" s="57"/>
      <c r="M368" s="57"/>
    </row>
    <row r="369" spans="5:13" s="44" customFormat="1" x14ac:dyDescent="0.35">
      <c r="E369" s="57"/>
      <c r="F369" s="57"/>
      <c r="G369" s="57"/>
      <c r="H369" s="57"/>
      <c r="I369" s="57"/>
      <c r="J369" s="57"/>
      <c r="K369" s="57"/>
      <c r="L369" s="57"/>
      <c r="M369" s="57"/>
    </row>
    <row r="370" spans="5:13" s="44" customFormat="1" x14ac:dyDescent="0.35">
      <c r="E370" s="57"/>
      <c r="F370" s="57"/>
      <c r="G370" s="57"/>
      <c r="H370" s="57"/>
      <c r="I370" s="57"/>
      <c r="J370" s="57"/>
      <c r="K370" s="57"/>
      <c r="L370" s="57"/>
      <c r="M370" s="57"/>
    </row>
    <row r="371" spans="5:13" s="44" customFormat="1" x14ac:dyDescent="0.35">
      <c r="E371" s="57"/>
      <c r="F371" s="57"/>
      <c r="G371" s="57"/>
      <c r="H371" s="57"/>
      <c r="I371" s="57"/>
      <c r="J371" s="57"/>
      <c r="K371" s="57"/>
      <c r="L371" s="57"/>
      <c r="M371" s="57"/>
    </row>
    <row r="372" spans="5:13" s="44" customFormat="1" x14ac:dyDescent="0.35">
      <c r="E372" s="57"/>
      <c r="F372" s="57"/>
      <c r="G372" s="57"/>
      <c r="H372" s="57"/>
      <c r="I372" s="57"/>
      <c r="J372" s="57"/>
      <c r="K372" s="57"/>
      <c r="L372" s="57"/>
      <c r="M372" s="57"/>
    </row>
    <row r="373" spans="5:13" s="44" customFormat="1" x14ac:dyDescent="0.35">
      <c r="E373" s="57"/>
      <c r="F373" s="57"/>
      <c r="G373" s="57"/>
      <c r="H373" s="57"/>
      <c r="I373" s="57"/>
      <c r="J373" s="57"/>
      <c r="K373" s="57"/>
      <c r="L373" s="57"/>
      <c r="M373" s="57"/>
    </row>
    <row r="374" spans="5:13" s="44" customFormat="1" x14ac:dyDescent="0.35">
      <c r="E374" s="57"/>
      <c r="F374" s="57"/>
      <c r="G374" s="57"/>
      <c r="H374" s="57"/>
      <c r="I374" s="57"/>
      <c r="J374" s="57"/>
      <c r="K374" s="57"/>
      <c r="L374" s="57"/>
      <c r="M374" s="57"/>
    </row>
    <row r="375" spans="5:13" s="44" customFormat="1" x14ac:dyDescent="0.35">
      <c r="E375" s="57"/>
      <c r="F375" s="57"/>
      <c r="G375" s="57"/>
      <c r="H375" s="57"/>
      <c r="I375" s="57"/>
      <c r="J375" s="57"/>
      <c r="K375" s="57"/>
      <c r="L375" s="57"/>
      <c r="M375" s="57"/>
    </row>
    <row r="376" spans="5:13" s="44" customFormat="1" x14ac:dyDescent="0.35">
      <c r="E376" s="57"/>
      <c r="F376" s="57"/>
      <c r="G376" s="57"/>
      <c r="H376" s="57"/>
      <c r="I376" s="57"/>
      <c r="J376" s="57"/>
      <c r="K376" s="57"/>
      <c r="L376" s="57"/>
      <c r="M376" s="57"/>
    </row>
    <row r="377" spans="5:13" s="44" customFormat="1" x14ac:dyDescent="0.35">
      <c r="E377" s="57"/>
      <c r="F377" s="57"/>
      <c r="G377" s="57"/>
      <c r="H377" s="57"/>
      <c r="I377" s="57"/>
      <c r="J377" s="57"/>
      <c r="K377" s="57"/>
      <c r="L377" s="57"/>
      <c r="M377" s="57"/>
    </row>
    <row r="378" spans="5:13" s="44" customFormat="1" x14ac:dyDescent="0.35">
      <c r="E378" s="57"/>
      <c r="F378" s="57"/>
      <c r="G378" s="57"/>
      <c r="H378" s="57"/>
      <c r="I378" s="57"/>
      <c r="J378" s="57"/>
      <c r="K378" s="57"/>
      <c r="L378" s="57"/>
      <c r="M378" s="57"/>
    </row>
    <row r="379" spans="5:13" s="44" customFormat="1" x14ac:dyDescent="0.35">
      <c r="E379" s="57"/>
      <c r="F379" s="57"/>
      <c r="G379" s="57"/>
      <c r="H379" s="57"/>
      <c r="I379" s="57"/>
      <c r="J379" s="57"/>
      <c r="K379" s="57"/>
      <c r="L379" s="57"/>
      <c r="M379" s="57"/>
    </row>
    <row r="380" spans="5:13" s="44" customFormat="1" x14ac:dyDescent="0.35">
      <c r="E380" s="57"/>
      <c r="F380" s="57"/>
      <c r="G380" s="57"/>
      <c r="H380" s="57"/>
      <c r="I380" s="57"/>
      <c r="J380" s="57"/>
      <c r="K380" s="57"/>
      <c r="L380" s="57"/>
      <c r="M380" s="57"/>
    </row>
    <row r="381" spans="5:13" s="44" customFormat="1" x14ac:dyDescent="0.35">
      <c r="E381" s="57"/>
      <c r="F381" s="57"/>
      <c r="G381" s="57"/>
      <c r="H381" s="57"/>
      <c r="I381" s="57"/>
      <c r="J381" s="57"/>
      <c r="K381" s="57"/>
      <c r="L381" s="57"/>
      <c r="M381" s="57"/>
    </row>
    <row r="382" spans="5:13" s="44" customFormat="1" x14ac:dyDescent="0.35">
      <c r="E382" s="57"/>
      <c r="F382" s="57"/>
      <c r="G382" s="57"/>
      <c r="H382" s="57"/>
      <c r="I382" s="57"/>
      <c r="J382" s="57"/>
      <c r="K382" s="57"/>
      <c r="L382" s="57"/>
      <c r="M382" s="57"/>
    </row>
    <row r="383" spans="5:13" s="44" customFormat="1" x14ac:dyDescent="0.35">
      <c r="E383" s="57"/>
      <c r="F383" s="57"/>
      <c r="G383" s="57"/>
      <c r="H383" s="57"/>
      <c r="I383" s="57"/>
      <c r="J383" s="57"/>
      <c r="K383" s="57"/>
      <c r="L383" s="57"/>
      <c r="M383" s="57"/>
    </row>
    <row r="384" spans="5:13" s="44" customFormat="1" x14ac:dyDescent="0.35">
      <c r="E384" s="57"/>
      <c r="F384" s="57"/>
      <c r="G384" s="57"/>
      <c r="H384" s="57"/>
      <c r="I384" s="57"/>
      <c r="J384" s="57"/>
      <c r="K384" s="57"/>
      <c r="L384" s="57"/>
      <c r="M384" s="57"/>
    </row>
    <row r="385" spans="5:13" s="44" customFormat="1" x14ac:dyDescent="0.35">
      <c r="E385" s="57"/>
      <c r="F385" s="57"/>
      <c r="G385" s="57"/>
      <c r="H385" s="57"/>
      <c r="I385" s="57"/>
      <c r="J385" s="57"/>
      <c r="K385" s="57"/>
      <c r="L385" s="57"/>
      <c r="M385" s="57"/>
    </row>
    <row r="386" spans="5:13" s="44" customFormat="1" x14ac:dyDescent="0.35">
      <c r="E386" s="57"/>
      <c r="F386" s="57"/>
      <c r="G386" s="57"/>
      <c r="H386" s="57"/>
      <c r="I386" s="57"/>
      <c r="J386" s="57"/>
      <c r="K386" s="57"/>
      <c r="L386" s="57"/>
      <c r="M386" s="57"/>
    </row>
    <row r="387" spans="5:13" s="44" customFormat="1" x14ac:dyDescent="0.35">
      <c r="E387" s="57"/>
      <c r="F387" s="57"/>
      <c r="G387" s="57"/>
      <c r="H387" s="57"/>
      <c r="I387" s="57"/>
      <c r="J387" s="57"/>
      <c r="K387" s="57"/>
      <c r="L387" s="57"/>
      <c r="M387" s="57"/>
    </row>
    <row r="388" spans="5:13" s="44" customFormat="1" x14ac:dyDescent="0.35">
      <c r="E388" s="57"/>
      <c r="F388" s="57"/>
      <c r="G388" s="57"/>
      <c r="H388" s="57"/>
      <c r="I388" s="57"/>
      <c r="J388" s="57"/>
      <c r="K388" s="57"/>
      <c r="L388" s="57"/>
      <c r="M388" s="57"/>
    </row>
    <row r="389" spans="5:13" s="44" customFormat="1" x14ac:dyDescent="0.35">
      <c r="E389" s="57"/>
      <c r="F389" s="57"/>
      <c r="G389" s="57"/>
      <c r="H389" s="57"/>
      <c r="I389" s="57"/>
      <c r="J389" s="57"/>
      <c r="K389" s="57"/>
      <c r="L389" s="57"/>
      <c r="M389" s="57"/>
    </row>
    <row r="390" spans="5:13" s="44" customFormat="1" x14ac:dyDescent="0.35">
      <c r="E390" s="57"/>
      <c r="F390" s="57"/>
      <c r="G390" s="57"/>
      <c r="H390" s="57"/>
      <c r="I390" s="57"/>
      <c r="J390" s="57"/>
      <c r="K390" s="57"/>
      <c r="L390" s="57"/>
      <c r="M390" s="57"/>
    </row>
    <row r="391" spans="5:13" s="44" customFormat="1" x14ac:dyDescent="0.35">
      <c r="E391" s="57"/>
      <c r="F391" s="57"/>
      <c r="G391" s="57"/>
      <c r="H391" s="57"/>
      <c r="I391" s="57"/>
      <c r="J391" s="57"/>
      <c r="K391" s="57"/>
      <c r="L391" s="57"/>
      <c r="M391" s="57"/>
    </row>
    <row r="392" spans="5:13" s="44" customFormat="1" x14ac:dyDescent="0.35">
      <c r="E392" s="57"/>
      <c r="F392" s="57"/>
      <c r="G392" s="57"/>
      <c r="H392" s="57"/>
      <c r="I392" s="57"/>
      <c r="J392" s="57"/>
      <c r="K392" s="57"/>
      <c r="L392" s="57"/>
      <c r="M392" s="57"/>
    </row>
    <row r="393" spans="5:13" s="44" customFormat="1" x14ac:dyDescent="0.35">
      <c r="E393" s="57"/>
      <c r="F393" s="57"/>
      <c r="G393" s="57"/>
      <c r="H393" s="57"/>
      <c r="I393" s="57"/>
      <c r="J393" s="57"/>
      <c r="K393" s="57"/>
      <c r="L393" s="57"/>
      <c r="M393" s="57"/>
    </row>
    <row r="394" spans="5:13" s="44" customFormat="1" x14ac:dyDescent="0.35">
      <c r="E394" s="57"/>
      <c r="F394" s="57"/>
      <c r="G394" s="57"/>
      <c r="H394" s="57"/>
      <c r="I394" s="57"/>
      <c r="J394" s="57"/>
      <c r="K394" s="57"/>
      <c r="L394" s="57"/>
      <c r="M394" s="57"/>
    </row>
    <row r="395" spans="5:13" s="44" customFormat="1" x14ac:dyDescent="0.35">
      <c r="E395" s="57"/>
      <c r="F395" s="57"/>
      <c r="G395" s="57"/>
      <c r="H395" s="57"/>
      <c r="I395" s="57"/>
      <c r="J395" s="57"/>
      <c r="K395" s="57"/>
      <c r="L395" s="57"/>
      <c r="M395" s="57"/>
    </row>
    <row r="396" spans="5:13" s="44" customFormat="1" x14ac:dyDescent="0.35">
      <c r="E396" s="57"/>
      <c r="F396" s="57"/>
      <c r="G396" s="57"/>
      <c r="H396" s="57"/>
      <c r="I396" s="57"/>
      <c r="J396" s="57"/>
      <c r="K396" s="57"/>
      <c r="L396" s="57"/>
      <c r="M396" s="57"/>
    </row>
    <row r="397" spans="5:13" s="44" customFormat="1" x14ac:dyDescent="0.35">
      <c r="E397" s="57"/>
      <c r="F397" s="57"/>
      <c r="G397" s="57"/>
      <c r="H397" s="57"/>
      <c r="I397" s="57"/>
      <c r="J397" s="57"/>
      <c r="K397" s="57"/>
      <c r="L397" s="57"/>
      <c r="M397" s="57"/>
    </row>
    <row r="398" spans="5:13" s="44" customFormat="1" x14ac:dyDescent="0.35">
      <c r="E398" s="57"/>
      <c r="F398" s="57"/>
      <c r="G398" s="57"/>
      <c r="H398" s="57"/>
      <c r="I398" s="57"/>
      <c r="J398" s="57"/>
      <c r="K398" s="57"/>
      <c r="L398" s="57"/>
      <c r="M398" s="57"/>
    </row>
    <row r="399" spans="5:13" s="44" customFormat="1" x14ac:dyDescent="0.35">
      <c r="E399" s="57"/>
      <c r="F399" s="57"/>
      <c r="G399" s="57"/>
      <c r="H399" s="57"/>
      <c r="I399" s="57"/>
      <c r="J399" s="57"/>
      <c r="K399" s="57"/>
      <c r="L399" s="57"/>
      <c r="M399" s="57"/>
    </row>
    <row r="400" spans="5:13" s="44" customFormat="1" x14ac:dyDescent="0.35">
      <c r="E400" s="57"/>
      <c r="F400" s="57"/>
      <c r="G400" s="57"/>
      <c r="H400" s="57"/>
      <c r="I400" s="57"/>
      <c r="J400" s="57"/>
      <c r="K400" s="57"/>
      <c r="L400" s="57"/>
      <c r="M400" s="57"/>
    </row>
    <row r="401" spans="5:13" s="44" customFormat="1" x14ac:dyDescent="0.35">
      <c r="E401" s="57"/>
      <c r="F401" s="57"/>
      <c r="G401" s="57"/>
      <c r="H401" s="57"/>
      <c r="I401" s="57"/>
      <c r="J401" s="57"/>
      <c r="K401" s="57"/>
      <c r="L401" s="57"/>
      <c r="M401" s="57"/>
    </row>
    <row r="402" spans="5:13" s="44" customFormat="1" x14ac:dyDescent="0.35">
      <c r="E402" s="57"/>
      <c r="F402" s="57"/>
      <c r="G402" s="57"/>
      <c r="H402" s="57"/>
      <c r="I402" s="57"/>
      <c r="J402" s="57"/>
      <c r="K402" s="57"/>
      <c r="L402" s="57"/>
      <c r="M402" s="57"/>
    </row>
    <row r="403" spans="5:13" s="44" customFormat="1" x14ac:dyDescent="0.35">
      <c r="E403" s="57"/>
      <c r="F403" s="57"/>
      <c r="G403" s="57"/>
      <c r="H403" s="57"/>
      <c r="I403" s="57"/>
      <c r="J403" s="57"/>
      <c r="K403" s="57"/>
      <c r="L403" s="57"/>
      <c r="M403" s="57"/>
    </row>
    <row r="404" spans="5:13" s="44" customFormat="1" x14ac:dyDescent="0.35">
      <c r="E404" s="57"/>
      <c r="F404" s="57"/>
      <c r="G404" s="57"/>
      <c r="H404" s="57"/>
      <c r="I404" s="57"/>
      <c r="J404" s="57"/>
      <c r="K404" s="57"/>
      <c r="L404" s="57"/>
      <c r="M404" s="57"/>
    </row>
    <row r="405" spans="5:13" s="44" customFormat="1" x14ac:dyDescent="0.35">
      <c r="E405" s="57"/>
      <c r="F405" s="57"/>
      <c r="G405" s="57"/>
      <c r="H405" s="57"/>
      <c r="I405" s="57"/>
      <c r="J405" s="57"/>
      <c r="K405" s="57"/>
      <c r="L405" s="57"/>
      <c r="M405" s="57"/>
    </row>
    <row r="406" spans="5:13" s="44" customFormat="1" x14ac:dyDescent="0.35">
      <c r="E406" s="57"/>
      <c r="F406" s="57"/>
      <c r="G406" s="57"/>
      <c r="H406" s="57"/>
      <c r="I406" s="57"/>
      <c r="J406" s="57"/>
      <c r="K406" s="57"/>
      <c r="L406" s="57"/>
      <c r="M406" s="57"/>
    </row>
    <row r="407" spans="5:13" s="44" customFormat="1" x14ac:dyDescent="0.35">
      <c r="E407" s="57"/>
      <c r="F407" s="57"/>
      <c r="G407" s="57"/>
      <c r="H407" s="57"/>
      <c r="I407" s="57"/>
      <c r="J407" s="57"/>
      <c r="K407" s="57"/>
      <c r="L407" s="57"/>
      <c r="M407" s="57"/>
    </row>
    <row r="408" spans="5:13" s="44" customFormat="1" x14ac:dyDescent="0.35">
      <c r="E408" s="57"/>
      <c r="F408" s="57"/>
      <c r="G408" s="57"/>
      <c r="H408" s="57"/>
      <c r="I408" s="57"/>
      <c r="J408" s="57"/>
      <c r="K408" s="57"/>
      <c r="L408" s="57"/>
      <c r="M408" s="57"/>
    </row>
    <row r="409" spans="5:13" s="44" customFormat="1" x14ac:dyDescent="0.35">
      <c r="E409" s="57"/>
      <c r="F409" s="57"/>
      <c r="G409" s="57"/>
      <c r="H409" s="57"/>
      <c r="I409" s="57"/>
      <c r="J409" s="57"/>
      <c r="K409" s="57"/>
      <c r="L409" s="57"/>
      <c r="M409" s="57"/>
    </row>
    <row r="410" spans="5:13" s="44" customFormat="1" x14ac:dyDescent="0.35">
      <c r="E410" s="57"/>
      <c r="F410" s="57"/>
      <c r="G410" s="57"/>
      <c r="H410" s="57"/>
      <c r="I410" s="57"/>
      <c r="J410" s="57"/>
      <c r="K410" s="57"/>
      <c r="L410" s="57"/>
      <c r="M410" s="57"/>
    </row>
    <row r="411" spans="5:13" s="44" customFormat="1" x14ac:dyDescent="0.35">
      <c r="E411" s="57"/>
      <c r="F411" s="57"/>
      <c r="G411" s="57"/>
      <c r="H411" s="57"/>
      <c r="I411" s="57"/>
      <c r="J411" s="57"/>
      <c r="K411" s="57"/>
      <c r="L411" s="57"/>
      <c r="M411" s="57"/>
    </row>
    <row r="412" spans="5:13" s="44" customFormat="1" x14ac:dyDescent="0.35">
      <c r="E412" s="57"/>
      <c r="F412" s="57"/>
      <c r="G412" s="57"/>
      <c r="H412" s="57"/>
      <c r="I412" s="57"/>
      <c r="J412" s="57"/>
      <c r="K412" s="57"/>
      <c r="L412" s="57"/>
      <c r="M412" s="57"/>
    </row>
    <row r="413" spans="5:13" s="44" customFormat="1" x14ac:dyDescent="0.35">
      <c r="E413" s="57"/>
      <c r="F413" s="57"/>
      <c r="G413" s="57"/>
      <c r="H413" s="57"/>
      <c r="I413" s="57"/>
      <c r="J413" s="57"/>
      <c r="K413" s="57"/>
      <c r="L413" s="57"/>
      <c r="M413" s="57"/>
    </row>
    <row r="414" spans="5:13" s="44" customFormat="1" x14ac:dyDescent="0.35">
      <c r="E414" s="57"/>
      <c r="F414" s="57"/>
      <c r="G414" s="57"/>
      <c r="H414" s="57"/>
      <c r="I414" s="57"/>
      <c r="J414" s="57"/>
      <c r="K414" s="57"/>
      <c r="L414" s="57"/>
      <c r="M414" s="57"/>
    </row>
    <row r="415" spans="5:13" s="44" customFormat="1" x14ac:dyDescent="0.35">
      <c r="E415" s="57"/>
      <c r="F415" s="57"/>
      <c r="G415" s="57"/>
      <c r="H415" s="57"/>
      <c r="I415" s="57"/>
      <c r="J415" s="57"/>
      <c r="K415" s="57"/>
      <c r="L415" s="57"/>
      <c r="M415" s="57"/>
    </row>
    <row r="416" spans="5:13" s="44" customFormat="1" x14ac:dyDescent="0.35">
      <c r="E416" s="57"/>
      <c r="F416" s="57"/>
      <c r="G416" s="57"/>
      <c r="H416" s="57"/>
      <c r="I416" s="57"/>
      <c r="J416" s="57"/>
      <c r="K416" s="57"/>
      <c r="L416" s="57"/>
      <c r="M416" s="57"/>
    </row>
    <row r="417" spans="5:13" s="44" customFormat="1" x14ac:dyDescent="0.35">
      <c r="E417" s="57"/>
      <c r="F417" s="57"/>
      <c r="G417" s="57"/>
      <c r="H417" s="57"/>
      <c r="I417" s="57"/>
      <c r="J417" s="57"/>
      <c r="K417" s="57"/>
      <c r="L417" s="57"/>
      <c r="M417" s="57"/>
    </row>
    <row r="418" spans="5:13" s="44" customFormat="1" x14ac:dyDescent="0.35">
      <c r="E418" s="57"/>
      <c r="F418" s="57"/>
      <c r="G418" s="57"/>
      <c r="H418" s="57"/>
      <c r="I418" s="57"/>
      <c r="J418" s="57"/>
      <c r="K418" s="57"/>
      <c r="L418" s="57"/>
      <c r="M418" s="57"/>
    </row>
    <row r="419" spans="5:13" s="44" customFormat="1" x14ac:dyDescent="0.35">
      <c r="E419" s="57"/>
      <c r="F419" s="57"/>
      <c r="G419" s="57"/>
      <c r="H419" s="57"/>
      <c r="I419" s="57"/>
      <c r="J419" s="57"/>
      <c r="K419" s="57"/>
      <c r="L419" s="57"/>
      <c r="M419" s="57"/>
    </row>
    <row r="420" spans="5:13" s="44" customFormat="1" x14ac:dyDescent="0.35">
      <c r="E420" s="57"/>
      <c r="F420" s="57"/>
      <c r="G420" s="57"/>
      <c r="H420" s="57"/>
      <c r="I420" s="57"/>
      <c r="J420" s="57"/>
      <c r="K420" s="57"/>
      <c r="L420" s="57"/>
      <c r="M420" s="57"/>
    </row>
    <row r="421" spans="5:13" s="44" customFormat="1" x14ac:dyDescent="0.35">
      <c r="E421" s="57"/>
      <c r="F421" s="57"/>
      <c r="G421" s="57"/>
      <c r="H421" s="57"/>
      <c r="I421" s="57"/>
      <c r="J421" s="57"/>
      <c r="K421" s="57"/>
      <c r="L421" s="57"/>
      <c r="M421" s="57"/>
    </row>
    <row r="422" spans="5:13" s="44" customFormat="1" x14ac:dyDescent="0.35">
      <c r="E422" s="57"/>
      <c r="F422" s="57"/>
      <c r="G422" s="57"/>
      <c r="H422" s="57"/>
      <c r="I422" s="57"/>
      <c r="J422" s="57"/>
      <c r="K422" s="57"/>
      <c r="L422" s="57"/>
      <c r="M422" s="57"/>
    </row>
    <row r="423" spans="5:13" s="44" customFormat="1" x14ac:dyDescent="0.35">
      <c r="E423" s="57"/>
      <c r="F423" s="57"/>
      <c r="G423" s="57"/>
      <c r="H423" s="57"/>
      <c r="I423" s="57"/>
      <c r="J423" s="57"/>
      <c r="K423" s="57"/>
      <c r="L423" s="57"/>
      <c r="M423" s="57"/>
    </row>
    <row r="424" spans="5:13" s="44" customFormat="1" x14ac:dyDescent="0.35">
      <c r="E424" s="57"/>
      <c r="F424" s="57"/>
      <c r="G424" s="57"/>
      <c r="H424" s="57"/>
      <c r="I424" s="57"/>
      <c r="J424" s="57"/>
      <c r="K424" s="57"/>
      <c r="L424" s="57"/>
      <c r="M424" s="57"/>
    </row>
    <row r="425" spans="5:13" s="44" customFormat="1" x14ac:dyDescent="0.35">
      <c r="E425" s="57"/>
      <c r="F425" s="57"/>
      <c r="G425" s="57"/>
      <c r="H425" s="57"/>
      <c r="I425" s="57"/>
      <c r="J425" s="57"/>
      <c r="K425" s="57"/>
      <c r="L425" s="57"/>
      <c r="M425" s="57"/>
    </row>
    <row r="426" spans="5:13" s="44" customFormat="1" x14ac:dyDescent="0.35">
      <c r="E426" s="57"/>
      <c r="F426" s="57"/>
      <c r="G426" s="57"/>
      <c r="H426" s="57"/>
      <c r="I426" s="57"/>
      <c r="J426" s="57"/>
      <c r="K426" s="57"/>
      <c r="L426" s="57"/>
      <c r="M426" s="57"/>
    </row>
    <row r="427" spans="5:13" s="44" customFormat="1" x14ac:dyDescent="0.35">
      <c r="E427" s="57"/>
      <c r="F427" s="57"/>
      <c r="G427" s="57"/>
      <c r="H427" s="57"/>
      <c r="I427" s="57"/>
      <c r="J427" s="57"/>
      <c r="K427" s="57"/>
      <c r="L427" s="57"/>
      <c r="M427" s="57"/>
    </row>
    <row r="428" spans="5:13" s="44" customFormat="1" x14ac:dyDescent="0.35">
      <c r="E428" s="57"/>
      <c r="F428" s="57"/>
      <c r="G428" s="57"/>
      <c r="H428" s="57"/>
      <c r="I428" s="57"/>
      <c r="J428" s="57"/>
      <c r="K428" s="57"/>
      <c r="L428" s="57"/>
      <c r="M428" s="57"/>
    </row>
    <row r="429" spans="5:13" s="44" customFormat="1" x14ac:dyDescent="0.35">
      <c r="E429" s="57"/>
      <c r="F429" s="57"/>
      <c r="G429" s="57"/>
      <c r="H429" s="57"/>
      <c r="I429" s="57"/>
      <c r="J429" s="57"/>
      <c r="K429" s="57"/>
      <c r="L429" s="57"/>
      <c r="M429" s="57"/>
    </row>
    <row r="430" spans="5:13" s="44" customFormat="1" x14ac:dyDescent="0.35">
      <c r="E430" s="57"/>
      <c r="F430" s="57"/>
      <c r="G430" s="57"/>
      <c r="H430" s="57"/>
      <c r="I430" s="57"/>
      <c r="J430" s="57"/>
      <c r="K430" s="57"/>
      <c r="L430" s="57"/>
      <c r="M430" s="57"/>
    </row>
    <row r="431" spans="5:13" s="44" customFormat="1" x14ac:dyDescent="0.35">
      <c r="E431" s="57"/>
      <c r="F431" s="57"/>
      <c r="G431" s="57"/>
      <c r="H431" s="57"/>
      <c r="I431" s="57"/>
      <c r="J431" s="57"/>
      <c r="K431" s="57"/>
      <c r="L431" s="57"/>
      <c r="M431" s="57"/>
    </row>
    <row r="432" spans="5:13" s="44" customFormat="1" x14ac:dyDescent="0.35">
      <c r="E432" s="57"/>
      <c r="F432" s="57"/>
      <c r="G432" s="57"/>
      <c r="H432" s="57"/>
      <c r="I432" s="57"/>
      <c r="J432" s="57"/>
      <c r="K432" s="57"/>
      <c r="L432" s="57"/>
      <c r="M432" s="57"/>
    </row>
    <row r="433" spans="5:13" s="44" customFormat="1" x14ac:dyDescent="0.35">
      <c r="E433" s="57"/>
      <c r="F433" s="57"/>
      <c r="G433" s="57"/>
      <c r="H433" s="57"/>
      <c r="I433" s="57"/>
      <c r="J433" s="57"/>
      <c r="K433" s="57"/>
      <c r="L433" s="57"/>
      <c r="M433" s="57"/>
    </row>
    <row r="434" spans="5:13" s="44" customFormat="1" x14ac:dyDescent="0.35">
      <c r="E434" s="57"/>
      <c r="F434" s="57"/>
      <c r="G434" s="57"/>
      <c r="H434" s="57"/>
      <c r="I434" s="57"/>
      <c r="J434" s="57"/>
      <c r="K434" s="57"/>
      <c r="L434" s="57"/>
      <c r="M434" s="57"/>
    </row>
    <row r="435" spans="5:13" s="44" customFormat="1" x14ac:dyDescent="0.35">
      <c r="E435" s="57"/>
      <c r="F435" s="57"/>
      <c r="G435" s="57"/>
      <c r="H435" s="57"/>
      <c r="I435" s="57"/>
      <c r="J435" s="57"/>
      <c r="K435" s="57"/>
      <c r="L435" s="57"/>
      <c r="M435" s="57"/>
    </row>
    <row r="436" spans="5:13" s="44" customFormat="1" x14ac:dyDescent="0.35">
      <c r="E436" s="57"/>
      <c r="F436" s="57"/>
      <c r="G436" s="57"/>
      <c r="H436" s="57"/>
      <c r="I436" s="57"/>
      <c r="J436" s="57"/>
      <c r="K436" s="57"/>
      <c r="L436" s="57"/>
      <c r="M436" s="57"/>
    </row>
    <row r="437" spans="5:13" s="44" customFormat="1" x14ac:dyDescent="0.35">
      <c r="E437" s="57"/>
      <c r="F437" s="57"/>
      <c r="G437" s="57"/>
      <c r="H437" s="57"/>
      <c r="I437" s="57"/>
      <c r="J437" s="57"/>
      <c r="K437" s="57"/>
      <c r="L437" s="57"/>
      <c r="M437" s="57"/>
    </row>
    <row r="438" spans="5:13" s="44" customFormat="1" x14ac:dyDescent="0.35">
      <c r="E438" s="57"/>
      <c r="F438" s="57"/>
      <c r="G438" s="57"/>
      <c r="H438" s="57"/>
      <c r="I438" s="57"/>
      <c r="J438" s="57"/>
      <c r="K438" s="57"/>
      <c r="L438" s="57"/>
      <c r="M438" s="57"/>
    </row>
    <row r="439" spans="5:13" s="44" customFormat="1" x14ac:dyDescent="0.35">
      <c r="E439" s="57"/>
      <c r="F439" s="57"/>
      <c r="G439" s="57"/>
      <c r="H439" s="57"/>
      <c r="I439" s="57"/>
      <c r="J439" s="57"/>
      <c r="K439" s="57"/>
      <c r="L439" s="57"/>
      <c r="M439" s="57"/>
    </row>
    <row r="440" spans="5:13" s="44" customFormat="1" x14ac:dyDescent="0.35">
      <c r="E440" s="57"/>
      <c r="F440" s="57"/>
      <c r="G440" s="57"/>
      <c r="H440" s="57"/>
      <c r="I440" s="57"/>
      <c r="J440" s="57"/>
      <c r="K440" s="57"/>
      <c r="L440" s="57"/>
      <c r="M440" s="57"/>
    </row>
    <row r="441" spans="5:13" s="44" customFormat="1" x14ac:dyDescent="0.35">
      <c r="E441" s="57"/>
      <c r="F441" s="57"/>
      <c r="G441" s="57"/>
      <c r="H441" s="57"/>
      <c r="I441" s="57"/>
      <c r="J441" s="57"/>
      <c r="K441" s="57"/>
      <c r="L441" s="57"/>
      <c r="M441" s="57"/>
    </row>
    <row r="442" spans="5:13" s="44" customFormat="1" x14ac:dyDescent="0.35">
      <c r="E442" s="57"/>
      <c r="F442" s="57"/>
      <c r="G442" s="57"/>
      <c r="H442" s="57"/>
      <c r="I442" s="57"/>
      <c r="J442" s="57"/>
      <c r="K442" s="57"/>
      <c r="L442" s="57"/>
      <c r="M442" s="57"/>
    </row>
    <row r="443" spans="5:13" s="44" customFormat="1" x14ac:dyDescent="0.35">
      <c r="E443" s="57"/>
      <c r="F443" s="57"/>
      <c r="G443" s="57"/>
      <c r="H443" s="57"/>
      <c r="I443" s="57"/>
      <c r="J443" s="57"/>
      <c r="K443" s="57"/>
      <c r="L443" s="57"/>
      <c r="M443" s="57"/>
    </row>
    <row r="444" spans="5:13" s="44" customFormat="1" x14ac:dyDescent="0.35">
      <c r="E444" s="57"/>
      <c r="F444" s="57"/>
      <c r="G444" s="57"/>
      <c r="H444" s="57"/>
      <c r="I444" s="57"/>
      <c r="J444" s="57"/>
      <c r="K444" s="57"/>
      <c r="L444" s="57"/>
      <c r="M444" s="57"/>
    </row>
    <row r="445" spans="5:13" s="44" customFormat="1" x14ac:dyDescent="0.35">
      <c r="E445" s="57"/>
      <c r="F445" s="57"/>
      <c r="G445" s="57"/>
      <c r="H445" s="57"/>
      <c r="I445" s="57"/>
      <c r="J445" s="57"/>
      <c r="K445" s="57"/>
      <c r="L445" s="57"/>
      <c r="M445" s="57"/>
    </row>
    <row r="446" spans="5:13" s="44" customFormat="1" x14ac:dyDescent="0.35">
      <c r="E446" s="57"/>
      <c r="F446" s="57"/>
      <c r="G446" s="57"/>
      <c r="H446" s="57"/>
      <c r="I446" s="57"/>
      <c r="J446" s="57"/>
      <c r="K446" s="57"/>
      <c r="L446" s="57"/>
      <c r="M446" s="57"/>
    </row>
    <row r="447" spans="5:13" s="44" customFormat="1" x14ac:dyDescent="0.35">
      <c r="E447" s="57"/>
      <c r="F447" s="57"/>
      <c r="G447" s="57"/>
      <c r="H447" s="57"/>
      <c r="I447" s="57"/>
      <c r="J447" s="57"/>
      <c r="K447" s="57"/>
      <c r="L447" s="57"/>
      <c r="M447" s="57"/>
    </row>
    <row r="448" spans="5:13" s="44" customFormat="1" x14ac:dyDescent="0.35">
      <c r="E448" s="57"/>
      <c r="F448" s="57"/>
      <c r="G448" s="57"/>
      <c r="H448" s="57"/>
      <c r="I448" s="57"/>
      <c r="J448" s="57"/>
      <c r="K448" s="57"/>
      <c r="L448" s="57"/>
      <c r="M448" s="57"/>
    </row>
    <row r="449" spans="5:13" s="44" customFormat="1" x14ac:dyDescent="0.35">
      <c r="E449" s="57"/>
      <c r="F449" s="57"/>
      <c r="G449" s="57"/>
      <c r="H449" s="57"/>
      <c r="I449" s="57"/>
      <c r="J449" s="57"/>
      <c r="K449" s="57"/>
      <c r="L449" s="57"/>
      <c r="M449" s="57"/>
    </row>
    <row r="450" spans="5:13" s="44" customFormat="1" x14ac:dyDescent="0.35">
      <c r="E450" s="57"/>
      <c r="F450" s="57"/>
      <c r="G450" s="57"/>
      <c r="H450" s="57"/>
      <c r="I450" s="57"/>
      <c r="J450" s="57"/>
      <c r="K450" s="57"/>
      <c r="L450" s="57"/>
      <c r="M450" s="57"/>
    </row>
    <row r="451" spans="5:13" s="44" customFormat="1" x14ac:dyDescent="0.35">
      <c r="E451" s="57"/>
      <c r="F451" s="57"/>
      <c r="G451" s="57"/>
      <c r="H451" s="57"/>
      <c r="I451" s="57"/>
      <c r="J451" s="57"/>
      <c r="K451" s="57"/>
      <c r="L451" s="57"/>
      <c r="M451" s="57"/>
    </row>
    <row r="452" spans="5:13" s="44" customFormat="1" x14ac:dyDescent="0.35">
      <c r="E452" s="57"/>
      <c r="F452" s="57"/>
      <c r="G452" s="57"/>
      <c r="H452" s="57"/>
      <c r="I452" s="57"/>
      <c r="J452" s="57"/>
      <c r="K452" s="57"/>
      <c r="L452" s="57"/>
      <c r="M452" s="57"/>
    </row>
    <row r="453" spans="5:13" s="44" customFormat="1" x14ac:dyDescent="0.35">
      <c r="E453" s="57"/>
      <c r="F453" s="57"/>
      <c r="G453" s="57"/>
      <c r="H453" s="57"/>
      <c r="I453" s="57"/>
      <c r="J453" s="57"/>
      <c r="K453" s="57"/>
      <c r="L453" s="57"/>
      <c r="M453" s="57"/>
    </row>
    <row r="454" spans="5:13" s="44" customFormat="1" x14ac:dyDescent="0.35">
      <c r="E454" s="57"/>
      <c r="F454" s="57"/>
      <c r="G454" s="57"/>
      <c r="H454" s="57"/>
      <c r="I454" s="57"/>
      <c r="J454" s="57"/>
      <c r="K454" s="57"/>
      <c r="L454" s="57"/>
      <c r="M454" s="57"/>
    </row>
    <row r="455" spans="5:13" s="44" customFormat="1" x14ac:dyDescent="0.35">
      <c r="E455" s="57"/>
      <c r="F455" s="57"/>
      <c r="G455" s="57"/>
      <c r="H455" s="57"/>
      <c r="I455" s="57"/>
      <c r="J455" s="57"/>
      <c r="K455" s="57"/>
      <c r="L455" s="57"/>
      <c r="M455" s="57"/>
    </row>
    <row r="456" spans="5:13" s="44" customFormat="1" x14ac:dyDescent="0.35">
      <c r="E456" s="57"/>
      <c r="F456" s="57"/>
      <c r="G456" s="57"/>
      <c r="H456" s="57"/>
      <c r="I456" s="57"/>
      <c r="J456" s="57"/>
      <c r="K456" s="57"/>
      <c r="L456" s="57"/>
      <c r="M456" s="57"/>
    </row>
    <row r="457" spans="5:13" s="44" customFormat="1" x14ac:dyDescent="0.35">
      <c r="E457" s="57"/>
      <c r="F457" s="57"/>
      <c r="G457" s="57"/>
      <c r="H457" s="57"/>
      <c r="I457" s="57"/>
      <c r="J457" s="57"/>
      <c r="K457" s="57"/>
      <c r="L457" s="57"/>
      <c r="M457" s="57"/>
    </row>
    <row r="458" spans="5:13" s="44" customFormat="1" x14ac:dyDescent="0.35">
      <c r="E458" s="57"/>
      <c r="F458" s="57"/>
      <c r="G458" s="57"/>
      <c r="H458" s="57"/>
      <c r="I458" s="57"/>
      <c r="J458" s="57"/>
      <c r="K458" s="57"/>
      <c r="L458" s="57"/>
      <c r="M458" s="57"/>
    </row>
    <row r="459" spans="5:13" s="44" customFormat="1" x14ac:dyDescent="0.35">
      <c r="E459" s="57"/>
      <c r="F459" s="57"/>
      <c r="G459" s="57"/>
      <c r="H459" s="57"/>
      <c r="I459" s="57"/>
      <c r="J459" s="57"/>
      <c r="K459" s="57"/>
      <c r="L459" s="57"/>
      <c r="M459" s="57"/>
    </row>
    <row r="460" spans="5:13" s="44" customFormat="1" x14ac:dyDescent="0.35">
      <c r="E460" s="57"/>
      <c r="F460" s="57"/>
      <c r="G460" s="57"/>
      <c r="H460" s="57"/>
      <c r="I460" s="57"/>
      <c r="J460" s="57"/>
      <c r="K460" s="57"/>
      <c r="L460" s="57"/>
      <c r="M460" s="57"/>
    </row>
    <row r="461" spans="5:13" s="44" customFormat="1" x14ac:dyDescent="0.35">
      <c r="E461" s="57"/>
      <c r="F461" s="57"/>
      <c r="G461" s="57"/>
      <c r="H461" s="57"/>
      <c r="I461" s="57"/>
      <c r="J461" s="57"/>
      <c r="K461" s="57"/>
      <c r="L461" s="57"/>
      <c r="M461" s="57"/>
    </row>
    <row r="462" spans="5:13" s="44" customFormat="1" x14ac:dyDescent="0.35">
      <c r="E462" s="57"/>
      <c r="F462" s="57"/>
      <c r="G462" s="57"/>
      <c r="H462" s="57"/>
      <c r="I462" s="57"/>
      <c r="J462" s="57"/>
      <c r="K462" s="57"/>
      <c r="L462" s="57"/>
      <c r="M462" s="57"/>
    </row>
    <row r="463" spans="5:13" s="44" customFormat="1" x14ac:dyDescent="0.35">
      <c r="E463" s="57"/>
      <c r="F463" s="57"/>
      <c r="G463" s="57"/>
      <c r="H463" s="57"/>
      <c r="I463" s="57"/>
      <c r="J463" s="57"/>
      <c r="K463" s="57"/>
      <c r="L463" s="57"/>
      <c r="M463" s="57"/>
    </row>
    <row r="464" spans="5:13" s="44" customFormat="1" x14ac:dyDescent="0.35">
      <c r="E464" s="57"/>
      <c r="F464" s="57"/>
      <c r="G464" s="57"/>
      <c r="H464" s="57"/>
      <c r="I464" s="57"/>
      <c r="J464" s="57"/>
      <c r="K464" s="57"/>
      <c r="L464" s="57"/>
      <c r="M464" s="57"/>
    </row>
    <row r="465" spans="5:13" s="44" customFormat="1" x14ac:dyDescent="0.35">
      <c r="E465" s="57"/>
      <c r="F465" s="57"/>
      <c r="G465" s="57"/>
      <c r="H465" s="57"/>
      <c r="I465" s="57"/>
      <c r="J465" s="57"/>
      <c r="K465" s="57"/>
      <c r="L465" s="57"/>
      <c r="M465" s="57"/>
    </row>
    <row r="466" spans="5:13" s="44" customFormat="1" x14ac:dyDescent="0.35">
      <c r="E466" s="57"/>
      <c r="F466" s="57"/>
      <c r="G466" s="57"/>
      <c r="H466" s="57"/>
      <c r="I466" s="57"/>
      <c r="J466" s="57"/>
      <c r="K466" s="57"/>
      <c r="L466" s="57"/>
      <c r="M466" s="57"/>
    </row>
    <row r="467" spans="5:13" s="44" customFormat="1" x14ac:dyDescent="0.35">
      <c r="E467" s="57"/>
      <c r="F467" s="57"/>
      <c r="G467" s="57"/>
      <c r="H467" s="57"/>
      <c r="I467" s="57"/>
      <c r="J467" s="57"/>
      <c r="K467" s="57"/>
      <c r="L467" s="57"/>
      <c r="M467" s="57"/>
    </row>
    <row r="468" spans="5:13" s="44" customFormat="1" x14ac:dyDescent="0.35">
      <c r="E468" s="57"/>
      <c r="F468" s="57"/>
      <c r="G468" s="57"/>
      <c r="H468" s="57"/>
      <c r="I468" s="57"/>
      <c r="J468" s="57"/>
      <c r="K468" s="57"/>
      <c r="L468" s="57"/>
      <c r="M468" s="57"/>
    </row>
    <row r="469" spans="5:13" s="44" customFormat="1" x14ac:dyDescent="0.35">
      <c r="E469" s="57"/>
      <c r="F469" s="57"/>
      <c r="G469" s="57"/>
      <c r="H469" s="57"/>
      <c r="I469" s="57"/>
      <c r="J469" s="57"/>
      <c r="K469" s="57"/>
      <c r="L469" s="57"/>
      <c r="M469" s="57"/>
    </row>
    <row r="470" spans="5:13" s="44" customFormat="1" x14ac:dyDescent="0.35">
      <c r="E470" s="57"/>
      <c r="F470" s="57"/>
      <c r="G470" s="57"/>
      <c r="H470" s="57"/>
      <c r="I470" s="57"/>
      <c r="J470" s="57"/>
      <c r="K470" s="57"/>
      <c r="L470" s="57"/>
      <c r="M470" s="57"/>
    </row>
    <row r="471" spans="5:13" s="44" customFormat="1" x14ac:dyDescent="0.35">
      <c r="E471" s="57"/>
      <c r="F471" s="57"/>
      <c r="G471" s="57"/>
      <c r="H471" s="57"/>
      <c r="I471" s="57"/>
      <c r="J471" s="57"/>
      <c r="K471" s="57"/>
      <c r="L471" s="57"/>
      <c r="M471" s="57"/>
    </row>
    <row r="472" spans="5:13" s="44" customFormat="1" x14ac:dyDescent="0.35">
      <c r="E472" s="57"/>
      <c r="F472" s="57"/>
      <c r="G472" s="57"/>
      <c r="H472" s="57"/>
      <c r="I472" s="57"/>
      <c r="J472" s="57"/>
      <c r="K472" s="57"/>
      <c r="L472" s="57"/>
      <c r="M472" s="57"/>
    </row>
    <row r="473" spans="5:13" s="44" customFormat="1" x14ac:dyDescent="0.35">
      <c r="E473" s="57"/>
      <c r="F473" s="57"/>
      <c r="G473" s="57"/>
      <c r="H473" s="57"/>
      <c r="I473" s="57"/>
      <c r="J473" s="57"/>
      <c r="K473" s="57"/>
      <c r="L473" s="57"/>
      <c r="M473" s="57"/>
    </row>
    <row r="474" spans="5:13" s="44" customFormat="1" x14ac:dyDescent="0.35">
      <c r="E474" s="57"/>
      <c r="F474" s="57"/>
      <c r="G474" s="57"/>
      <c r="H474" s="57"/>
      <c r="I474" s="57"/>
      <c r="J474" s="57"/>
      <c r="K474" s="57"/>
      <c r="L474" s="57"/>
      <c r="M474" s="57"/>
    </row>
    <row r="475" spans="5:13" s="44" customFormat="1" x14ac:dyDescent="0.35">
      <c r="E475" s="57"/>
      <c r="F475" s="57"/>
      <c r="G475" s="57"/>
      <c r="H475" s="57"/>
      <c r="I475" s="57"/>
      <c r="J475" s="57"/>
      <c r="K475" s="57"/>
      <c r="L475" s="57"/>
      <c r="M475" s="57"/>
    </row>
    <row r="476" spans="5:13" s="44" customFormat="1" x14ac:dyDescent="0.35">
      <c r="E476" s="57"/>
      <c r="F476" s="57"/>
      <c r="G476" s="57"/>
      <c r="H476" s="57"/>
      <c r="I476" s="57"/>
      <c r="J476" s="57"/>
      <c r="K476" s="57"/>
      <c r="L476" s="57"/>
      <c r="M476" s="57"/>
    </row>
    <row r="477" spans="5:13" s="44" customFormat="1" x14ac:dyDescent="0.35">
      <c r="E477" s="57"/>
      <c r="F477" s="57"/>
      <c r="G477" s="57"/>
      <c r="H477" s="57"/>
      <c r="I477" s="57"/>
      <c r="J477" s="57"/>
      <c r="K477" s="57"/>
      <c r="L477" s="57"/>
      <c r="M477" s="57"/>
    </row>
    <row r="478" spans="5:13" s="44" customFormat="1" x14ac:dyDescent="0.35">
      <c r="E478" s="57"/>
      <c r="F478" s="57"/>
      <c r="G478" s="57"/>
      <c r="H478" s="57"/>
      <c r="I478" s="57"/>
      <c r="J478" s="57"/>
      <c r="K478" s="57"/>
      <c r="L478" s="57"/>
      <c r="M478" s="57"/>
    </row>
    <row r="479" spans="5:13" s="44" customFormat="1" x14ac:dyDescent="0.35">
      <c r="E479" s="57"/>
      <c r="F479" s="57"/>
      <c r="G479" s="57"/>
      <c r="H479" s="57"/>
      <c r="I479" s="57"/>
      <c r="J479" s="57"/>
      <c r="K479" s="57"/>
      <c r="L479" s="57"/>
      <c r="M479" s="57"/>
    </row>
    <row r="480" spans="5:13" s="44" customFormat="1" x14ac:dyDescent="0.35">
      <c r="E480" s="57"/>
      <c r="F480" s="57"/>
      <c r="G480" s="57"/>
      <c r="H480" s="57"/>
      <c r="I480" s="57"/>
      <c r="J480" s="57"/>
      <c r="K480" s="57"/>
      <c r="L480" s="57"/>
      <c r="M480" s="57"/>
    </row>
    <row r="481" spans="5:13" s="44" customFormat="1" x14ac:dyDescent="0.35">
      <c r="E481" s="57"/>
      <c r="F481" s="57"/>
      <c r="G481" s="57"/>
      <c r="H481" s="57"/>
      <c r="I481" s="57"/>
      <c r="J481" s="57"/>
      <c r="K481" s="57"/>
      <c r="L481" s="57"/>
      <c r="M481" s="57"/>
    </row>
    <row r="482" spans="5:13" s="44" customFormat="1" x14ac:dyDescent="0.35">
      <c r="E482" s="57"/>
      <c r="F482" s="57"/>
      <c r="G482" s="57"/>
      <c r="H482" s="57"/>
      <c r="I482" s="57"/>
      <c r="J482" s="57"/>
      <c r="K482" s="57"/>
      <c r="L482" s="57"/>
      <c r="M482" s="57"/>
    </row>
    <row r="483" spans="5:13" s="44" customFormat="1" x14ac:dyDescent="0.35">
      <c r="E483" s="57"/>
      <c r="F483" s="57"/>
      <c r="G483" s="57"/>
      <c r="H483" s="57"/>
      <c r="I483" s="57"/>
      <c r="J483" s="57"/>
      <c r="K483" s="57"/>
      <c r="L483" s="57"/>
      <c r="M483" s="57"/>
    </row>
    <row r="484" spans="5:13" s="44" customFormat="1" x14ac:dyDescent="0.35">
      <c r="E484" s="57"/>
      <c r="F484" s="57"/>
      <c r="G484" s="57"/>
      <c r="H484" s="57"/>
      <c r="I484" s="57"/>
      <c r="J484" s="57"/>
      <c r="K484" s="57"/>
      <c r="L484" s="57"/>
      <c r="M484" s="57"/>
    </row>
    <row r="485" spans="5:13" s="44" customFormat="1" x14ac:dyDescent="0.35">
      <c r="E485" s="57"/>
      <c r="F485" s="57"/>
      <c r="G485" s="57"/>
      <c r="H485" s="57"/>
      <c r="I485" s="57"/>
      <c r="J485" s="57"/>
      <c r="K485" s="57"/>
      <c r="L485" s="57"/>
      <c r="M485" s="57"/>
    </row>
    <row r="486" spans="5:13" s="44" customFormat="1" x14ac:dyDescent="0.35">
      <c r="E486" s="57"/>
      <c r="F486" s="57"/>
      <c r="G486" s="57"/>
      <c r="H486" s="57"/>
      <c r="I486" s="57"/>
      <c r="J486" s="57"/>
      <c r="K486" s="57"/>
      <c r="L486" s="57"/>
      <c r="M486" s="57"/>
    </row>
    <row r="487" spans="5:13" s="44" customFormat="1" x14ac:dyDescent="0.35">
      <c r="E487" s="57"/>
      <c r="F487" s="57"/>
      <c r="G487" s="57"/>
      <c r="H487" s="57"/>
      <c r="I487" s="57"/>
      <c r="J487" s="57"/>
      <c r="K487" s="57"/>
      <c r="L487" s="57"/>
      <c r="M487" s="57"/>
    </row>
    <row r="488" spans="5:13" s="44" customFormat="1" x14ac:dyDescent="0.35">
      <c r="E488" s="57"/>
      <c r="F488" s="57"/>
      <c r="G488" s="57"/>
      <c r="H488" s="57"/>
      <c r="I488" s="57"/>
      <c r="J488" s="57"/>
      <c r="K488" s="57"/>
      <c r="L488" s="57"/>
      <c r="M488" s="57"/>
    </row>
    <row r="489" spans="5:13" s="44" customFormat="1" x14ac:dyDescent="0.35">
      <c r="E489" s="57"/>
      <c r="F489" s="57"/>
      <c r="G489" s="57"/>
      <c r="H489" s="57"/>
      <c r="I489" s="57"/>
      <c r="J489" s="57"/>
      <c r="K489" s="57"/>
      <c r="L489" s="57"/>
      <c r="M489" s="57"/>
    </row>
    <row r="490" spans="5:13" s="44" customFormat="1" x14ac:dyDescent="0.35">
      <c r="E490" s="57"/>
      <c r="F490" s="57"/>
      <c r="G490" s="57"/>
      <c r="H490" s="57"/>
      <c r="I490" s="57"/>
      <c r="J490" s="57"/>
      <c r="K490" s="57"/>
      <c r="L490" s="57"/>
      <c r="M490" s="57"/>
    </row>
    <row r="491" spans="5:13" s="44" customFormat="1" x14ac:dyDescent="0.35">
      <c r="E491" s="57"/>
      <c r="F491" s="57"/>
      <c r="G491" s="57"/>
      <c r="H491" s="57"/>
      <c r="I491" s="57"/>
      <c r="J491" s="57"/>
      <c r="K491" s="57"/>
      <c r="L491" s="57"/>
      <c r="M491" s="57"/>
    </row>
    <row r="492" spans="5:13" s="44" customFormat="1" x14ac:dyDescent="0.35">
      <c r="E492" s="57"/>
      <c r="F492" s="57"/>
      <c r="G492" s="57"/>
      <c r="H492" s="57"/>
      <c r="I492" s="57"/>
      <c r="J492" s="57"/>
      <c r="K492" s="57"/>
      <c r="L492" s="57"/>
      <c r="M492" s="57"/>
    </row>
    <row r="493" spans="5:13" s="44" customFormat="1" x14ac:dyDescent="0.35">
      <c r="E493" s="57"/>
      <c r="F493" s="57"/>
      <c r="G493" s="57"/>
      <c r="H493" s="57"/>
      <c r="I493" s="57"/>
      <c r="J493" s="57"/>
      <c r="K493" s="57"/>
      <c r="L493" s="57"/>
      <c r="M493" s="57"/>
    </row>
    <row r="494" spans="5:13" s="44" customFormat="1" x14ac:dyDescent="0.35">
      <c r="E494" s="57"/>
      <c r="F494" s="57"/>
      <c r="G494" s="57"/>
      <c r="H494" s="57"/>
      <c r="I494" s="57"/>
      <c r="J494" s="57"/>
      <c r="K494" s="57"/>
      <c r="L494" s="57"/>
      <c r="M494" s="57"/>
    </row>
    <row r="495" spans="5:13" s="44" customFormat="1" x14ac:dyDescent="0.35">
      <c r="E495" s="57"/>
      <c r="F495" s="57"/>
      <c r="G495" s="57"/>
      <c r="H495" s="57"/>
      <c r="I495" s="57"/>
      <c r="J495" s="57"/>
      <c r="K495" s="57"/>
      <c r="L495" s="57"/>
      <c r="M495" s="57"/>
    </row>
    <row r="496" spans="5:13" s="44" customFormat="1" x14ac:dyDescent="0.35">
      <c r="E496" s="57"/>
      <c r="F496" s="57"/>
      <c r="G496" s="57"/>
      <c r="H496" s="57"/>
      <c r="I496" s="57"/>
      <c r="J496" s="57"/>
      <c r="K496" s="57"/>
      <c r="L496" s="57"/>
      <c r="M496" s="57"/>
    </row>
    <row r="497" spans="5:13" s="44" customFormat="1" x14ac:dyDescent="0.35">
      <c r="E497" s="57"/>
      <c r="F497" s="57"/>
      <c r="G497" s="57"/>
      <c r="H497" s="57"/>
      <c r="I497" s="57"/>
      <c r="J497" s="57"/>
      <c r="K497" s="57"/>
      <c r="L497" s="57"/>
      <c r="M497" s="57"/>
    </row>
    <row r="498" spans="5:13" s="44" customFormat="1" x14ac:dyDescent="0.35">
      <c r="E498" s="57"/>
      <c r="F498" s="57"/>
      <c r="G498" s="57"/>
      <c r="H498" s="57"/>
      <c r="I498" s="57"/>
      <c r="J498" s="57"/>
      <c r="K498" s="57"/>
      <c r="L498" s="57"/>
      <c r="M498" s="57"/>
    </row>
    <row r="499" spans="5:13" s="44" customFormat="1" x14ac:dyDescent="0.35">
      <c r="E499" s="57"/>
      <c r="F499" s="57"/>
      <c r="G499" s="57"/>
      <c r="H499" s="57"/>
      <c r="I499" s="57"/>
      <c r="J499" s="57"/>
      <c r="K499" s="57"/>
      <c r="L499" s="57"/>
      <c r="M499" s="57"/>
    </row>
    <row r="500" spans="5:13" s="44" customFormat="1" x14ac:dyDescent="0.35">
      <c r="E500" s="57"/>
      <c r="F500" s="57"/>
      <c r="G500" s="57"/>
      <c r="H500" s="57"/>
      <c r="I500" s="57"/>
      <c r="J500" s="57"/>
      <c r="K500" s="57"/>
      <c r="L500" s="57"/>
      <c r="M500" s="57"/>
    </row>
    <row r="501" spans="5:13" s="44" customFormat="1" x14ac:dyDescent="0.35">
      <c r="E501" s="57"/>
      <c r="F501" s="57"/>
      <c r="G501" s="57"/>
      <c r="H501" s="57"/>
      <c r="I501" s="57"/>
      <c r="J501" s="57"/>
      <c r="K501" s="57"/>
      <c r="L501" s="57"/>
      <c r="M501" s="57"/>
    </row>
    <row r="502" spans="5:13" s="44" customFormat="1" x14ac:dyDescent="0.35">
      <c r="E502" s="57"/>
      <c r="F502" s="57"/>
      <c r="G502" s="57"/>
      <c r="H502" s="57"/>
      <c r="I502" s="57"/>
      <c r="J502" s="57"/>
      <c r="K502" s="57"/>
      <c r="L502" s="57"/>
      <c r="M502" s="57"/>
    </row>
    <row r="503" spans="5:13" s="44" customFormat="1" x14ac:dyDescent="0.35">
      <c r="E503" s="57"/>
      <c r="F503" s="57"/>
      <c r="G503" s="57"/>
      <c r="H503" s="57"/>
      <c r="I503" s="57"/>
      <c r="J503" s="57"/>
      <c r="K503" s="57"/>
      <c r="L503" s="57"/>
      <c r="M503" s="57"/>
    </row>
    <row r="504" spans="5:13" s="44" customFormat="1" x14ac:dyDescent="0.35">
      <c r="E504" s="57"/>
      <c r="F504" s="57"/>
      <c r="G504" s="57"/>
      <c r="H504" s="57"/>
      <c r="I504" s="57"/>
      <c r="J504" s="57"/>
      <c r="K504" s="57"/>
      <c r="L504" s="57"/>
      <c r="M504" s="57"/>
    </row>
    <row r="505" spans="5:13" s="44" customFormat="1" x14ac:dyDescent="0.35">
      <c r="E505" s="57"/>
      <c r="F505" s="57"/>
      <c r="G505" s="57"/>
      <c r="H505" s="57"/>
      <c r="I505" s="57"/>
      <c r="J505" s="57"/>
      <c r="K505" s="57"/>
      <c r="L505" s="57"/>
      <c r="M505" s="57"/>
    </row>
    <row r="506" spans="5:13" s="44" customFormat="1" x14ac:dyDescent="0.35">
      <c r="E506" s="57"/>
      <c r="F506" s="57"/>
      <c r="G506" s="57"/>
      <c r="H506" s="57"/>
      <c r="I506" s="57"/>
      <c r="J506" s="57"/>
      <c r="K506" s="57"/>
      <c r="L506" s="57"/>
      <c r="M506" s="57"/>
    </row>
    <row r="507" spans="5:13" s="44" customFormat="1" x14ac:dyDescent="0.35">
      <c r="E507" s="57"/>
      <c r="F507" s="57"/>
      <c r="G507" s="57"/>
      <c r="H507" s="57"/>
      <c r="I507" s="57"/>
      <c r="J507" s="57"/>
      <c r="K507" s="57"/>
      <c r="L507" s="57"/>
      <c r="M507" s="57"/>
    </row>
    <row r="508" spans="5:13" s="44" customFormat="1" x14ac:dyDescent="0.35">
      <c r="E508" s="57"/>
      <c r="F508" s="57"/>
      <c r="G508" s="57"/>
      <c r="H508" s="57"/>
      <c r="I508" s="57"/>
      <c r="J508" s="57"/>
      <c r="K508" s="57"/>
      <c r="L508" s="57"/>
      <c r="M508" s="57"/>
    </row>
    <row r="509" spans="5:13" s="44" customFormat="1" x14ac:dyDescent="0.35">
      <c r="E509" s="57"/>
      <c r="F509" s="57"/>
      <c r="G509" s="57"/>
      <c r="H509" s="57"/>
      <c r="I509" s="57"/>
      <c r="J509" s="57"/>
      <c r="K509" s="57"/>
      <c r="L509" s="57"/>
      <c r="M509" s="57"/>
    </row>
    <row r="510" spans="5:13" s="44" customFormat="1" x14ac:dyDescent="0.35">
      <c r="E510" s="57"/>
      <c r="F510" s="57"/>
      <c r="G510" s="57"/>
      <c r="H510" s="57"/>
      <c r="I510" s="57"/>
      <c r="J510" s="57"/>
      <c r="K510" s="57"/>
      <c r="L510" s="57"/>
      <c r="M510" s="57"/>
    </row>
    <row r="511" spans="5:13" s="44" customFormat="1" x14ac:dyDescent="0.35">
      <c r="E511" s="57"/>
      <c r="F511" s="57"/>
      <c r="G511" s="57"/>
      <c r="H511" s="57"/>
      <c r="I511" s="57"/>
      <c r="J511" s="57"/>
      <c r="K511" s="57"/>
      <c r="L511" s="57"/>
      <c r="M511" s="57"/>
    </row>
    <row r="512" spans="5:13" s="44" customFormat="1" x14ac:dyDescent="0.35">
      <c r="E512" s="57"/>
      <c r="F512" s="57"/>
      <c r="G512" s="57"/>
      <c r="H512" s="57"/>
      <c r="I512" s="57"/>
      <c r="J512" s="57"/>
      <c r="K512" s="57"/>
      <c r="L512" s="57"/>
      <c r="M512" s="57"/>
    </row>
    <row r="513" spans="5:13" s="44" customFormat="1" x14ac:dyDescent="0.35">
      <c r="E513" s="57"/>
      <c r="F513" s="57"/>
      <c r="G513" s="57"/>
      <c r="H513" s="57"/>
      <c r="I513" s="57"/>
      <c r="J513" s="57"/>
      <c r="K513" s="57"/>
      <c r="L513" s="57"/>
      <c r="M513" s="57"/>
    </row>
    <row r="514" spans="5:13" s="44" customFormat="1" x14ac:dyDescent="0.35">
      <c r="E514" s="57"/>
      <c r="F514" s="57"/>
      <c r="G514" s="57"/>
      <c r="H514" s="57"/>
      <c r="I514" s="57"/>
      <c r="J514" s="57"/>
      <c r="K514" s="57"/>
      <c r="L514" s="57"/>
      <c r="M514" s="57"/>
    </row>
    <row r="515" spans="5:13" s="44" customFormat="1" x14ac:dyDescent="0.35">
      <c r="E515" s="57"/>
      <c r="F515" s="57"/>
      <c r="G515" s="57"/>
      <c r="H515" s="57"/>
      <c r="I515" s="57"/>
      <c r="J515" s="57"/>
      <c r="K515" s="57"/>
      <c r="L515" s="57"/>
      <c r="M515" s="57"/>
    </row>
    <row r="516" spans="5:13" s="44" customFormat="1" x14ac:dyDescent="0.35">
      <c r="E516" s="57"/>
      <c r="F516" s="57"/>
      <c r="G516" s="57"/>
      <c r="H516" s="57"/>
      <c r="I516" s="57"/>
      <c r="J516" s="57"/>
      <c r="K516" s="57"/>
      <c r="L516" s="57"/>
      <c r="M516" s="57"/>
    </row>
    <row r="517" spans="5:13" s="44" customFormat="1" x14ac:dyDescent="0.35">
      <c r="E517" s="57"/>
      <c r="F517" s="57"/>
      <c r="G517" s="57"/>
      <c r="H517" s="57"/>
      <c r="I517" s="57"/>
      <c r="J517" s="57"/>
      <c r="K517" s="57"/>
      <c r="L517" s="57"/>
      <c r="M517" s="57"/>
    </row>
    <row r="518" spans="5:13" s="44" customFormat="1" x14ac:dyDescent="0.35">
      <c r="E518" s="57"/>
      <c r="F518" s="57"/>
      <c r="G518" s="57"/>
      <c r="H518" s="57"/>
      <c r="I518" s="57"/>
      <c r="J518" s="57"/>
      <c r="K518" s="57"/>
      <c r="L518" s="57"/>
      <c r="M518" s="57"/>
    </row>
    <row r="519" spans="5:13" s="44" customFormat="1" x14ac:dyDescent="0.35">
      <c r="E519" s="57"/>
      <c r="F519" s="57"/>
      <c r="G519" s="57"/>
      <c r="H519" s="57"/>
      <c r="I519" s="57"/>
      <c r="J519" s="57"/>
      <c r="K519" s="57"/>
      <c r="L519" s="57"/>
      <c r="M519" s="57"/>
    </row>
    <row r="520" spans="5:13" s="44" customFormat="1" x14ac:dyDescent="0.35">
      <c r="E520" s="57"/>
      <c r="F520" s="57"/>
      <c r="G520" s="57"/>
      <c r="H520" s="57"/>
      <c r="I520" s="57"/>
      <c r="J520" s="57"/>
      <c r="K520" s="57"/>
      <c r="L520" s="57"/>
      <c r="M520" s="57"/>
    </row>
    <row r="521" spans="5:13" s="44" customFormat="1" x14ac:dyDescent="0.35">
      <c r="E521" s="57"/>
      <c r="F521" s="57"/>
      <c r="G521" s="57"/>
      <c r="H521" s="57"/>
      <c r="I521" s="57"/>
      <c r="J521" s="57"/>
      <c r="K521" s="57"/>
      <c r="L521" s="57"/>
      <c r="M521" s="57"/>
    </row>
    <row r="522" spans="5:13" s="44" customFormat="1" x14ac:dyDescent="0.35">
      <c r="E522" s="57"/>
      <c r="F522" s="57"/>
      <c r="G522" s="57"/>
      <c r="H522" s="57"/>
      <c r="I522" s="57"/>
      <c r="J522" s="57"/>
      <c r="K522" s="57"/>
      <c r="L522" s="57"/>
      <c r="M522" s="57"/>
    </row>
    <row r="523" spans="5:13" s="44" customFormat="1" x14ac:dyDescent="0.35">
      <c r="E523" s="57"/>
      <c r="F523" s="57"/>
      <c r="G523" s="57"/>
      <c r="H523" s="57"/>
      <c r="I523" s="57"/>
      <c r="J523" s="57"/>
      <c r="K523" s="57"/>
      <c r="L523" s="57"/>
      <c r="M523" s="57"/>
    </row>
    <row r="524" spans="5:13" s="44" customFormat="1" x14ac:dyDescent="0.35">
      <c r="E524" s="57"/>
      <c r="F524" s="57"/>
      <c r="G524" s="57"/>
      <c r="H524" s="57"/>
      <c r="I524" s="57"/>
      <c r="J524" s="57"/>
      <c r="K524" s="57"/>
      <c r="L524" s="57"/>
      <c r="M524" s="57"/>
    </row>
    <row r="525" spans="5:13" s="44" customFormat="1" x14ac:dyDescent="0.35">
      <c r="E525" s="57"/>
      <c r="F525" s="57"/>
      <c r="G525" s="57"/>
      <c r="H525" s="57"/>
      <c r="I525" s="57"/>
      <c r="J525" s="57"/>
      <c r="K525" s="57"/>
      <c r="L525" s="57"/>
      <c r="M525" s="57"/>
    </row>
    <row r="526" spans="5:13" s="44" customFormat="1" x14ac:dyDescent="0.35">
      <c r="E526" s="57"/>
      <c r="F526" s="57"/>
      <c r="G526" s="57"/>
      <c r="H526" s="57"/>
      <c r="I526" s="57"/>
      <c r="J526" s="57"/>
      <c r="K526" s="57"/>
      <c r="L526" s="57"/>
      <c r="M526" s="57"/>
    </row>
    <row r="527" spans="5:13" s="44" customFormat="1" x14ac:dyDescent="0.35">
      <c r="E527" s="57"/>
      <c r="F527" s="57"/>
      <c r="G527" s="57"/>
      <c r="H527" s="57"/>
      <c r="I527" s="57"/>
      <c r="J527" s="57"/>
      <c r="K527" s="57"/>
      <c r="L527" s="57"/>
      <c r="M527" s="57"/>
    </row>
    <row r="528" spans="5:13" s="44" customFormat="1" x14ac:dyDescent="0.35">
      <c r="E528" s="57"/>
      <c r="F528" s="57"/>
      <c r="G528" s="57"/>
      <c r="H528" s="57"/>
      <c r="I528" s="57"/>
      <c r="J528" s="57"/>
      <c r="K528" s="57"/>
      <c r="L528" s="57"/>
      <c r="M528" s="57"/>
    </row>
    <row r="529" spans="5:13" s="44" customFormat="1" x14ac:dyDescent="0.35">
      <c r="E529" s="57"/>
      <c r="F529" s="57"/>
      <c r="G529" s="57"/>
      <c r="H529" s="57"/>
      <c r="I529" s="57"/>
      <c r="J529" s="57"/>
      <c r="K529" s="57"/>
      <c r="L529" s="57"/>
      <c r="M529" s="57"/>
    </row>
    <row r="530" spans="5:13" s="44" customFormat="1" x14ac:dyDescent="0.35">
      <c r="E530" s="57"/>
      <c r="F530" s="57"/>
      <c r="G530" s="57"/>
      <c r="H530" s="57"/>
      <c r="I530" s="57"/>
      <c r="J530" s="57"/>
      <c r="K530" s="57"/>
      <c r="L530" s="57"/>
      <c r="M530" s="57"/>
    </row>
    <row r="531" spans="5:13" s="44" customFormat="1" x14ac:dyDescent="0.35">
      <c r="E531" s="57"/>
      <c r="F531" s="57"/>
      <c r="G531" s="57"/>
      <c r="H531" s="57"/>
      <c r="I531" s="57"/>
      <c r="J531" s="57"/>
      <c r="K531" s="57"/>
      <c r="L531" s="57"/>
      <c r="M531" s="57"/>
    </row>
    <row r="532" spans="5:13" s="44" customFormat="1" x14ac:dyDescent="0.35">
      <c r="E532" s="57"/>
      <c r="F532" s="57"/>
      <c r="G532" s="57"/>
      <c r="H532" s="57"/>
      <c r="I532" s="57"/>
      <c r="J532" s="57"/>
      <c r="K532" s="57"/>
      <c r="L532" s="57"/>
      <c r="M532" s="57"/>
    </row>
    <row r="533" spans="5:13" s="44" customFormat="1" x14ac:dyDescent="0.35">
      <c r="E533" s="57"/>
      <c r="F533" s="57"/>
      <c r="G533" s="57"/>
      <c r="H533" s="57"/>
      <c r="I533" s="57"/>
      <c r="J533" s="57"/>
      <c r="K533" s="57"/>
      <c r="L533" s="57"/>
      <c r="M533" s="57"/>
    </row>
    <row r="534" spans="5:13" s="44" customFormat="1" x14ac:dyDescent="0.35">
      <c r="E534" s="57"/>
      <c r="F534" s="57"/>
      <c r="G534" s="57"/>
      <c r="H534" s="57"/>
      <c r="I534" s="57"/>
      <c r="J534" s="57"/>
      <c r="K534" s="57"/>
      <c r="L534" s="57"/>
      <c r="M534" s="57"/>
    </row>
    <row r="535" spans="5:13" s="44" customFormat="1" x14ac:dyDescent="0.35">
      <c r="E535" s="57"/>
      <c r="F535" s="57"/>
      <c r="G535" s="57"/>
      <c r="H535" s="57"/>
      <c r="I535" s="57"/>
      <c r="J535" s="57"/>
      <c r="K535" s="57"/>
      <c r="L535" s="57"/>
      <c r="M535" s="57"/>
    </row>
    <row r="536" spans="5:13" s="44" customFormat="1" x14ac:dyDescent="0.35">
      <c r="E536" s="57"/>
      <c r="F536" s="57"/>
      <c r="G536" s="57"/>
      <c r="H536" s="57"/>
      <c r="I536" s="57"/>
      <c r="J536" s="57"/>
      <c r="K536" s="57"/>
      <c r="L536" s="57"/>
      <c r="M536" s="57"/>
    </row>
    <row r="537" spans="5:13" s="44" customFormat="1" x14ac:dyDescent="0.35">
      <c r="E537" s="57"/>
      <c r="F537" s="57"/>
      <c r="G537" s="57"/>
      <c r="H537" s="57"/>
      <c r="I537" s="57"/>
      <c r="J537" s="57"/>
      <c r="K537" s="57"/>
      <c r="L537" s="57"/>
      <c r="M537" s="57"/>
    </row>
    <row r="538" spans="5:13" s="44" customFormat="1" x14ac:dyDescent="0.35">
      <c r="E538" s="57"/>
      <c r="F538" s="57"/>
      <c r="G538" s="57"/>
      <c r="H538" s="57"/>
      <c r="I538" s="57"/>
      <c r="J538" s="57"/>
      <c r="K538" s="57"/>
      <c r="L538" s="57"/>
      <c r="M538" s="57"/>
    </row>
    <row r="539" spans="5:13" s="44" customFormat="1" x14ac:dyDescent="0.35">
      <c r="E539" s="57"/>
      <c r="F539" s="57"/>
      <c r="G539" s="57"/>
      <c r="H539" s="57"/>
      <c r="I539" s="57"/>
      <c r="J539" s="57"/>
      <c r="K539" s="57"/>
      <c r="L539" s="57"/>
      <c r="M539" s="57"/>
    </row>
    <row r="540" spans="5:13" s="44" customFormat="1" x14ac:dyDescent="0.35">
      <c r="E540" s="57"/>
      <c r="F540" s="57"/>
      <c r="G540" s="57"/>
      <c r="H540" s="57"/>
      <c r="I540" s="57"/>
      <c r="J540" s="57"/>
      <c r="K540" s="57"/>
      <c r="L540" s="57"/>
      <c r="M540" s="57"/>
    </row>
    <row r="541" spans="5:13" s="44" customFormat="1" x14ac:dyDescent="0.35">
      <c r="E541" s="57"/>
      <c r="F541" s="57"/>
      <c r="G541" s="57"/>
      <c r="H541" s="57"/>
      <c r="I541" s="57"/>
      <c r="J541" s="57"/>
      <c r="K541" s="57"/>
      <c r="L541" s="57"/>
      <c r="M541" s="57"/>
    </row>
    <row r="542" spans="5:13" s="44" customFormat="1" x14ac:dyDescent="0.35">
      <c r="E542" s="57"/>
      <c r="F542" s="57"/>
      <c r="G542" s="57"/>
      <c r="H542" s="57"/>
      <c r="I542" s="57"/>
      <c r="J542" s="57"/>
      <c r="K542" s="57"/>
      <c r="L542" s="57"/>
      <c r="M542" s="57"/>
    </row>
    <row r="543" spans="5:13" s="44" customFormat="1" x14ac:dyDescent="0.35">
      <c r="E543" s="57"/>
      <c r="F543" s="57"/>
      <c r="G543" s="57"/>
      <c r="H543" s="57"/>
      <c r="I543" s="57"/>
      <c r="J543" s="57"/>
      <c r="K543" s="57"/>
      <c r="L543" s="57"/>
      <c r="M543" s="57"/>
    </row>
    <row r="544" spans="5:13" s="44" customFormat="1" x14ac:dyDescent="0.35">
      <c r="E544" s="57"/>
      <c r="F544" s="57"/>
      <c r="G544" s="57"/>
      <c r="H544" s="57"/>
      <c r="I544" s="57"/>
      <c r="J544" s="57"/>
      <c r="K544" s="57"/>
      <c r="L544" s="57"/>
      <c r="M544" s="57"/>
    </row>
    <row r="545" spans="5:13" s="44" customFormat="1" x14ac:dyDescent="0.35">
      <c r="E545" s="57"/>
      <c r="F545" s="57"/>
      <c r="G545" s="57"/>
      <c r="H545" s="57"/>
      <c r="I545" s="57"/>
      <c r="J545" s="57"/>
      <c r="K545" s="57"/>
      <c r="L545" s="57"/>
      <c r="M545" s="57"/>
    </row>
    <row r="546" spans="5:13" s="44" customFormat="1" x14ac:dyDescent="0.35">
      <c r="E546" s="57"/>
      <c r="F546" s="57"/>
      <c r="G546" s="57"/>
      <c r="H546" s="57"/>
      <c r="I546" s="57"/>
      <c r="J546" s="57"/>
      <c r="K546" s="57"/>
      <c r="L546" s="57"/>
      <c r="M546" s="57"/>
    </row>
    <row r="547" spans="5:13" s="44" customFormat="1" x14ac:dyDescent="0.35">
      <c r="E547" s="57"/>
      <c r="F547" s="57"/>
      <c r="G547" s="57"/>
      <c r="H547" s="57"/>
      <c r="I547" s="57"/>
      <c r="J547" s="57"/>
      <c r="K547" s="57"/>
      <c r="L547" s="57"/>
      <c r="M547" s="57"/>
    </row>
    <row r="548" spans="5:13" s="44" customFormat="1" x14ac:dyDescent="0.35">
      <c r="E548" s="57"/>
      <c r="F548" s="57"/>
      <c r="G548" s="57"/>
      <c r="H548" s="57"/>
      <c r="I548" s="57"/>
      <c r="J548" s="57"/>
      <c r="K548" s="57"/>
      <c r="L548" s="57"/>
      <c r="M548" s="57"/>
    </row>
    <row r="549" spans="5:13" s="44" customFormat="1" x14ac:dyDescent="0.35">
      <c r="E549" s="57"/>
      <c r="F549" s="57"/>
      <c r="G549" s="57"/>
      <c r="H549" s="57"/>
      <c r="I549" s="57"/>
      <c r="J549" s="57"/>
      <c r="K549" s="57"/>
      <c r="L549" s="57"/>
      <c r="M549" s="57"/>
    </row>
    <row r="550" spans="5:13" s="44" customFormat="1" x14ac:dyDescent="0.35">
      <c r="E550" s="57"/>
      <c r="F550" s="57"/>
      <c r="G550" s="57"/>
      <c r="H550" s="57"/>
      <c r="I550" s="57"/>
      <c r="J550" s="57"/>
      <c r="K550" s="57"/>
      <c r="L550" s="57"/>
      <c r="M550" s="57"/>
    </row>
    <row r="551" spans="5:13" s="44" customFormat="1" x14ac:dyDescent="0.35">
      <c r="E551" s="57"/>
      <c r="F551" s="57"/>
      <c r="G551" s="57"/>
      <c r="H551" s="57"/>
      <c r="I551" s="57"/>
      <c r="J551" s="57"/>
      <c r="K551" s="57"/>
      <c r="L551" s="57"/>
      <c r="M551" s="57"/>
    </row>
    <row r="552" spans="5:13" s="44" customFormat="1" x14ac:dyDescent="0.35">
      <c r="E552" s="57"/>
      <c r="F552" s="57"/>
      <c r="G552" s="57"/>
      <c r="H552" s="57"/>
      <c r="I552" s="57"/>
      <c r="J552" s="57"/>
      <c r="K552" s="57"/>
      <c r="L552" s="57"/>
      <c r="M552" s="57"/>
    </row>
    <row r="553" spans="5:13" s="44" customFormat="1" x14ac:dyDescent="0.35">
      <c r="E553" s="57"/>
      <c r="F553" s="57"/>
      <c r="G553" s="57"/>
      <c r="H553" s="57"/>
      <c r="I553" s="57"/>
      <c r="J553" s="57"/>
      <c r="K553" s="57"/>
      <c r="L553" s="57"/>
      <c r="M553" s="57"/>
    </row>
    <row r="554" spans="5:13" s="44" customFormat="1" x14ac:dyDescent="0.35">
      <c r="E554" s="57"/>
      <c r="F554" s="57"/>
      <c r="G554" s="57"/>
      <c r="H554" s="57"/>
      <c r="I554" s="57"/>
      <c r="J554" s="57"/>
      <c r="K554" s="57"/>
      <c r="L554" s="57"/>
      <c r="M554" s="57"/>
    </row>
    <row r="555" spans="5:13" s="44" customFormat="1" x14ac:dyDescent="0.35">
      <c r="E555" s="57"/>
      <c r="F555" s="57"/>
      <c r="G555" s="57"/>
      <c r="H555" s="57"/>
      <c r="I555" s="57"/>
      <c r="J555" s="57"/>
      <c r="K555" s="57"/>
      <c r="L555" s="57"/>
      <c r="M555" s="57"/>
    </row>
    <row r="556" spans="5:13" s="44" customFormat="1" x14ac:dyDescent="0.35">
      <c r="E556" s="57"/>
      <c r="F556" s="57"/>
      <c r="G556" s="57"/>
      <c r="H556" s="57"/>
      <c r="I556" s="57"/>
      <c r="J556" s="57"/>
      <c r="K556" s="57"/>
      <c r="L556" s="57"/>
      <c r="M556" s="57"/>
    </row>
    <row r="557" spans="5:13" s="44" customFormat="1" x14ac:dyDescent="0.35">
      <c r="E557" s="57"/>
      <c r="F557" s="57"/>
      <c r="G557" s="57"/>
      <c r="H557" s="57"/>
      <c r="I557" s="57"/>
      <c r="J557" s="57"/>
      <c r="K557" s="57"/>
      <c r="L557" s="57"/>
      <c r="M557" s="57"/>
    </row>
    <row r="558" spans="5:13" s="44" customFormat="1" x14ac:dyDescent="0.35">
      <c r="E558" s="57"/>
      <c r="F558" s="57"/>
      <c r="G558" s="57"/>
      <c r="H558" s="57"/>
      <c r="I558" s="57"/>
      <c r="J558" s="57"/>
      <c r="K558" s="57"/>
      <c r="L558" s="57"/>
      <c r="M558" s="57"/>
    </row>
    <row r="559" spans="5:13" s="44" customFormat="1" x14ac:dyDescent="0.35">
      <c r="E559" s="57"/>
      <c r="F559" s="57"/>
      <c r="G559" s="57"/>
      <c r="H559" s="57"/>
      <c r="I559" s="57"/>
      <c r="J559" s="57"/>
      <c r="K559" s="57"/>
      <c r="L559" s="57"/>
      <c r="M559" s="57"/>
    </row>
    <row r="560" spans="5:13" s="44" customFormat="1" x14ac:dyDescent="0.35">
      <c r="E560" s="57"/>
      <c r="F560" s="57"/>
      <c r="G560" s="57"/>
      <c r="H560" s="57"/>
      <c r="I560" s="57"/>
      <c r="J560" s="57"/>
      <c r="K560" s="57"/>
      <c r="L560" s="57"/>
      <c r="M560" s="57"/>
    </row>
    <row r="561" spans="5:13" s="44" customFormat="1" x14ac:dyDescent="0.35">
      <c r="E561" s="57"/>
      <c r="F561" s="57"/>
      <c r="G561" s="57"/>
      <c r="H561" s="57"/>
      <c r="I561" s="57"/>
      <c r="J561" s="57"/>
      <c r="K561" s="57"/>
      <c r="L561" s="57"/>
      <c r="M561" s="57"/>
    </row>
    <row r="562" spans="5:13" s="44" customFormat="1" x14ac:dyDescent="0.35">
      <c r="E562" s="57"/>
      <c r="F562" s="57"/>
      <c r="G562" s="57"/>
      <c r="H562" s="57"/>
      <c r="I562" s="57"/>
      <c r="J562" s="57"/>
      <c r="K562" s="57"/>
      <c r="L562" s="57"/>
      <c r="M562" s="57"/>
    </row>
    <row r="563" spans="5:13" s="44" customFormat="1" x14ac:dyDescent="0.35">
      <c r="E563" s="57"/>
      <c r="F563" s="57"/>
      <c r="G563" s="57"/>
      <c r="H563" s="57"/>
      <c r="I563" s="57"/>
      <c r="J563" s="57"/>
      <c r="K563" s="57"/>
      <c r="L563" s="57"/>
      <c r="M563" s="57"/>
    </row>
    <row r="564" spans="5:13" s="44" customFormat="1" x14ac:dyDescent="0.35">
      <c r="E564" s="57"/>
      <c r="F564" s="57"/>
      <c r="G564" s="57"/>
      <c r="H564" s="57"/>
      <c r="I564" s="57"/>
      <c r="J564" s="57"/>
      <c r="K564" s="57"/>
      <c r="L564" s="57"/>
      <c r="M564" s="57"/>
    </row>
    <row r="565" spans="5:13" s="44" customFormat="1" x14ac:dyDescent="0.35">
      <c r="E565" s="57"/>
      <c r="F565" s="57"/>
      <c r="G565" s="57"/>
      <c r="H565" s="57"/>
      <c r="I565" s="57"/>
      <c r="J565" s="57"/>
      <c r="K565" s="57"/>
      <c r="L565" s="57"/>
      <c r="M565" s="57"/>
    </row>
    <row r="566" spans="5:13" s="44" customFormat="1" x14ac:dyDescent="0.35">
      <c r="E566" s="57"/>
      <c r="F566" s="57"/>
      <c r="G566" s="57"/>
      <c r="H566" s="57"/>
      <c r="I566" s="57"/>
      <c r="J566" s="57"/>
      <c r="K566" s="57"/>
      <c r="L566" s="57"/>
      <c r="M566" s="57"/>
    </row>
    <row r="567" spans="5:13" s="44" customFormat="1" x14ac:dyDescent="0.35">
      <c r="E567" s="57"/>
      <c r="F567" s="57"/>
      <c r="G567" s="57"/>
      <c r="H567" s="57"/>
      <c r="I567" s="57"/>
      <c r="J567" s="57"/>
      <c r="K567" s="57"/>
      <c r="L567" s="57"/>
      <c r="M567" s="57"/>
    </row>
    <row r="568" spans="5:13" s="44" customFormat="1" x14ac:dyDescent="0.35">
      <c r="E568" s="57"/>
      <c r="F568" s="57"/>
      <c r="G568" s="57"/>
      <c r="H568" s="57"/>
      <c r="I568" s="57"/>
      <c r="J568" s="57"/>
      <c r="K568" s="57"/>
      <c r="L568" s="57"/>
      <c r="M568" s="57"/>
    </row>
    <row r="569" spans="5:13" s="44" customFormat="1" x14ac:dyDescent="0.35">
      <c r="E569" s="57"/>
      <c r="F569" s="57"/>
      <c r="G569" s="57"/>
      <c r="H569" s="57"/>
      <c r="I569" s="57"/>
      <c r="J569" s="57"/>
      <c r="K569" s="57"/>
      <c r="L569" s="57"/>
      <c r="M569" s="57"/>
    </row>
    <row r="570" spans="5:13" s="44" customFormat="1" x14ac:dyDescent="0.35">
      <c r="E570" s="57"/>
      <c r="F570" s="57"/>
      <c r="G570" s="57"/>
      <c r="H570" s="57"/>
      <c r="I570" s="57"/>
      <c r="J570" s="57"/>
      <c r="K570" s="57"/>
      <c r="L570" s="57"/>
      <c r="M570" s="57"/>
    </row>
    <row r="571" spans="5:13" s="44" customFormat="1" x14ac:dyDescent="0.35">
      <c r="E571" s="57"/>
      <c r="F571" s="57"/>
      <c r="G571" s="57"/>
      <c r="H571" s="57"/>
      <c r="I571" s="57"/>
      <c r="J571" s="57"/>
      <c r="K571" s="57"/>
      <c r="L571" s="57"/>
      <c r="M571" s="57"/>
    </row>
    <row r="572" spans="5:13" s="44" customFormat="1" x14ac:dyDescent="0.35">
      <c r="E572" s="57"/>
      <c r="F572" s="57"/>
      <c r="G572" s="57"/>
      <c r="H572" s="57"/>
      <c r="I572" s="57"/>
      <c r="J572" s="57"/>
      <c r="K572" s="57"/>
      <c r="L572" s="57"/>
      <c r="M572" s="57"/>
    </row>
    <row r="573" spans="5:13" s="44" customFormat="1" x14ac:dyDescent="0.35">
      <c r="E573" s="57"/>
      <c r="F573" s="57"/>
      <c r="G573" s="57"/>
      <c r="H573" s="57"/>
      <c r="I573" s="57"/>
      <c r="J573" s="57"/>
      <c r="K573" s="57"/>
      <c r="L573" s="57"/>
      <c r="M573" s="57"/>
    </row>
    <row r="574" spans="5:13" s="44" customFormat="1" x14ac:dyDescent="0.35">
      <c r="E574" s="57"/>
      <c r="F574" s="57"/>
      <c r="G574" s="57"/>
      <c r="H574" s="57"/>
      <c r="I574" s="57"/>
      <c r="J574" s="57"/>
      <c r="K574" s="57"/>
      <c r="L574" s="57"/>
      <c r="M574" s="57"/>
    </row>
    <row r="575" spans="5:13" s="44" customFormat="1" x14ac:dyDescent="0.35">
      <c r="E575" s="57"/>
      <c r="F575" s="57"/>
      <c r="G575" s="57"/>
      <c r="H575" s="57"/>
      <c r="I575" s="57"/>
      <c r="J575" s="57"/>
      <c r="K575" s="57"/>
      <c r="L575" s="57"/>
      <c r="M575" s="57"/>
    </row>
    <row r="576" spans="5:13" s="44" customFormat="1" x14ac:dyDescent="0.35">
      <c r="E576" s="57"/>
      <c r="F576" s="57"/>
      <c r="G576" s="57"/>
      <c r="H576" s="57"/>
      <c r="I576" s="57"/>
      <c r="J576" s="57"/>
      <c r="K576" s="57"/>
      <c r="L576" s="57"/>
      <c r="M576" s="57"/>
    </row>
    <row r="577" spans="5:13" s="44" customFormat="1" x14ac:dyDescent="0.35">
      <c r="E577" s="57"/>
      <c r="F577" s="57"/>
      <c r="G577" s="57"/>
      <c r="H577" s="57"/>
      <c r="I577" s="57"/>
      <c r="J577" s="57"/>
      <c r="K577" s="57"/>
      <c r="L577" s="57"/>
      <c r="M577" s="57"/>
    </row>
    <row r="578" spans="5:13" s="44" customFormat="1" x14ac:dyDescent="0.35">
      <c r="E578" s="57"/>
      <c r="F578" s="57"/>
      <c r="G578" s="57"/>
      <c r="H578" s="57"/>
      <c r="I578" s="57"/>
      <c r="J578" s="57"/>
      <c r="K578" s="57"/>
      <c r="L578" s="57"/>
      <c r="M578" s="57"/>
    </row>
    <row r="579" spans="5:13" s="44" customFormat="1" x14ac:dyDescent="0.35">
      <c r="E579" s="57"/>
      <c r="F579" s="57"/>
      <c r="G579" s="57"/>
      <c r="H579" s="57"/>
      <c r="I579" s="57"/>
      <c r="J579" s="57"/>
      <c r="K579" s="57"/>
      <c r="L579" s="57"/>
      <c r="M579" s="57"/>
    </row>
    <row r="580" spans="5:13" s="44" customFormat="1" x14ac:dyDescent="0.35">
      <c r="E580" s="57"/>
      <c r="F580" s="57"/>
      <c r="G580" s="57"/>
      <c r="H580" s="57"/>
      <c r="I580" s="57"/>
      <c r="J580" s="57"/>
      <c r="K580" s="57"/>
      <c r="L580" s="57"/>
      <c r="M580" s="57"/>
    </row>
    <row r="581" spans="5:13" s="44" customFormat="1" x14ac:dyDescent="0.35">
      <c r="E581" s="57"/>
      <c r="F581" s="57"/>
      <c r="G581" s="57"/>
      <c r="H581" s="57"/>
      <c r="I581" s="57"/>
      <c r="J581" s="57"/>
      <c r="K581" s="57"/>
      <c r="L581" s="57"/>
      <c r="M581" s="57"/>
    </row>
    <row r="582" spans="5:13" s="44" customFormat="1" x14ac:dyDescent="0.35">
      <c r="E582" s="57"/>
      <c r="F582" s="57"/>
      <c r="G582" s="57"/>
      <c r="H582" s="57"/>
      <c r="I582" s="57"/>
      <c r="J582" s="57"/>
      <c r="K582" s="57"/>
      <c r="L582" s="57"/>
      <c r="M582" s="57"/>
    </row>
    <row r="583" spans="5:13" s="44" customFormat="1" x14ac:dyDescent="0.35">
      <c r="E583" s="57"/>
      <c r="F583" s="57"/>
      <c r="G583" s="57"/>
      <c r="H583" s="57"/>
      <c r="I583" s="57"/>
      <c r="J583" s="57"/>
      <c r="K583" s="57"/>
      <c r="L583" s="57"/>
      <c r="M583" s="57"/>
    </row>
    <row r="584" spans="5:13" s="44" customFormat="1" x14ac:dyDescent="0.35">
      <c r="E584" s="57"/>
      <c r="F584" s="57"/>
      <c r="G584" s="57"/>
      <c r="H584" s="57"/>
      <c r="I584" s="57"/>
      <c r="J584" s="57"/>
      <c r="K584" s="57"/>
      <c r="L584" s="57"/>
      <c r="M584" s="57"/>
    </row>
    <row r="585" spans="5:13" s="44" customFormat="1" x14ac:dyDescent="0.35">
      <c r="E585" s="57"/>
      <c r="F585" s="57"/>
      <c r="G585" s="57"/>
      <c r="H585" s="57"/>
      <c r="I585" s="57"/>
      <c r="J585" s="57"/>
      <c r="K585" s="57"/>
      <c r="L585" s="57"/>
      <c r="M585" s="57"/>
    </row>
    <row r="586" spans="5:13" s="44" customFormat="1" x14ac:dyDescent="0.35">
      <c r="E586" s="57"/>
      <c r="F586" s="57"/>
      <c r="G586" s="57"/>
      <c r="H586" s="57"/>
      <c r="I586" s="57"/>
      <c r="J586" s="57"/>
      <c r="K586" s="57"/>
      <c r="L586" s="57"/>
      <c r="M586" s="57"/>
    </row>
    <row r="587" spans="5:13" s="44" customFormat="1" x14ac:dyDescent="0.35">
      <c r="E587" s="57"/>
      <c r="F587" s="57"/>
      <c r="G587" s="57"/>
      <c r="H587" s="57"/>
      <c r="I587" s="57"/>
      <c r="J587" s="57"/>
      <c r="K587" s="57"/>
      <c r="L587" s="57"/>
      <c r="M587" s="57"/>
    </row>
    <row r="588" spans="5:13" s="44" customFormat="1" x14ac:dyDescent="0.35">
      <c r="E588" s="57"/>
      <c r="F588" s="57"/>
      <c r="G588" s="57"/>
      <c r="H588" s="57"/>
      <c r="I588" s="57"/>
      <c r="J588" s="57"/>
      <c r="K588" s="57"/>
      <c r="L588" s="57"/>
      <c r="M588" s="57"/>
    </row>
    <row r="589" spans="5:13" s="44" customFormat="1" x14ac:dyDescent="0.35">
      <c r="E589" s="57"/>
      <c r="F589" s="57"/>
      <c r="G589" s="57"/>
      <c r="H589" s="57"/>
      <c r="I589" s="57"/>
      <c r="J589" s="57"/>
      <c r="K589" s="57"/>
      <c r="L589" s="57"/>
      <c r="M589" s="57"/>
    </row>
    <row r="590" spans="5:13" s="44" customFormat="1" x14ac:dyDescent="0.35">
      <c r="E590" s="57"/>
      <c r="F590" s="57"/>
      <c r="G590" s="57"/>
      <c r="H590" s="57"/>
      <c r="I590" s="57"/>
      <c r="J590" s="57"/>
      <c r="K590" s="57"/>
      <c r="L590" s="57"/>
      <c r="M590" s="57"/>
    </row>
    <row r="591" spans="5:13" s="44" customFormat="1" x14ac:dyDescent="0.35">
      <c r="E591" s="57"/>
      <c r="F591" s="57"/>
      <c r="G591" s="57"/>
      <c r="H591" s="57"/>
      <c r="I591" s="57"/>
      <c r="J591" s="57"/>
      <c r="K591" s="57"/>
      <c r="L591" s="57"/>
      <c r="M591" s="57"/>
    </row>
    <row r="592" spans="5:13" s="44" customFormat="1" x14ac:dyDescent="0.35">
      <c r="E592" s="57"/>
      <c r="F592" s="57"/>
      <c r="G592" s="57"/>
      <c r="H592" s="57"/>
      <c r="I592" s="57"/>
      <c r="J592" s="57"/>
      <c r="K592" s="57"/>
      <c r="L592" s="57"/>
      <c r="M592" s="57"/>
    </row>
    <row r="593" spans="5:13" s="44" customFormat="1" x14ac:dyDescent="0.35">
      <c r="E593" s="57"/>
      <c r="F593" s="57"/>
      <c r="G593" s="57"/>
      <c r="H593" s="57"/>
      <c r="I593" s="57"/>
      <c r="J593" s="57"/>
      <c r="K593" s="57"/>
      <c r="L593" s="57"/>
      <c r="M593" s="57"/>
    </row>
    <row r="594" spans="5:13" s="44" customFormat="1" x14ac:dyDescent="0.35">
      <c r="E594" s="57"/>
      <c r="F594" s="57"/>
      <c r="G594" s="57"/>
      <c r="H594" s="57"/>
      <c r="I594" s="57"/>
      <c r="J594" s="57"/>
      <c r="K594" s="57"/>
      <c r="L594" s="57"/>
      <c r="M594" s="57"/>
    </row>
    <row r="595" spans="5:13" s="44" customFormat="1" x14ac:dyDescent="0.35">
      <c r="E595" s="57"/>
      <c r="F595" s="57"/>
      <c r="G595" s="57"/>
      <c r="H595" s="57"/>
      <c r="I595" s="57"/>
      <c r="J595" s="57"/>
      <c r="K595" s="57"/>
      <c r="L595" s="57"/>
      <c r="M595" s="57"/>
    </row>
    <row r="596" spans="5:13" s="44" customFormat="1" x14ac:dyDescent="0.35">
      <c r="E596" s="57"/>
      <c r="F596" s="57"/>
      <c r="G596" s="57"/>
      <c r="H596" s="57"/>
      <c r="I596" s="57"/>
      <c r="J596" s="57"/>
      <c r="K596" s="57"/>
      <c r="L596" s="57"/>
      <c r="M596" s="57"/>
    </row>
    <row r="597" spans="5:13" s="44" customFormat="1" x14ac:dyDescent="0.35">
      <c r="E597" s="57"/>
      <c r="F597" s="57"/>
      <c r="G597" s="57"/>
      <c r="H597" s="57"/>
      <c r="I597" s="57"/>
      <c r="J597" s="57"/>
      <c r="K597" s="57"/>
      <c r="L597" s="57"/>
      <c r="M597" s="57"/>
    </row>
    <row r="598" spans="5:13" s="44" customFormat="1" x14ac:dyDescent="0.35">
      <c r="E598" s="57"/>
      <c r="F598" s="57"/>
      <c r="G598" s="57"/>
      <c r="H598" s="57"/>
      <c r="I598" s="57"/>
      <c r="J598" s="57"/>
      <c r="K598" s="57"/>
      <c r="L598" s="57"/>
      <c r="M598" s="57"/>
    </row>
    <row r="599" spans="5:13" s="44" customFormat="1" x14ac:dyDescent="0.35">
      <c r="E599" s="57"/>
      <c r="F599" s="57"/>
      <c r="G599" s="57"/>
      <c r="H599" s="57"/>
      <c r="I599" s="57"/>
      <c r="J599" s="57"/>
      <c r="K599" s="57"/>
      <c r="L599" s="57"/>
      <c r="M599" s="57"/>
    </row>
    <row r="600" spans="5:13" s="44" customFormat="1" x14ac:dyDescent="0.35">
      <c r="E600" s="57"/>
      <c r="F600" s="57"/>
      <c r="G600" s="57"/>
      <c r="H600" s="57"/>
      <c r="I600" s="57"/>
      <c r="J600" s="57"/>
      <c r="K600" s="57"/>
      <c r="L600" s="57"/>
      <c r="M600" s="57"/>
    </row>
    <row r="601" spans="5:13" s="44" customFormat="1" x14ac:dyDescent="0.35">
      <c r="E601" s="57"/>
      <c r="F601" s="57"/>
      <c r="G601" s="57"/>
      <c r="H601" s="57"/>
      <c r="I601" s="57"/>
      <c r="J601" s="57"/>
      <c r="K601" s="57"/>
      <c r="L601" s="57"/>
      <c r="M601" s="57"/>
    </row>
    <row r="602" spans="5:13" s="44" customFormat="1" x14ac:dyDescent="0.35">
      <c r="E602" s="57"/>
      <c r="F602" s="57"/>
      <c r="G602" s="57"/>
      <c r="H602" s="57"/>
      <c r="I602" s="57"/>
      <c r="J602" s="57"/>
      <c r="K602" s="57"/>
      <c r="L602" s="57"/>
      <c r="M602" s="57"/>
    </row>
    <row r="603" spans="5:13" s="44" customFormat="1" x14ac:dyDescent="0.35">
      <c r="E603" s="57"/>
      <c r="F603" s="57"/>
      <c r="G603" s="57"/>
      <c r="H603" s="57"/>
      <c r="I603" s="57"/>
      <c r="J603" s="57"/>
      <c r="K603" s="57"/>
      <c r="L603" s="57"/>
      <c r="M603" s="57"/>
    </row>
    <row r="604" spans="5:13" s="44" customFormat="1" x14ac:dyDescent="0.35">
      <c r="E604" s="57"/>
      <c r="F604" s="57"/>
      <c r="G604" s="57"/>
      <c r="H604" s="57"/>
      <c r="I604" s="57"/>
      <c r="J604" s="57"/>
      <c r="K604" s="57"/>
      <c r="L604" s="57"/>
      <c r="M604" s="57"/>
    </row>
    <row r="605" spans="5:13" s="44" customFormat="1" x14ac:dyDescent="0.35">
      <c r="E605" s="57"/>
      <c r="F605" s="57"/>
      <c r="G605" s="57"/>
      <c r="H605" s="57"/>
      <c r="I605" s="57"/>
      <c r="J605" s="57"/>
      <c r="K605" s="57"/>
      <c r="L605" s="57"/>
      <c r="M605" s="57"/>
    </row>
    <row r="606" spans="5:13" s="44" customFormat="1" x14ac:dyDescent="0.35">
      <c r="E606" s="57"/>
      <c r="F606" s="57"/>
      <c r="G606" s="57"/>
      <c r="H606" s="57"/>
      <c r="I606" s="57"/>
      <c r="J606" s="57"/>
      <c r="K606" s="57"/>
      <c r="L606" s="57"/>
      <c r="M606" s="57"/>
    </row>
    <row r="607" spans="5:13" s="44" customFormat="1" x14ac:dyDescent="0.35">
      <c r="E607" s="57"/>
      <c r="F607" s="57"/>
      <c r="G607" s="57"/>
      <c r="H607" s="57"/>
      <c r="I607" s="57"/>
      <c r="J607" s="57"/>
      <c r="K607" s="57"/>
      <c r="L607" s="57"/>
      <c r="M607" s="57"/>
    </row>
    <row r="608" spans="5:13" s="44" customFormat="1" x14ac:dyDescent="0.35">
      <c r="E608" s="57"/>
      <c r="F608" s="57"/>
      <c r="G608" s="57"/>
      <c r="H608" s="57"/>
      <c r="I608" s="57"/>
      <c r="J608" s="57"/>
      <c r="K608" s="57"/>
      <c r="L608" s="57"/>
      <c r="M608" s="57"/>
    </row>
    <row r="609" spans="5:13" s="44" customFormat="1" x14ac:dyDescent="0.35">
      <c r="E609" s="57"/>
      <c r="F609" s="57"/>
      <c r="G609" s="57"/>
      <c r="H609" s="57"/>
      <c r="I609" s="57"/>
      <c r="J609" s="57"/>
      <c r="K609" s="57"/>
      <c r="L609" s="57"/>
      <c r="M609" s="57"/>
    </row>
    <row r="610" spans="5:13" s="44" customFormat="1" x14ac:dyDescent="0.35">
      <c r="E610" s="57"/>
      <c r="F610" s="57"/>
      <c r="G610" s="57"/>
      <c r="H610" s="57"/>
      <c r="I610" s="57"/>
      <c r="J610" s="57"/>
      <c r="K610" s="57"/>
      <c r="L610" s="57"/>
      <c r="M610" s="57"/>
    </row>
    <row r="611" spans="5:13" s="44" customFormat="1" x14ac:dyDescent="0.35">
      <c r="E611" s="57"/>
      <c r="F611" s="57"/>
      <c r="G611" s="57"/>
      <c r="H611" s="57"/>
      <c r="I611" s="57"/>
      <c r="J611" s="57"/>
      <c r="K611" s="57"/>
      <c r="L611" s="57"/>
      <c r="M611" s="57"/>
    </row>
    <row r="612" spans="5:13" s="44" customFormat="1" x14ac:dyDescent="0.35">
      <c r="E612" s="57"/>
      <c r="F612" s="57"/>
      <c r="G612" s="57"/>
      <c r="H612" s="57"/>
      <c r="I612" s="57"/>
      <c r="J612" s="57"/>
      <c r="K612" s="57"/>
      <c r="L612" s="57"/>
      <c r="M612" s="57"/>
    </row>
    <row r="613" spans="5:13" s="44" customFormat="1" x14ac:dyDescent="0.35">
      <c r="E613" s="57"/>
      <c r="F613" s="57"/>
      <c r="G613" s="57"/>
      <c r="H613" s="57"/>
      <c r="I613" s="57"/>
      <c r="J613" s="57"/>
      <c r="K613" s="57"/>
      <c r="L613" s="57"/>
      <c r="M613" s="57"/>
    </row>
    <row r="614" spans="5:13" s="44" customFormat="1" x14ac:dyDescent="0.35">
      <c r="E614" s="57"/>
      <c r="F614" s="57"/>
      <c r="G614" s="57"/>
      <c r="H614" s="57"/>
      <c r="I614" s="57"/>
      <c r="J614" s="57"/>
      <c r="K614" s="57"/>
      <c r="L614" s="57"/>
      <c r="M614" s="57"/>
    </row>
    <row r="615" spans="5:13" s="44" customFormat="1" x14ac:dyDescent="0.35">
      <c r="E615" s="57"/>
      <c r="F615" s="57"/>
      <c r="G615" s="57"/>
      <c r="H615" s="57"/>
      <c r="I615" s="57"/>
      <c r="J615" s="57"/>
      <c r="K615" s="57"/>
      <c r="L615" s="57"/>
      <c r="M615" s="57"/>
    </row>
    <row r="616" spans="5:13" s="44" customFormat="1" x14ac:dyDescent="0.35">
      <c r="E616" s="57"/>
      <c r="F616" s="57"/>
      <c r="G616" s="57"/>
      <c r="H616" s="57"/>
      <c r="I616" s="57"/>
      <c r="J616" s="57"/>
      <c r="K616" s="57"/>
      <c r="L616" s="57"/>
      <c r="M616" s="57"/>
    </row>
    <row r="617" spans="5:13" s="44" customFormat="1" x14ac:dyDescent="0.35">
      <c r="E617" s="57"/>
      <c r="F617" s="57"/>
      <c r="G617" s="57"/>
      <c r="H617" s="57"/>
      <c r="I617" s="57"/>
      <c r="J617" s="57"/>
      <c r="K617" s="57"/>
      <c r="L617" s="57"/>
      <c r="M617" s="57"/>
    </row>
    <row r="618" spans="5:13" s="44" customFormat="1" x14ac:dyDescent="0.35">
      <c r="E618" s="57"/>
      <c r="F618" s="57"/>
      <c r="G618" s="57"/>
      <c r="H618" s="57"/>
      <c r="I618" s="57"/>
      <c r="J618" s="57"/>
      <c r="K618" s="57"/>
      <c r="L618" s="57"/>
      <c r="M618" s="57"/>
    </row>
    <row r="619" spans="5:13" s="44" customFormat="1" x14ac:dyDescent="0.35">
      <c r="E619" s="57"/>
      <c r="F619" s="57"/>
      <c r="G619" s="57"/>
      <c r="H619" s="57"/>
      <c r="I619" s="57"/>
      <c r="J619" s="57"/>
      <c r="K619" s="57"/>
      <c r="L619" s="57"/>
      <c r="M619" s="57"/>
    </row>
    <row r="620" spans="5:13" s="44" customFormat="1" x14ac:dyDescent="0.35">
      <c r="E620" s="57"/>
      <c r="F620" s="57"/>
      <c r="G620" s="57"/>
      <c r="H620" s="57"/>
      <c r="I620" s="57"/>
      <c r="J620" s="57"/>
      <c r="K620" s="57"/>
      <c r="L620" s="57"/>
      <c r="M620" s="57"/>
    </row>
    <row r="621" spans="5:13" s="44" customFormat="1" x14ac:dyDescent="0.35">
      <c r="E621" s="57"/>
      <c r="F621" s="57"/>
      <c r="G621" s="57"/>
      <c r="H621" s="57"/>
      <c r="I621" s="57"/>
      <c r="J621" s="57"/>
      <c r="K621" s="57"/>
      <c r="L621" s="57"/>
      <c r="M621" s="57"/>
    </row>
    <row r="622" spans="5:13" s="44" customFormat="1" x14ac:dyDescent="0.35">
      <c r="E622" s="57"/>
      <c r="F622" s="57"/>
      <c r="G622" s="57"/>
      <c r="H622" s="57"/>
      <c r="I622" s="57"/>
      <c r="J622" s="57"/>
      <c r="K622" s="57"/>
      <c r="L622" s="57"/>
      <c r="M622" s="57"/>
    </row>
    <row r="623" spans="5:13" s="44" customFormat="1" x14ac:dyDescent="0.35">
      <c r="E623" s="57"/>
      <c r="F623" s="57"/>
      <c r="G623" s="57"/>
      <c r="H623" s="57"/>
      <c r="I623" s="57"/>
      <c r="J623" s="57"/>
      <c r="K623" s="57"/>
      <c r="L623" s="57"/>
      <c r="M623" s="57"/>
    </row>
    <row r="624" spans="5:13" s="44" customFormat="1" x14ac:dyDescent="0.35">
      <c r="E624" s="57"/>
      <c r="F624" s="57"/>
      <c r="G624" s="57"/>
      <c r="H624" s="57"/>
      <c r="I624" s="57"/>
      <c r="J624" s="57"/>
      <c r="K624" s="57"/>
      <c r="L624" s="57"/>
      <c r="M624" s="57"/>
    </row>
    <row r="625" spans="5:13" s="44" customFormat="1" x14ac:dyDescent="0.35">
      <c r="E625" s="57"/>
      <c r="F625" s="57"/>
      <c r="G625" s="57"/>
      <c r="H625" s="57"/>
      <c r="I625" s="57"/>
      <c r="J625" s="57"/>
      <c r="K625" s="57"/>
      <c r="L625" s="57"/>
      <c r="M625" s="57"/>
    </row>
    <row r="626" spans="5:13" s="44" customFormat="1" x14ac:dyDescent="0.35">
      <c r="E626" s="57"/>
      <c r="F626" s="57"/>
      <c r="G626" s="57"/>
      <c r="H626" s="57"/>
      <c r="I626" s="57"/>
      <c r="J626" s="57"/>
      <c r="K626" s="57"/>
      <c r="L626" s="57"/>
      <c r="M626" s="57"/>
    </row>
    <row r="627" spans="5:13" s="44" customFormat="1" x14ac:dyDescent="0.35">
      <c r="E627" s="57"/>
      <c r="F627" s="57"/>
      <c r="G627" s="57"/>
      <c r="H627" s="57"/>
      <c r="I627" s="57"/>
      <c r="J627" s="57"/>
      <c r="K627" s="57"/>
      <c r="L627" s="57"/>
      <c r="M627" s="57"/>
    </row>
    <row r="628" spans="5:13" s="44" customFormat="1" x14ac:dyDescent="0.35">
      <c r="E628" s="57"/>
      <c r="F628" s="57"/>
      <c r="G628" s="57"/>
      <c r="H628" s="57"/>
      <c r="I628" s="57"/>
      <c r="J628" s="57"/>
      <c r="K628" s="57"/>
      <c r="L628" s="57"/>
      <c r="M628" s="57"/>
    </row>
    <row r="629" spans="5:13" s="44" customFormat="1" x14ac:dyDescent="0.35">
      <c r="E629" s="57"/>
      <c r="F629" s="57"/>
      <c r="G629" s="57"/>
      <c r="H629" s="57"/>
      <c r="I629" s="57"/>
      <c r="J629" s="57"/>
      <c r="K629" s="57"/>
      <c r="L629" s="57"/>
      <c r="M629" s="57"/>
    </row>
    <row r="630" spans="5:13" s="44" customFormat="1" x14ac:dyDescent="0.35">
      <c r="E630" s="57"/>
      <c r="F630" s="57"/>
      <c r="G630" s="57"/>
      <c r="H630" s="57"/>
      <c r="I630" s="57"/>
      <c r="J630" s="57"/>
      <c r="K630" s="57"/>
      <c r="L630" s="57"/>
      <c r="M630" s="57"/>
    </row>
    <row r="631" spans="5:13" s="44" customFormat="1" x14ac:dyDescent="0.35">
      <c r="E631" s="57"/>
      <c r="F631" s="57"/>
      <c r="G631" s="57"/>
      <c r="H631" s="57"/>
      <c r="I631" s="57"/>
      <c r="J631" s="57"/>
      <c r="K631" s="57"/>
      <c r="L631" s="57"/>
      <c r="M631" s="57"/>
    </row>
    <row r="632" spans="5:13" s="44" customFormat="1" x14ac:dyDescent="0.35">
      <c r="E632" s="57"/>
      <c r="F632" s="57"/>
      <c r="G632" s="57"/>
      <c r="H632" s="57"/>
      <c r="I632" s="57"/>
      <c r="J632" s="57"/>
      <c r="K632" s="57"/>
      <c r="L632" s="57"/>
      <c r="M632" s="57"/>
    </row>
    <row r="633" spans="5:13" s="44" customFormat="1" x14ac:dyDescent="0.35">
      <c r="E633" s="57"/>
      <c r="F633" s="57"/>
      <c r="G633" s="57"/>
      <c r="H633" s="57"/>
      <c r="I633" s="57"/>
      <c r="J633" s="57"/>
      <c r="K633" s="57"/>
      <c r="L633" s="57"/>
      <c r="M633" s="57"/>
    </row>
    <row r="634" spans="5:13" s="44" customFormat="1" x14ac:dyDescent="0.35">
      <c r="E634" s="57"/>
      <c r="F634" s="57"/>
      <c r="G634" s="57"/>
      <c r="H634" s="57"/>
      <c r="I634" s="57"/>
      <c r="J634" s="57"/>
      <c r="K634" s="57"/>
      <c r="L634" s="57"/>
      <c r="M634" s="57"/>
    </row>
    <row r="635" spans="5:13" s="44" customFormat="1" x14ac:dyDescent="0.35">
      <c r="E635" s="57"/>
      <c r="F635" s="57"/>
      <c r="G635" s="57"/>
      <c r="H635" s="57"/>
      <c r="I635" s="57"/>
      <c r="J635" s="57"/>
      <c r="K635" s="57"/>
      <c r="L635" s="57"/>
      <c r="M635" s="57"/>
    </row>
    <row r="636" spans="5:13" s="44" customFormat="1" x14ac:dyDescent="0.35">
      <c r="E636" s="57"/>
      <c r="F636" s="57"/>
      <c r="G636" s="57"/>
      <c r="H636" s="57"/>
      <c r="I636" s="57"/>
      <c r="J636" s="57"/>
      <c r="K636" s="57"/>
      <c r="L636" s="57"/>
      <c r="M636" s="57"/>
    </row>
    <row r="637" spans="5:13" s="44" customFormat="1" x14ac:dyDescent="0.35">
      <c r="E637" s="57"/>
      <c r="F637" s="57"/>
      <c r="G637" s="57"/>
      <c r="H637" s="57"/>
      <c r="I637" s="57"/>
      <c r="J637" s="57"/>
      <c r="K637" s="57"/>
      <c r="L637" s="57"/>
      <c r="M637" s="57"/>
    </row>
    <row r="638" spans="5:13" s="44" customFormat="1" x14ac:dyDescent="0.35">
      <c r="E638" s="57"/>
      <c r="F638" s="57"/>
      <c r="G638" s="57"/>
      <c r="H638" s="57"/>
      <c r="I638" s="57"/>
      <c r="J638" s="57"/>
      <c r="K638" s="57"/>
      <c r="L638" s="57"/>
      <c r="M638" s="57"/>
    </row>
    <row r="639" spans="5:13" s="44" customFormat="1" x14ac:dyDescent="0.35">
      <c r="E639" s="57"/>
      <c r="F639" s="57"/>
      <c r="G639" s="57"/>
      <c r="H639" s="57"/>
      <c r="I639" s="57"/>
      <c r="J639" s="57"/>
      <c r="K639" s="57"/>
      <c r="L639" s="57"/>
      <c r="M639" s="57"/>
    </row>
    <row r="640" spans="5:13" s="44" customFormat="1" x14ac:dyDescent="0.35">
      <c r="E640" s="57"/>
      <c r="F640" s="57"/>
      <c r="G640" s="57"/>
      <c r="H640" s="57"/>
      <c r="I640" s="57"/>
      <c r="J640" s="57"/>
      <c r="K640" s="57"/>
      <c r="L640" s="57"/>
      <c r="M640" s="57"/>
    </row>
    <row r="641" spans="5:13" s="44" customFormat="1" x14ac:dyDescent="0.35">
      <c r="E641" s="57"/>
      <c r="F641" s="57"/>
      <c r="G641" s="57"/>
      <c r="H641" s="57"/>
      <c r="I641" s="57"/>
      <c r="J641" s="57"/>
      <c r="K641" s="57"/>
      <c r="L641" s="57"/>
      <c r="M641" s="57"/>
    </row>
    <row r="642" spans="5:13" s="44" customFormat="1" x14ac:dyDescent="0.35">
      <c r="E642" s="57"/>
      <c r="F642" s="57"/>
      <c r="G642" s="57"/>
      <c r="H642" s="57"/>
      <c r="I642" s="57"/>
      <c r="J642" s="57"/>
      <c r="K642" s="57"/>
      <c r="L642" s="57"/>
      <c r="M642" s="57"/>
    </row>
    <row r="643" spans="5:13" s="44" customFormat="1" x14ac:dyDescent="0.35">
      <c r="E643" s="57"/>
      <c r="F643" s="57"/>
      <c r="G643" s="57"/>
      <c r="H643" s="57"/>
      <c r="I643" s="57"/>
      <c r="J643" s="57"/>
      <c r="K643" s="57"/>
      <c r="L643" s="57"/>
      <c r="M643" s="57"/>
    </row>
    <row r="644" spans="5:13" s="44" customFormat="1" x14ac:dyDescent="0.35">
      <c r="E644" s="57"/>
      <c r="F644" s="57"/>
      <c r="G644" s="57"/>
      <c r="H644" s="57"/>
      <c r="I644" s="57"/>
      <c r="J644" s="57"/>
      <c r="K644" s="57"/>
      <c r="L644" s="57"/>
      <c r="M644" s="57"/>
    </row>
    <row r="645" spans="5:13" s="44" customFormat="1" x14ac:dyDescent="0.35">
      <c r="E645" s="57"/>
      <c r="F645" s="57"/>
      <c r="G645" s="57"/>
      <c r="H645" s="57"/>
      <c r="I645" s="57"/>
      <c r="J645" s="57"/>
      <c r="K645" s="57"/>
      <c r="L645" s="57"/>
      <c r="M645" s="57"/>
    </row>
    <row r="646" spans="5:13" s="44" customFormat="1" x14ac:dyDescent="0.35">
      <c r="E646" s="57"/>
      <c r="F646" s="57"/>
      <c r="G646" s="57"/>
      <c r="H646" s="57"/>
      <c r="I646" s="57"/>
      <c r="J646" s="57"/>
      <c r="K646" s="57"/>
      <c r="L646" s="57"/>
      <c r="M646" s="57"/>
    </row>
    <row r="647" spans="5:13" s="44" customFormat="1" x14ac:dyDescent="0.35">
      <c r="E647" s="57"/>
      <c r="F647" s="57"/>
      <c r="G647" s="57"/>
      <c r="H647" s="57"/>
      <c r="I647" s="57"/>
      <c r="J647" s="57"/>
      <c r="K647" s="57"/>
      <c r="L647" s="57"/>
      <c r="M647" s="57"/>
    </row>
    <row r="648" spans="5:13" s="44" customFormat="1" x14ac:dyDescent="0.35">
      <c r="E648" s="57"/>
      <c r="F648" s="57"/>
      <c r="G648" s="57"/>
      <c r="H648" s="57"/>
      <c r="I648" s="57"/>
      <c r="J648" s="57"/>
      <c r="K648" s="57"/>
      <c r="L648" s="57"/>
      <c r="M648" s="57"/>
    </row>
    <row r="649" spans="5:13" s="44" customFormat="1" x14ac:dyDescent="0.35">
      <c r="E649" s="57"/>
      <c r="F649" s="57"/>
      <c r="G649" s="57"/>
      <c r="H649" s="57"/>
      <c r="I649" s="57"/>
      <c r="J649" s="57"/>
      <c r="K649" s="57"/>
      <c r="L649" s="57"/>
      <c r="M649" s="57"/>
    </row>
    <row r="650" spans="5:13" s="44" customFormat="1" x14ac:dyDescent="0.35">
      <c r="E650" s="57"/>
      <c r="F650" s="57"/>
      <c r="G650" s="57"/>
      <c r="H650" s="57"/>
      <c r="I650" s="57"/>
      <c r="J650" s="57"/>
      <c r="K650" s="57"/>
      <c r="L650" s="57"/>
      <c r="M650" s="57"/>
    </row>
    <row r="651" spans="5:13" s="44" customFormat="1" x14ac:dyDescent="0.35">
      <c r="E651" s="57"/>
      <c r="F651" s="57"/>
      <c r="G651" s="57"/>
      <c r="H651" s="57"/>
      <c r="I651" s="57"/>
      <c r="J651" s="57"/>
      <c r="K651" s="57"/>
      <c r="L651" s="57"/>
      <c r="M651" s="57"/>
    </row>
    <row r="652" spans="5:13" s="44" customFormat="1" x14ac:dyDescent="0.35">
      <c r="E652" s="57"/>
      <c r="F652" s="57"/>
      <c r="G652" s="57"/>
      <c r="H652" s="57"/>
      <c r="I652" s="57"/>
      <c r="J652" s="57"/>
      <c r="K652" s="57"/>
      <c r="L652" s="57"/>
      <c r="M652" s="57"/>
    </row>
    <row r="653" spans="5:13" s="44" customFormat="1" x14ac:dyDescent="0.35">
      <c r="E653" s="57"/>
      <c r="F653" s="57"/>
      <c r="G653" s="57"/>
      <c r="H653" s="57"/>
      <c r="I653" s="57"/>
      <c r="J653" s="57"/>
      <c r="K653" s="57"/>
      <c r="L653" s="57"/>
      <c r="M653" s="57"/>
    </row>
    <row r="654" spans="5:13" s="44" customFormat="1" x14ac:dyDescent="0.35">
      <c r="E654" s="57"/>
      <c r="F654" s="57"/>
      <c r="G654" s="57"/>
      <c r="H654" s="57"/>
      <c r="I654" s="57"/>
      <c r="J654" s="57"/>
      <c r="K654" s="57"/>
      <c r="L654" s="57"/>
      <c r="M654" s="57"/>
    </row>
    <row r="655" spans="5:13" s="44" customFormat="1" x14ac:dyDescent="0.35">
      <c r="E655" s="57"/>
      <c r="F655" s="57"/>
      <c r="G655" s="57"/>
      <c r="H655" s="57"/>
      <c r="I655" s="57"/>
      <c r="J655" s="57"/>
      <c r="K655" s="57"/>
      <c r="L655" s="57"/>
      <c r="M655" s="57"/>
    </row>
    <row r="656" spans="5:13" s="44" customFormat="1" x14ac:dyDescent="0.35">
      <c r="E656" s="57"/>
      <c r="F656" s="57"/>
      <c r="G656" s="57"/>
      <c r="H656" s="57"/>
      <c r="I656" s="57"/>
      <c r="J656" s="57"/>
      <c r="K656" s="57"/>
      <c r="L656" s="57"/>
      <c r="M656" s="57"/>
    </row>
    <row r="657" spans="5:13" s="44" customFormat="1" x14ac:dyDescent="0.35">
      <c r="E657" s="57"/>
      <c r="F657" s="57"/>
      <c r="G657" s="57"/>
      <c r="H657" s="57"/>
      <c r="I657" s="57"/>
      <c r="J657" s="57"/>
      <c r="K657" s="57"/>
      <c r="L657" s="57"/>
      <c r="M657" s="57"/>
    </row>
    <row r="658" spans="5:13" s="44" customFormat="1" x14ac:dyDescent="0.35">
      <c r="E658" s="57"/>
      <c r="F658" s="57"/>
      <c r="G658" s="57"/>
      <c r="H658" s="57"/>
      <c r="I658" s="57"/>
      <c r="J658" s="57"/>
      <c r="K658" s="57"/>
      <c r="L658" s="57"/>
      <c r="M658" s="57"/>
    </row>
    <row r="659" spans="5:13" s="44" customFormat="1" x14ac:dyDescent="0.35">
      <c r="E659" s="57"/>
      <c r="F659" s="57"/>
      <c r="G659" s="57"/>
      <c r="H659" s="57"/>
      <c r="I659" s="57"/>
      <c r="J659" s="57"/>
      <c r="K659" s="57"/>
      <c r="L659" s="57"/>
      <c r="M659" s="57"/>
    </row>
    <row r="660" spans="5:13" s="44" customFormat="1" x14ac:dyDescent="0.35">
      <c r="E660" s="57"/>
      <c r="F660" s="57"/>
      <c r="G660" s="57"/>
      <c r="H660" s="57"/>
      <c r="I660" s="57"/>
      <c r="J660" s="57"/>
      <c r="K660" s="57"/>
      <c r="L660" s="57"/>
      <c r="M660" s="57"/>
    </row>
    <row r="661" spans="5:13" s="44" customFormat="1" x14ac:dyDescent="0.35">
      <c r="E661" s="57"/>
      <c r="F661" s="57"/>
      <c r="G661" s="57"/>
      <c r="H661" s="57"/>
      <c r="I661" s="57"/>
      <c r="J661" s="57"/>
      <c r="K661" s="57"/>
      <c r="L661" s="57"/>
      <c r="M661" s="57"/>
    </row>
    <row r="662" spans="5:13" s="44" customFormat="1" x14ac:dyDescent="0.35">
      <c r="E662" s="57"/>
      <c r="F662" s="57"/>
      <c r="G662" s="57"/>
      <c r="H662" s="57"/>
      <c r="I662" s="57"/>
      <c r="J662" s="57"/>
      <c r="K662" s="57"/>
      <c r="L662" s="57"/>
      <c r="M662" s="57"/>
    </row>
    <row r="663" spans="5:13" s="44" customFormat="1" x14ac:dyDescent="0.35">
      <c r="E663" s="57"/>
      <c r="F663" s="57"/>
      <c r="G663" s="57"/>
      <c r="H663" s="57"/>
      <c r="I663" s="57"/>
      <c r="J663" s="57"/>
      <c r="K663" s="57"/>
      <c r="L663" s="57"/>
      <c r="M663" s="57"/>
    </row>
    <row r="664" spans="5:13" s="44" customFormat="1" x14ac:dyDescent="0.35">
      <c r="E664" s="57"/>
      <c r="F664" s="57"/>
      <c r="G664" s="57"/>
      <c r="H664" s="57"/>
      <c r="I664" s="57"/>
      <c r="J664" s="57"/>
      <c r="K664" s="57"/>
      <c r="L664" s="57"/>
      <c r="M664" s="57"/>
    </row>
    <row r="665" spans="5:13" s="44" customFormat="1" x14ac:dyDescent="0.35">
      <c r="E665" s="57"/>
      <c r="F665" s="57"/>
      <c r="G665" s="57"/>
      <c r="H665" s="57"/>
      <c r="I665" s="57"/>
      <c r="J665" s="57"/>
      <c r="K665" s="57"/>
      <c r="L665" s="57"/>
      <c r="M665" s="57"/>
    </row>
    <row r="666" spans="5:13" s="44" customFormat="1" x14ac:dyDescent="0.35">
      <c r="E666" s="57"/>
      <c r="F666" s="57"/>
      <c r="G666" s="57"/>
      <c r="H666" s="57"/>
      <c r="I666" s="57"/>
      <c r="J666" s="57"/>
      <c r="K666" s="57"/>
      <c r="L666" s="57"/>
      <c r="M666" s="57"/>
    </row>
    <row r="667" spans="5:13" s="44" customFormat="1" x14ac:dyDescent="0.35">
      <c r="E667" s="57"/>
      <c r="F667" s="57"/>
      <c r="G667" s="57"/>
      <c r="H667" s="57"/>
      <c r="I667" s="57"/>
      <c r="J667" s="57"/>
      <c r="K667" s="57"/>
      <c r="L667" s="57"/>
      <c r="M667" s="57"/>
    </row>
    <row r="668" spans="5:13" s="44" customFormat="1" x14ac:dyDescent="0.35">
      <c r="E668" s="57"/>
      <c r="F668" s="57"/>
      <c r="G668" s="57"/>
      <c r="H668" s="57"/>
      <c r="I668" s="57"/>
      <c r="J668" s="57"/>
      <c r="K668" s="57"/>
      <c r="L668" s="57"/>
      <c r="M668" s="57"/>
    </row>
    <row r="669" spans="5:13" s="44" customFormat="1" x14ac:dyDescent="0.35">
      <c r="E669" s="57"/>
      <c r="F669" s="57"/>
      <c r="G669" s="57"/>
      <c r="H669" s="57"/>
      <c r="I669" s="57"/>
      <c r="J669" s="57"/>
      <c r="K669" s="57"/>
      <c r="L669" s="57"/>
      <c r="M669" s="57"/>
    </row>
    <row r="670" spans="5:13" s="44" customFormat="1" x14ac:dyDescent="0.35">
      <c r="E670" s="57"/>
      <c r="F670" s="57"/>
      <c r="G670" s="57"/>
      <c r="H670" s="57"/>
      <c r="I670" s="57"/>
      <c r="J670" s="57"/>
      <c r="K670" s="57"/>
      <c r="L670" s="57"/>
      <c r="M670" s="57"/>
    </row>
    <row r="671" spans="5:13" s="44" customFormat="1" x14ac:dyDescent="0.35">
      <c r="E671" s="57"/>
      <c r="F671" s="57"/>
      <c r="G671" s="57"/>
      <c r="H671" s="57"/>
      <c r="I671" s="57"/>
      <c r="J671" s="57"/>
      <c r="K671" s="57"/>
      <c r="L671" s="57"/>
      <c r="M671" s="57"/>
    </row>
    <row r="672" spans="5:13" s="44" customFormat="1" x14ac:dyDescent="0.35">
      <c r="E672" s="57"/>
      <c r="F672" s="57"/>
      <c r="G672" s="57"/>
      <c r="H672" s="57"/>
      <c r="I672" s="57"/>
      <c r="J672" s="57"/>
      <c r="K672" s="57"/>
      <c r="L672" s="57"/>
      <c r="M672" s="57"/>
    </row>
    <row r="673" spans="5:13" s="44" customFormat="1" x14ac:dyDescent="0.35">
      <c r="E673" s="57"/>
      <c r="F673" s="57"/>
      <c r="G673" s="57"/>
      <c r="H673" s="57"/>
      <c r="I673" s="57"/>
      <c r="J673" s="57"/>
      <c r="K673" s="57"/>
      <c r="L673" s="57"/>
      <c r="M673" s="57"/>
    </row>
    <row r="674" spans="5:13" s="44" customFormat="1" x14ac:dyDescent="0.35">
      <c r="E674" s="57"/>
      <c r="F674" s="57"/>
      <c r="G674" s="57"/>
      <c r="H674" s="57"/>
      <c r="I674" s="57"/>
      <c r="J674" s="57"/>
      <c r="K674" s="57"/>
      <c r="L674" s="57"/>
      <c r="M674" s="57"/>
    </row>
    <row r="675" spans="5:13" s="44" customFormat="1" x14ac:dyDescent="0.35">
      <c r="E675" s="57"/>
      <c r="F675" s="57"/>
      <c r="G675" s="57"/>
      <c r="H675" s="57"/>
      <c r="I675" s="57"/>
      <c r="J675" s="57"/>
      <c r="K675" s="57"/>
      <c r="L675" s="57"/>
      <c r="M675" s="57"/>
    </row>
    <row r="676" spans="5:13" s="44" customFormat="1" x14ac:dyDescent="0.35">
      <c r="E676" s="57"/>
      <c r="F676" s="57"/>
      <c r="G676" s="57"/>
      <c r="H676" s="57"/>
      <c r="I676" s="57"/>
      <c r="J676" s="57"/>
      <c r="K676" s="57"/>
      <c r="L676" s="57"/>
      <c r="M676" s="57"/>
    </row>
    <row r="677" spans="5:13" s="44" customFormat="1" x14ac:dyDescent="0.35">
      <c r="E677" s="57"/>
      <c r="F677" s="57"/>
      <c r="G677" s="57"/>
      <c r="H677" s="57"/>
      <c r="I677" s="57"/>
      <c r="J677" s="57"/>
      <c r="K677" s="57"/>
      <c r="L677" s="57"/>
      <c r="M677" s="57"/>
    </row>
    <row r="678" spans="5:13" s="44" customFormat="1" x14ac:dyDescent="0.35">
      <c r="E678" s="57"/>
      <c r="F678" s="57"/>
      <c r="G678" s="57"/>
      <c r="H678" s="57"/>
      <c r="I678" s="57"/>
      <c r="J678" s="57"/>
      <c r="K678" s="57"/>
      <c r="L678" s="57"/>
      <c r="M678" s="57"/>
    </row>
    <row r="679" spans="5:13" s="44" customFormat="1" x14ac:dyDescent="0.35">
      <c r="E679" s="57"/>
      <c r="F679" s="57"/>
      <c r="G679" s="57"/>
      <c r="H679" s="57"/>
      <c r="I679" s="57"/>
      <c r="J679" s="57"/>
      <c r="K679" s="57"/>
      <c r="L679" s="57"/>
      <c r="M679" s="57"/>
    </row>
    <row r="680" spans="5:13" s="44" customFormat="1" x14ac:dyDescent="0.35">
      <c r="E680" s="57"/>
      <c r="F680" s="57"/>
      <c r="G680" s="57"/>
      <c r="H680" s="57"/>
      <c r="I680" s="57"/>
      <c r="J680" s="57"/>
      <c r="K680" s="57"/>
      <c r="L680" s="57"/>
      <c r="M680" s="57"/>
    </row>
    <row r="681" spans="5:13" s="44" customFormat="1" x14ac:dyDescent="0.35">
      <c r="E681" s="57"/>
      <c r="F681" s="57"/>
      <c r="G681" s="57"/>
      <c r="H681" s="57"/>
      <c r="I681" s="57"/>
      <c r="J681" s="57"/>
      <c r="K681" s="57"/>
      <c r="L681" s="57"/>
      <c r="M681" s="57"/>
    </row>
    <row r="682" spans="5:13" s="44" customFormat="1" x14ac:dyDescent="0.35">
      <c r="E682" s="57"/>
      <c r="F682" s="57"/>
      <c r="G682" s="57"/>
      <c r="H682" s="57"/>
      <c r="I682" s="57"/>
      <c r="J682" s="57"/>
      <c r="K682" s="57"/>
      <c r="L682" s="57"/>
      <c r="M682" s="57"/>
    </row>
    <row r="683" spans="5:13" s="44" customFormat="1" x14ac:dyDescent="0.35">
      <c r="E683" s="57"/>
      <c r="F683" s="57"/>
      <c r="G683" s="57"/>
      <c r="H683" s="57"/>
      <c r="I683" s="57"/>
      <c r="J683" s="57"/>
      <c r="K683" s="57"/>
      <c r="L683" s="57"/>
      <c r="M683" s="57"/>
    </row>
    <row r="684" spans="5:13" s="44" customFormat="1" x14ac:dyDescent="0.35">
      <c r="E684" s="57"/>
      <c r="F684" s="57"/>
      <c r="G684" s="57"/>
      <c r="H684" s="57"/>
      <c r="I684" s="57"/>
      <c r="J684" s="57"/>
      <c r="K684" s="57"/>
      <c r="L684" s="57"/>
      <c r="M684" s="57"/>
    </row>
    <row r="685" spans="5:13" s="44" customFormat="1" x14ac:dyDescent="0.35">
      <c r="E685" s="57"/>
      <c r="F685" s="57"/>
      <c r="G685" s="57"/>
      <c r="H685" s="57"/>
      <c r="I685" s="57"/>
      <c r="J685" s="57"/>
      <c r="K685" s="57"/>
      <c r="L685" s="57"/>
      <c r="M685" s="57"/>
    </row>
    <row r="686" spans="5:13" s="44" customFormat="1" x14ac:dyDescent="0.35">
      <c r="E686" s="57"/>
      <c r="F686" s="57"/>
      <c r="G686" s="57"/>
      <c r="H686" s="57"/>
      <c r="I686" s="57"/>
      <c r="J686" s="57"/>
      <c r="K686" s="57"/>
      <c r="L686" s="57"/>
      <c r="M686" s="57"/>
    </row>
    <row r="687" spans="5:13" s="44" customFormat="1" x14ac:dyDescent="0.35">
      <c r="E687" s="57"/>
      <c r="F687" s="57"/>
      <c r="G687" s="57"/>
      <c r="H687" s="57"/>
      <c r="I687" s="57"/>
      <c r="J687" s="57"/>
      <c r="K687" s="57"/>
      <c r="L687" s="57"/>
      <c r="M687" s="57"/>
    </row>
    <row r="688" spans="5:13" s="44" customFormat="1" x14ac:dyDescent="0.35">
      <c r="E688" s="57"/>
      <c r="F688" s="57"/>
      <c r="G688" s="57"/>
      <c r="H688" s="57"/>
      <c r="I688" s="57"/>
      <c r="J688" s="57"/>
      <c r="K688" s="57"/>
      <c r="L688" s="57"/>
      <c r="M688" s="57"/>
    </row>
    <row r="689" spans="5:13" s="44" customFormat="1" x14ac:dyDescent="0.35">
      <c r="E689" s="57"/>
      <c r="F689" s="57"/>
      <c r="G689" s="57"/>
      <c r="H689" s="57"/>
      <c r="I689" s="57"/>
      <c r="J689" s="57"/>
      <c r="K689" s="57"/>
      <c r="L689" s="57"/>
      <c r="M689" s="57"/>
    </row>
    <row r="690" spans="5:13" s="44" customFormat="1" x14ac:dyDescent="0.35">
      <c r="E690" s="57"/>
      <c r="F690" s="57"/>
      <c r="G690" s="57"/>
      <c r="H690" s="57"/>
      <c r="I690" s="57"/>
      <c r="J690" s="57"/>
      <c r="K690" s="57"/>
      <c r="L690" s="57"/>
      <c r="M690" s="57"/>
    </row>
    <row r="691" spans="5:13" s="44" customFormat="1" x14ac:dyDescent="0.35">
      <c r="E691" s="57"/>
      <c r="F691" s="57"/>
      <c r="G691" s="57"/>
      <c r="H691" s="57"/>
      <c r="I691" s="57"/>
      <c r="J691" s="57"/>
      <c r="K691" s="57"/>
      <c r="L691" s="57"/>
      <c r="M691" s="57"/>
    </row>
    <row r="692" spans="5:13" s="44" customFormat="1" x14ac:dyDescent="0.35">
      <c r="E692" s="57"/>
      <c r="F692" s="57"/>
      <c r="G692" s="57"/>
      <c r="H692" s="57"/>
      <c r="I692" s="57"/>
      <c r="J692" s="57"/>
      <c r="K692" s="57"/>
      <c r="L692" s="57"/>
      <c r="M692" s="57"/>
    </row>
    <row r="693" spans="5:13" s="44" customFormat="1" x14ac:dyDescent="0.35">
      <c r="E693" s="57"/>
      <c r="F693" s="57"/>
      <c r="G693" s="57"/>
      <c r="H693" s="57"/>
      <c r="I693" s="57"/>
      <c r="J693" s="57"/>
      <c r="K693" s="57"/>
      <c r="L693" s="57"/>
      <c r="M693" s="57"/>
    </row>
    <row r="694" spans="5:13" s="44" customFormat="1" x14ac:dyDescent="0.35">
      <c r="E694" s="57"/>
      <c r="F694" s="57"/>
      <c r="G694" s="57"/>
      <c r="H694" s="57"/>
      <c r="I694" s="57"/>
      <c r="J694" s="57"/>
      <c r="K694" s="57"/>
      <c r="L694" s="57"/>
      <c r="M694" s="57"/>
    </row>
    <row r="695" spans="5:13" s="44" customFormat="1" x14ac:dyDescent="0.35">
      <c r="E695" s="57"/>
      <c r="F695" s="57"/>
      <c r="G695" s="57"/>
      <c r="H695" s="57"/>
      <c r="I695" s="57"/>
      <c r="J695" s="57"/>
      <c r="K695" s="57"/>
      <c r="L695" s="57"/>
      <c r="M695" s="57"/>
    </row>
    <row r="696" spans="5:13" s="44" customFormat="1" x14ac:dyDescent="0.35">
      <c r="E696" s="57"/>
      <c r="F696" s="57"/>
      <c r="G696" s="57"/>
      <c r="H696" s="57"/>
      <c r="I696" s="57"/>
      <c r="J696" s="57"/>
      <c r="K696" s="57"/>
      <c r="L696" s="57"/>
      <c r="M696" s="57"/>
    </row>
    <row r="697" spans="5:13" s="44" customFormat="1" x14ac:dyDescent="0.35">
      <c r="E697" s="57"/>
      <c r="F697" s="57"/>
      <c r="G697" s="57"/>
      <c r="H697" s="57"/>
      <c r="I697" s="57"/>
      <c r="J697" s="57"/>
      <c r="K697" s="57"/>
      <c r="L697" s="57"/>
      <c r="M697" s="57"/>
    </row>
    <row r="698" spans="5:13" s="44" customFormat="1" x14ac:dyDescent="0.35">
      <c r="E698" s="57"/>
      <c r="F698" s="57"/>
      <c r="G698" s="57"/>
      <c r="H698" s="57"/>
      <c r="I698" s="57"/>
      <c r="J698" s="57"/>
      <c r="K698" s="57"/>
      <c r="L698" s="57"/>
      <c r="M698" s="57"/>
    </row>
    <row r="699" spans="5:13" s="44" customFormat="1" x14ac:dyDescent="0.35">
      <c r="E699" s="57"/>
      <c r="F699" s="57"/>
      <c r="G699" s="57"/>
      <c r="H699" s="57"/>
      <c r="I699" s="57"/>
      <c r="J699" s="57"/>
      <c r="K699" s="57"/>
      <c r="L699" s="57"/>
      <c r="M699" s="57"/>
    </row>
    <row r="700" spans="5:13" s="44" customFormat="1" x14ac:dyDescent="0.35">
      <c r="E700" s="57"/>
      <c r="F700" s="57"/>
      <c r="G700" s="57"/>
      <c r="H700" s="57"/>
      <c r="I700" s="57"/>
      <c r="J700" s="57"/>
      <c r="K700" s="57"/>
      <c r="L700" s="57"/>
      <c r="M700" s="57"/>
    </row>
    <row r="701" spans="5:13" s="44" customFormat="1" x14ac:dyDescent="0.35">
      <c r="E701" s="57"/>
      <c r="F701" s="57"/>
      <c r="G701" s="57"/>
      <c r="H701" s="57"/>
      <c r="I701" s="57"/>
      <c r="J701" s="57"/>
      <c r="K701" s="57"/>
      <c r="L701" s="57"/>
      <c r="M701" s="57"/>
    </row>
    <row r="702" spans="5:13" s="44" customFormat="1" x14ac:dyDescent="0.35">
      <c r="E702" s="57"/>
      <c r="F702" s="57"/>
      <c r="G702" s="57"/>
      <c r="H702" s="57"/>
      <c r="I702" s="57"/>
      <c r="J702" s="57"/>
      <c r="K702" s="57"/>
      <c r="L702" s="57"/>
      <c r="M702" s="57"/>
    </row>
    <row r="703" spans="5:13" s="44" customFormat="1" x14ac:dyDescent="0.35">
      <c r="E703" s="57"/>
      <c r="F703" s="57"/>
      <c r="G703" s="57"/>
      <c r="H703" s="57"/>
      <c r="I703" s="57"/>
      <c r="J703" s="57"/>
      <c r="K703" s="57"/>
      <c r="L703" s="57"/>
      <c r="M703" s="57"/>
    </row>
    <row r="704" spans="5:13" s="44" customFormat="1" x14ac:dyDescent="0.35">
      <c r="E704" s="57"/>
      <c r="F704" s="57"/>
      <c r="G704" s="57"/>
      <c r="H704" s="57"/>
      <c r="I704" s="57"/>
      <c r="J704" s="57"/>
      <c r="K704" s="57"/>
      <c r="L704" s="57"/>
      <c r="M704" s="57"/>
    </row>
    <row r="705" spans="5:13" s="44" customFormat="1" x14ac:dyDescent="0.35">
      <c r="E705" s="57"/>
      <c r="F705" s="57"/>
      <c r="G705" s="57"/>
      <c r="H705" s="57"/>
      <c r="I705" s="57"/>
      <c r="J705" s="57"/>
      <c r="K705" s="57"/>
      <c r="L705" s="57"/>
      <c r="M705" s="57"/>
    </row>
    <row r="706" spans="5:13" s="44" customFormat="1" x14ac:dyDescent="0.35">
      <c r="E706" s="57"/>
      <c r="F706" s="57"/>
      <c r="G706" s="57"/>
      <c r="H706" s="57"/>
      <c r="I706" s="57"/>
      <c r="J706" s="57"/>
      <c r="K706" s="57"/>
      <c r="L706" s="57"/>
      <c r="M706" s="57"/>
    </row>
    <row r="707" spans="5:13" s="44" customFormat="1" x14ac:dyDescent="0.35">
      <c r="E707" s="57"/>
      <c r="F707" s="57"/>
      <c r="G707" s="57"/>
      <c r="H707" s="57"/>
      <c r="I707" s="57"/>
      <c r="J707" s="57"/>
      <c r="K707" s="57"/>
      <c r="L707" s="57"/>
      <c r="M707" s="57"/>
    </row>
    <row r="708" spans="5:13" s="44" customFormat="1" x14ac:dyDescent="0.35">
      <c r="E708" s="57"/>
      <c r="F708" s="57"/>
      <c r="G708" s="57"/>
      <c r="H708" s="57"/>
      <c r="I708" s="57"/>
      <c r="J708" s="57"/>
      <c r="K708" s="57"/>
      <c r="L708" s="57"/>
      <c r="M708" s="57"/>
    </row>
    <row r="709" spans="5:13" s="44" customFormat="1" x14ac:dyDescent="0.35">
      <c r="E709" s="57"/>
      <c r="F709" s="57"/>
      <c r="G709" s="57"/>
      <c r="H709" s="57"/>
      <c r="I709" s="57"/>
      <c r="J709" s="57"/>
      <c r="K709" s="57"/>
      <c r="L709" s="57"/>
      <c r="M709" s="57"/>
    </row>
    <row r="710" spans="5:13" s="44" customFormat="1" x14ac:dyDescent="0.35">
      <c r="E710" s="57"/>
      <c r="F710" s="57"/>
      <c r="G710" s="57"/>
      <c r="H710" s="57"/>
      <c r="I710" s="57"/>
      <c r="J710" s="57"/>
      <c r="K710" s="57"/>
      <c r="L710" s="57"/>
      <c r="M710" s="57"/>
    </row>
    <row r="711" spans="5:13" s="44" customFormat="1" x14ac:dyDescent="0.35">
      <c r="E711" s="57"/>
      <c r="F711" s="57"/>
      <c r="G711" s="57"/>
      <c r="H711" s="57"/>
      <c r="I711" s="57"/>
      <c r="J711" s="57"/>
      <c r="K711" s="57"/>
      <c r="L711" s="57"/>
      <c r="M711" s="57"/>
    </row>
    <row r="712" spans="5:13" s="44" customFormat="1" x14ac:dyDescent="0.35">
      <c r="E712" s="57"/>
      <c r="F712" s="57"/>
      <c r="G712" s="57"/>
      <c r="H712" s="57"/>
      <c r="I712" s="57"/>
      <c r="J712" s="57"/>
      <c r="K712" s="57"/>
      <c r="L712" s="57"/>
      <c r="M712" s="57"/>
    </row>
    <row r="713" spans="5:13" s="44" customFormat="1" x14ac:dyDescent="0.35">
      <c r="E713" s="57"/>
      <c r="F713" s="57"/>
      <c r="G713" s="57"/>
      <c r="H713" s="57"/>
      <c r="I713" s="57"/>
      <c r="J713" s="57"/>
      <c r="K713" s="57"/>
      <c r="L713" s="57"/>
      <c r="M713" s="57"/>
    </row>
    <row r="714" spans="5:13" s="44" customFormat="1" x14ac:dyDescent="0.35">
      <c r="E714" s="57"/>
      <c r="F714" s="57"/>
      <c r="G714" s="57"/>
      <c r="H714" s="57"/>
      <c r="I714" s="57"/>
      <c r="J714" s="57"/>
      <c r="K714" s="57"/>
      <c r="L714" s="57"/>
      <c r="M714" s="57"/>
    </row>
    <row r="715" spans="5:13" s="44" customFormat="1" x14ac:dyDescent="0.35">
      <c r="E715" s="57"/>
      <c r="F715" s="57"/>
      <c r="G715" s="57"/>
      <c r="H715" s="57"/>
      <c r="I715" s="57"/>
      <c r="J715" s="57"/>
      <c r="K715" s="57"/>
      <c r="L715" s="57"/>
      <c r="M715" s="57"/>
    </row>
    <row r="716" spans="5:13" s="44" customFormat="1" x14ac:dyDescent="0.35">
      <c r="E716" s="57"/>
      <c r="F716" s="57"/>
      <c r="G716" s="57"/>
      <c r="H716" s="57"/>
      <c r="I716" s="57"/>
      <c r="J716" s="57"/>
      <c r="K716" s="57"/>
      <c r="L716" s="57"/>
      <c r="M716" s="57"/>
    </row>
    <row r="717" spans="5:13" s="44" customFormat="1" x14ac:dyDescent="0.35">
      <c r="E717" s="57"/>
      <c r="F717" s="57"/>
      <c r="G717" s="57"/>
      <c r="H717" s="57"/>
      <c r="I717" s="57"/>
      <c r="J717" s="57"/>
      <c r="K717" s="57"/>
      <c r="L717" s="57"/>
      <c r="M717" s="57"/>
    </row>
    <row r="718" spans="5:13" s="44" customFormat="1" x14ac:dyDescent="0.35">
      <c r="E718" s="57"/>
      <c r="F718" s="57"/>
      <c r="G718" s="57"/>
      <c r="H718" s="57"/>
      <c r="I718" s="57"/>
      <c r="J718" s="57"/>
      <c r="K718" s="57"/>
      <c r="L718" s="57"/>
      <c r="M718" s="57"/>
    </row>
    <row r="719" spans="5:13" s="44" customFormat="1" x14ac:dyDescent="0.35">
      <c r="E719" s="57"/>
      <c r="F719" s="57"/>
      <c r="G719" s="57"/>
      <c r="H719" s="57"/>
      <c r="I719" s="57"/>
      <c r="J719" s="57"/>
      <c r="K719" s="57"/>
      <c r="L719" s="57"/>
      <c r="M719" s="57"/>
    </row>
    <row r="720" spans="5:13" s="44" customFormat="1" x14ac:dyDescent="0.35">
      <c r="E720" s="57"/>
      <c r="F720" s="57"/>
      <c r="G720" s="57"/>
      <c r="H720" s="57"/>
      <c r="I720" s="57"/>
      <c r="J720" s="57"/>
      <c r="K720" s="57"/>
      <c r="L720" s="57"/>
      <c r="M720" s="57"/>
    </row>
    <row r="721" spans="5:13" s="44" customFormat="1" x14ac:dyDescent="0.35">
      <c r="E721" s="57"/>
      <c r="F721" s="57"/>
      <c r="G721" s="57"/>
      <c r="H721" s="57"/>
      <c r="I721" s="57"/>
      <c r="J721" s="57"/>
      <c r="K721" s="57"/>
      <c r="L721" s="57"/>
      <c r="M721" s="57"/>
    </row>
    <row r="722" spans="5:13" s="44" customFormat="1" x14ac:dyDescent="0.35">
      <c r="E722" s="57"/>
      <c r="F722" s="57"/>
      <c r="G722" s="57"/>
      <c r="H722" s="57"/>
      <c r="I722" s="57"/>
      <c r="J722" s="57"/>
      <c r="K722" s="57"/>
      <c r="L722" s="57"/>
      <c r="M722" s="57"/>
    </row>
    <row r="723" spans="5:13" s="44" customFormat="1" x14ac:dyDescent="0.35">
      <c r="E723" s="57"/>
      <c r="F723" s="57"/>
      <c r="G723" s="57"/>
      <c r="H723" s="57"/>
      <c r="I723" s="57"/>
      <c r="J723" s="57"/>
      <c r="K723" s="57"/>
      <c r="L723" s="57"/>
      <c r="M723" s="57"/>
    </row>
    <row r="724" spans="5:13" s="44" customFormat="1" x14ac:dyDescent="0.35">
      <c r="E724" s="57"/>
      <c r="F724" s="57"/>
      <c r="G724" s="57"/>
      <c r="H724" s="57"/>
      <c r="I724" s="57"/>
      <c r="J724" s="57"/>
      <c r="K724" s="57"/>
      <c r="L724" s="57"/>
      <c r="M724" s="57"/>
    </row>
    <row r="725" spans="5:13" s="44" customFormat="1" x14ac:dyDescent="0.35">
      <c r="E725" s="57"/>
      <c r="F725" s="57"/>
      <c r="G725" s="57"/>
      <c r="H725" s="57"/>
      <c r="I725" s="57"/>
      <c r="J725" s="57"/>
      <c r="K725" s="57"/>
      <c r="L725" s="57"/>
      <c r="M725" s="57"/>
    </row>
    <row r="726" spans="5:13" s="44" customFormat="1" x14ac:dyDescent="0.35">
      <c r="E726" s="57"/>
      <c r="F726" s="57"/>
      <c r="G726" s="57"/>
      <c r="H726" s="57"/>
      <c r="I726" s="57"/>
      <c r="J726" s="57"/>
      <c r="K726" s="57"/>
      <c r="L726" s="57"/>
      <c r="M726" s="57"/>
    </row>
    <row r="727" spans="5:13" s="44" customFormat="1" x14ac:dyDescent="0.35">
      <c r="E727" s="57"/>
      <c r="F727" s="57"/>
      <c r="G727" s="57"/>
      <c r="H727" s="57"/>
      <c r="I727" s="57"/>
      <c r="J727" s="57"/>
      <c r="K727" s="57"/>
      <c r="L727" s="57"/>
      <c r="M727" s="57"/>
    </row>
    <row r="728" spans="5:13" s="44" customFormat="1" x14ac:dyDescent="0.35">
      <c r="E728" s="57"/>
      <c r="F728" s="57"/>
      <c r="G728" s="57"/>
      <c r="H728" s="57"/>
      <c r="I728" s="57"/>
      <c r="J728" s="57"/>
      <c r="K728" s="57"/>
      <c r="L728" s="57"/>
      <c r="M728" s="57"/>
    </row>
    <row r="729" spans="5:13" s="44" customFormat="1" x14ac:dyDescent="0.35">
      <c r="E729" s="57"/>
      <c r="F729" s="57"/>
      <c r="G729" s="57"/>
      <c r="H729" s="57"/>
      <c r="I729" s="57"/>
      <c r="J729" s="57"/>
      <c r="K729" s="57"/>
      <c r="L729" s="57"/>
      <c r="M729" s="57"/>
    </row>
    <row r="730" spans="5:13" s="44" customFormat="1" x14ac:dyDescent="0.35">
      <c r="E730" s="57"/>
      <c r="F730" s="57"/>
      <c r="G730" s="57"/>
      <c r="H730" s="57"/>
      <c r="I730" s="57"/>
      <c r="J730" s="57"/>
      <c r="K730" s="57"/>
      <c r="L730" s="57"/>
      <c r="M730" s="57"/>
    </row>
    <row r="731" spans="5:13" s="44" customFormat="1" x14ac:dyDescent="0.35">
      <c r="E731" s="57"/>
      <c r="F731" s="57"/>
      <c r="G731" s="57"/>
      <c r="H731" s="57"/>
      <c r="I731" s="57"/>
      <c r="J731" s="57"/>
      <c r="K731" s="57"/>
      <c r="L731" s="57"/>
      <c r="M731" s="57"/>
    </row>
    <row r="732" spans="5:13" s="44" customFormat="1" x14ac:dyDescent="0.35">
      <c r="E732" s="57"/>
      <c r="F732" s="57"/>
      <c r="G732" s="57"/>
      <c r="H732" s="57"/>
      <c r="I732" s="57"/>
      <c r="J732" s="57"/>
      <c r="K732" s="57"/>
      <c r="L732" s="57"/>
      <c r="M732" s="57"/>
    </row>
    <row r="733" spans="5:13" s="44" customFormat="1" x14ac:dyDescent="0.35">
      <c r="E733" s="57"/>
      <c r="F733" s="57"/>
      <c r="G733" s="57"/>
      <c r="H733" s="57"/>
      <c r="I733" s="57"/>
      <c r="J733" s="57"/>
      <c r="K733" s="57"/>
      <c r="L733" s="57"/>
      <c r="M733" s="57"/>
    </row>
    <row r="734" spans="5:13" s="44" customFormat="1" x14ac:dyDescent="0.35">
      <c r="E734" s="57"/>
      <c r="F734" s="57"/>
      <c r="G734" s="57"/>
      <c r="H734" s="57"/>
      <c r="I734" s="57"/>
      <c r="J734" s="57"/>
      <c r="K734" s="57"/>
      <c r="L734" s="57"/>
      <c r="M734" s="57"/>
    </row>
    <row r="735" spans="5:13" s="44" customFormat="1" x14ac:dyDescent="0.35">
      <c r="E735" s="57"/>
      <c r="F735" s="57"/>
      <c r="G735" s="57"/>
      <c r="H735" s="57"/>
      <c r="I735" s="57"/>
      <c r="J735" s="57"/>
      <c r="K735" s="57"/>
      <c r="L735" s="57"/>
      <c r="M735" s="57"/>
    </row>
    <row r="736" spans="5:13" s="44" customFormat="1" x14ac:dyDescent="0.35">
      <c r="E736" s="57"/>
      <c r="F736" s="57"/>
      <c r="G736" s="57"/>
      <c r="H736" s="57"/>
      <c r="I736" s="57"/>
      <c r="J736" s="57"/>
      <c r="K736" s="57"/>
      <c r="L736" s="57"/>
      <c r="M736" s="57"/>
    </row>
    <row r="737" spans="5:13" s="44" customFormat="1" x14ac:dyDescent="0.35">
      <c r="E737" s="57"/>
      <c r="F737" s="57"/>
      <c r="G737" s="57"/>
      <c r="H737" s="57"/>
      <c r="I737" s="57"/>
      <c r="J737" s="57"/>
      <c r="K737" s="57"/>
      <c r="L737" s="57"/>
      <c r="M737" s="57"/>
    </row>
    <row r="738" spans="5:13" s="44" customFormat="1" x14ac:dyDescent="0.35">
      <c r="E738" s="57"/>
      <c r="F738" s="57"/>
      <c r="G738" s="57"/>
      <c r="H738" s="57"/>
      <c r="I738" s="57"/>
      <c r="J738" s="57"/>
      <c r="K738" s="57"/>
      <c r="L738" s="57"/>
      <c r="M738" s="57"/>
    </row>
    <row r="739" spans="5:13" s="44" customFormat="1" x14ac:dyDescent="0.35">
      <c r="E739" s="57"/>
      <c r="F739" s="57"/>
      <c r="G739" s="57"/>
      <c r="H739" s="57"/>
      <c r="I739" s="57"/>
      <c r="J739" s="57"/>
      <c r="K739" s="57"/>
      <c r="L739" s="57"/>
      <c r="M739" s="57"/>
    </row>
    <row r="740" spans="5:13" s="44" customFormat="1" x14ac:dyDescent="0.35">
      <c r="E740" s="57"/>
      <c r="F740" s="57"/>
      <c r="G740" s="57"/>
      <c r="H740" s="57"/>
      <c r="I740" s="57"/>
      <c r="J740" s="57"/>
      <c r="K740" s="57"/>
      <c r="L740" s="57"/>
      <c r="M740" s="57"/>
    </row>
    <row r="741" spans="5:13" s="44" customFormat="1" x14ac:dyDescent="0.35">
      <c r="E741" s="57"/>
      <c r="F741" s="57"/>
      <c r="G741" s="57"/>
      <c r="H741" s="57"/>
      <c r="I741" s="57"/>
      <c r="J741" s="57"/>
      <c r="K741" s="57"/>
      <c r="L741" s="57"/>
      <c r="M741" s="57"/>
    </row>
    <row r="742" spans="5:13" s="44" customFormat="1" x14ac:dyDescent="0.35">
      <c r="E742" s="57"/>
      <c r="F742" s="57"/>
      <c r="G742" s="57"/>
      <c r="H742" s="57"/>
      <c r="I742" s="57"/>
      <c r="J742" s="57"/>
      <c r="K742" s="57"/>
      <c r="L742" s="57"/>
      <c r="M742" s="57"/>
    </row>
    <row r="743" spans="5:13" s="44" customFormat="1" x14ac:dyDescent="0.35">
      <c r="E743" s="57"/>
      <c r="F743" s="57"/>
      <c r="G743" s="57"/>
      <c r="H743" s="57"/>
      <c r="I743" s="57"/>
      <c r="J743" s="57"/>
      <c r="K743" s="57"/>
      <c r="L743" s="57"/>
      <c r="M743" s="57"/>
    </row>
    <row r="744" spans="5:13" s="44" customFormat="1" x14ac:dyDescent="0.35">
      <c r="E744" s="57"/>
      <c r="F744" s="57"/>
      <c r="G744" s="57"/>
      <c r="H744" s="57"/>
      <c r="I744" s="57"/>
      <c r="J744" s="57"/>
      <c r="K744" s="57"/>
      <c r="L744" s="57"/>
      <c r="M744" s="57"/>
    </row>
    <row r="745" spans="5:13" s="44" customFormat="1" x14ac:dyDescent="0.35">
      <c r="E745" s="57"/>
      <c r="F745" s="57"/>
      <c r="G745" s="57"/>
      <c r="H745" s="57"/>
      <c r="I745" s="57"/>
      <c r="J745" s="57"/>
      <c r="K745" s="57"/>
      <c r="L745" s="57"/>
      <c r="M745" s="57"/>
    </row>
    <row r="746" spans="5:13" s="44" customFormat="1" x14ac:dyDescent="0.35">
      <c r="E746" s="57"/>
      <c r="F746" s="57"/>
      <c r="G746" s="57"/>
      <c r="H746" s="57"/>
      <c r="I746" s="57"/>
      <c r="J746" s="57"/>
      <c r="K746" s="57"/>
      <c r="L746" s="57"/>
      <c r="M746" s="57"/>
    </row>
    <row r="747" spans="5:13" s="44" customFormat="1" x14ac:dyDescent="0.35">
      <c r="E747" s="57"/>
      <c r="F747" s="57"/>
      <c r="G747" s="57"/>
      <c r="H747" s="57"/>
      <c r="I747" s="57"/>
      <c r="J747" s="57"/>
      <c r="K747" s="57"/>
      <c r="L747" s="57"/>
      <c r="M747" s="57"/>
    </row>
    <row r="748" spans="5:13" s="44" customFormat="1" x14ac:dyDescent="0.35">
      <c r="E748" s="57"/>
      <c r="F748" s="57"/>
      <c r="G748" s="57"/>
      <c r="H748" s="57"/>
      <c r="I748" s="57"/>
      <c r="J748" s="57"/>
      <c r="K748" s="57"/>
      <c r="L748" s="57"/>
      <c r="M748" s="57"/>
    </row>
    <row r="749" spans="5:13" s="44" customFormat="1" x14ac:dyDescent="0.35">
      <c r="E749" s="57"/>
      <c r="F749" s="57"/>
      <c r="G749" s="57"/>
      <c r="H749" s="57"/>
      <c r="I749" s="57"/>
      <c r="J749" s="57"/>
      <c r="K749" s="57"/>
      <c r="L749" s="57"/>
      <c r="M749" s="57"/>
    </row>
    <row r="750" spans="5:13" s="44" customFormat="1" x14ac:dyDescent="0.35">
      <c r="E750" s="57"/>
      <c r="F750" s="57"/>
      <c r="G750" s="57"/>
      <c r="H750" s="57"/>
      <c r="I750" s="57"/>
      <c r="J750" s="57"/>
      <c r="K750" s="57"/>
      <c r="L750" s="57"/>
      <c r="M750" s="57"/>
    </row>
    <row r="751" spans="5:13" s="44" customFormat="1" x14ac:dyDescent="0.35">
      <c r="E751" s="57"/>
      <c r="F751" s="57"/>
      <c r="G751" s="57"/>
      <c r="H751" s="57"/>
      <c r="I751" s="57"/>
      <c r="J751" s="57"/>
      <c r="K751" s="57"/>
      <c r="L751" s="57"/>
      <c r="M751" s="57"/>
    </row>
    <row r="752" spans="5:13" s="44" customFormat="1" x14ac:dyDescent="0.35">
      <c r="E752" s="57"/>
      <c r="F752" s="57"/>
      <c r="G752" s="57"/>
      <c r="H752" s="57"/>
      <c r="I752" s="57"/>
      <c r="J752" s="57"/>
      <c r="K752" s="57"/>
      <c r="L752" s="57"/>
      <c r="M752" s="57"/>
    </row>
    <row r="753" spans="5:13" s="44" customFormat="1" x14ac:dyDescent="0.35">
      <c r="E753" s="57"/>
      <c r="F753" s="57"/>
      <c r="G753" s="57"/>
      <c r="H753" s="57"/>
      <c r="I753" s="57"/>
      <c r="J753" s="57"/>
      <c r="K753" s="57"/>
      <c r="L753" s="57"/>
      <c r="M753" s="57"/>
    </row>
    <row r="754" spans="5:13" s="44" customFormat="1" x14ac:dyDescent="0.35">
      <c r="E754" s="57"/>
      <c r="F754" s="57"/>
      <c r="G754" s="57"/>
      <c r="H754" s="57"/>
      <c r="I754" s="57"/>
      <c r="J754" s="57"/>
      <c r="K754" s="57"/>
      <c r="L754" s="57"/>
      <c r="M754" s="57"/>
    </row>
    <row r="755" spans="5:13" s="44" customFormat="1" x14ac:dyDescent="0.35">
      <c r="E755" s="57"/>
      <c r="F755" s="57"/>
      <c r="G755" s="57"/>
      <c r="H755" s="57"/>
      <c r="I755" s="57"/>
      <c r="J755" s="57"/>
      <c r="K755" s="57"/>
      <c r="L755" s="57"/>
      <c r="M755" s="57"/>
    </row>
    <row r="756" spans="5:13" s="44" customFormat="1" x14ac:dyDescent="0.35">
      <c r="E756" s="57"/>
      <c r="F756" s="57"/>
      <c r="G756" s="57"/>
      <c r="H756" s="57"/>
      <c r="I756" s="57"/>
      <c r="J756" s="57"/>
      <c r="K756" s="57"/>
      <c r="L756" s="57"/>
      <c r="M756" s="57"/>
    </row>
    <row r="757" spans="5:13" s="44" customFormat="1" x14ac:dyDescent="0.35">
      <c r="E757" s="57"/>
      <c r="F757" s="57"/>
      <c r="G757" s="57"/>
      <c r="H757" s="57"/>
      <c r="I757" s="57"/>
      <c r="J757" s="57"/>
      <c r="K757" s="57"/>
      <c r="L757" s="57"/>
      <c r="M757" s="57"/>
    </row>
    <row r="758" spans="5:13" s="44" customFormat="1" x14ac:dyDescent="0.35">
      <c r="E758" s="57"/>
      <c r="F758" s="57"/>
      <c r="G758" s="57"/>
      <c r="H758" s="57"/>
      <c r="I758" s="57"/>
      <c r="J758" s="57"/>
      <c r="K758" s="57"/>
      <c r="L758" s="57"/>
      <c r="M758" s="57"/>
    </row>
    <row r="759" spans="5:13" s="44" customFormat="1" x14ac:dyDescent="0.35">
      <c r="E759" s="57"/>
      <c r="F759" s="57"/>
      <c r="G759" s="57"/>
      <c r="H759" s="57"/>
      <c r="I759" s="57"/>
      <c r="J759" s="57"/>
      <c r="K759" s="57"/>
      <c r="L759" s="57"/>
      <c r="M759" s="57"/>
    </row>
    <row r="760" spans="5:13" s="44" customFormat="1" x14ac:dyDescent="0.35">
      <c r="E760" s="57"/>
      <c r="F760" s="57"/>
      <c r="G760" s="57"/>
      <c r="H760" s="57"/>
      <c r="I760" s="57"/>
      <c r="J760" s="57"/>
      <c r="K760" s="57"/>
      <c r="L760" s="57"/>
      <c r="M760" s="57"/>
    </row>
    <row r="761" spans="5:13" s="44" customFormat="1" x14ac:dyDescent="0.35">
      <c r="E761" s="57"/>
      <c r="F761" s="57"/>
      <c r="G761" s="57"/>
      <c r="H761" s="57"/>
      <c r="I761" s="57"/>
      <c r="J761" s="57"/>
      <c r="K761" s="57"/>
      <c r="L761" s="57"/>
      <c r="M761" s="57"/>
    </row>
    <row r="762" spans="5:13" s="44" customFormat="1" x14ac:dyDescent="0.35">
      <c r="E762" s="57"/>
      <c r="F762" s="57"/>
      <c r="G762" s="57"/>
      <c r="H762" s="57"/>
      <c r="I762" s="57"/>
      <c r="J762" s="57"/>
      <c r="K762" s="57"/>
      <c r="L762" s="57"/>
      <c r="M762" s="57"/>
    </row>
    <row r="763" spans="5:13" s="44" customFormat="1" x14ac:dyDescent="0.35">
      <c r="E763" s="57"/>
      <c r="F763" s="57"/>
      <c r="G763" s="57"/>
      <c r="H763" s="57"/>
      <c r="I763" s="57"/>
      <c r="J763" s="57"/>
      <c r="K763" s="57"/>
      <c r="L763" s="57"/>
      <c r="M763" s="57"/>
    </row>
    <row r="764" spans="5:13" s="44" customFormat="1" x14ac:dyDescent="0.35">
      <c r="E764" s="57"/>
      <c r="F764" s="57"/>
      <c r="G764" s="57"/>
      <c r="H764" s="57"/>
      <c r="I764" s="57"/>
      <c r="J764" s="57"/>
      <c r="K764" s="57"/>
      <c r="L764" s="57"/>
      <c r="M764" s="57"/>
    </row>
    <row r="765" spans="5:13" s="44" customFormat="1" x14ac:dyDescent="0.35">
      <c r="E765" s="57"/>
      <c r="F765" s="57"/>
      <c r="G765" s="57"/>
      <c r="H765" s="57"/>
      <c r="I765" s="57"/>
      <c r="J765" s="57"/>
      <c r="K765" s="57"/>
      <c r="L765" s="57"/>
      <c r="M765" s="57"/>
    </row>
    <row r="766" spans="5:13" s="44" customFormat="1" x14ac:dyDescent="0.35">
      <c r="E766" s="57"/>
      <c r="F766" s="57"/>
      <c r="G766" s="57"/>
      <c r="H766" s="57"/>
      <c r="I766" s="57"/>
      <c r="J766" s="57"/>
      <c r="K766" s="57"/>
      <c r="L766" s="57"/>
      <c r="M766" s="57"/>
    </row>
    <row r="767" spans="5:13" s="44" customFormat="1" x14ac:dyDescent="0.35">
      <c r="E767" s="57"/>
      <c r="F767" s="57"/>
      <c r="G767" s="57"/>
      <c r="H767" s="57"/>
      <c r="I767" s="57"/>
      <c r="J767" s="57"/>
      <c r="K767" s="57"/>
      <c r="L767" s="57"/>
      <c r="M767" s="57"/>
    </row>
    <row r="768" spans="5:13" s="44" customFormat="1" x14ac:dyDescent="0.35">
      <c r="E768" s="57"/>
      <c r="F768" s="57"/>
      <c r="G768" s="57"/>
      <c r="H768" s="57"/>
      <c r="I768" s="57"/>
      <c r="J768" s="57"/>
      <c r="K768" s="57"/>
      <c r="L768" s="57"/>
      <c r="M768" s="57"/>
    </row>
    <row r="769" spans="5:13" s="44" customFormat="1" x14ac:dyDescent="0.35">
      <c r="E769" s="57"/>
      <c r="F769" s="57"/>
      <c r="G769" s="57"/>
      <c r="H769" s="57"/>
      <c r="I769" s="57"/>
      <c r="J769" s="57"/>
      <c r="K769" s="57"/>
      <c r="L769" s="57"/>
      <c r="M769" s="57"/>
    </row>
    <row r="770" spans="5:13" s="44" customFormat="1" x14ac:dyDescent="0.35">
      <c r="E770" s="57"/>
      <c r="F770" s="57"/>
      <c r="G770" s="57"/>
      <c r="H770" s="57"/>
      <c r="I770" s="57"/>
      <c r="J770" s="57"/>
      <c r="K770" s="57"/>
      <c r="L770" s="57"/>
      <c r="M770" s="57"/>
    </row>
    <row r="771" spans="5:13" s="44" customFormat="1" x14ac:dyDescent="0.35">
      <c r="E771" s="57"/>
      <c r="F771" s="57"/>
      <c r="G771" s="57"/>
      <c r="H771" s="57"/>
      <c r="I771" s="57"/>
      <c r="J771" s="57"/>
      <c r="K771" s="57"/>
      <c r="L771" s="57"/>
      <c r="M771" s="57"/>
    </row>
    <row r="772" spans="5:13" s="44" customFormat="1" x14ac:dyDescent="0.35">
      <c r="E772" s="57"/>
      <c r="F772" s="57"/>
      <c r="G772" s="57"/>
      <c r="H772" s="57"/>
      <c r="I772" s="57"/>
      <c r="J772" s="57"/>
      <c r="K772" s="57"/>
      <c r="L772" s="57"/>
      <c r="M772" s="57"/>
    </row>
    <row r="773" spans="5:13" s="44" customFormat="1" x14ac:dyDescent="0.35">
      <c r="E773" s="57"/>
      <c r="F773" s="57"/>
      <c r="G773" s="57"/>
      <c r="H773" s="57"/>
      <c r="I773" s="57"/>
      <c r="J773" s="57"/>
      <c r="K773" s="57"/>
      <c r="L773" s="57"/>
      <c r="M773" s="57"/>
    </row>
    <row r="774" spans="5:13" s="44" customFormat="1" x14ac:dyDescent="0.35">
      <c r="E774" s="57"/>
      <c r="F774" s="57"/>
      <c r="G774" s="57"/>
      <c r="H774" s="57"/>
      <c r="I774" s="57"/>
      <c r="J774" s="57"/>
      <c r="K774" s="57"/>
      <c r="L774" s="57"/>
      <c r="M774" s="57"/>
    </row>
    <row r="775" spans="5:13" s="44" customFormat="1" x14ac:dyDescent="0.35">
      <c r="E775" s="57"/>
      <c r="F775" s="57"/>
      <c r="G775" s="57"/>
      <c r="H775" s="57"/>
      <c r="I775" s="57"/>
      <c r="J775" s="57"/>
      <c r="K775" s="57"/>
      <c r="L775" s="57"/>
      <c r="M775" s="57"/>
    </row>
    <row r="776" spans="5:13" s="44" customFormat="1" x14ac:dyDescent="0.35">
      <c r="E776" s="57"/>
      <c r="F776" s="57"/>
      <c r="G776" s="57"/>
      <c r="H776" s="57"/>
      <c r="I776" s="57"/>
      <c r="J776" s="57"/>
      <c r="K776" s="57"/>
      <c r="L776" s="57"/>
      <c r="M776" s="57"/>
    </row>
    <row r="777" spans="5:13" s="44" customFormat="1" x14ac:dyDescent="0.35">
      <c r="E777" s="57"/>
      <c r="F777" s="57"/>
      <c r="G777" s="57"/>
      <c r="H777" s="57"/>
      <c r="I777" s="57"/>
      <c r="J777" s="57"/>
      <c r="K777" s="57"/>
      <c r="L777" s="57"/>
      <c r="M777" s="57"/>
    </row>
    <row r="778" spans="5:13" s="44" customFormat="1" x14ac:dyDescent="0.35">
      <c r="E778" s="57"/>
      <c r="F778" s="57"/>
      <c r="G778" s="57"/>
      <c r="H778" s="57"/>
      <c r="I778" s="57"/>
      <c r="J778" s="57"/>
      <c r="K778" s="57"/>
      <c r="L778" s="57"/>
      <c r="M778" s="57"/>
    </row>
    <row r="779" spans="5:13" s="44" customFormat="1" x14ac:dyDescent="0.35">
      <c r="E779" s="57"/>
      <c r="F779" s="57"/>
      <c r="G779" s="57"/>
      <c r="H779" s="57"/>
      <c r="I779" s="57"/>
      <c r="J779" s="57"/>
      <c r="K779" s="57"/>
      <c r="L779" s="57"/>
      <c r="M779" s="57"/>
    </row>
    <row r="780" spans="5:13" s="44" customFormat="1" x14ac:dyDescent="0.35">
      <c r="E780" s="57"/>
      <c r="F780" s="57"/>
      <c r="G780" s="57"/>
      <c r="H780" s="57"/>
      <c r="I780" s="57"/>
      <c r="J780" s="57"/>
      <c r="K780" s="57"/>
      <c r="L780" s="57"/>
      <c r="M780" s="57"/>
    </row>
    <row r="781" spans="5:13" s="44" customFormat="1" x14ac:dyDescent="0.35">
      <c r="E781" s="57"/>
      <c r="F781" s="57"/>
      <c r="G781" s="57"/>
      <c r="H781" s="57"/>
      <c r="I781" s="57"/>
      <c r="J781" s="57"/>
      <c r="K781" s="57"/>
      <c r="L781" s="57"/>
      <c r="M781" s="57"/>
    </row>
    <row r="782" spans="5:13" s="44" customFormat="1" x14ac:dyDescent="0.35">
      <c r="E782" s="57"/>
      <c r="F782" s="57"/>
      <c r="G782" s="57"/>
      <c r="H782" s="57"/>
      <c r="I782" s="57"/>
      <c r="J782" s="57"/>
      <c r="K782" s="57"/>
      <c r="L782" s="57"/>
      <c r="M782" s="57"/>
    </row>
    <row r="783" spans="5:13" s="44" customFormat="1" x14ac:dyDescent="0.35">
      <c r="E783" s="57"/>
      <c r="F783" s="57"/>
      <c r="G783" s="57"/>
      <c r="H783" s="57"/>
      <c r="I783" s="57"/>
      <c r="J783" s="57"/>
      <c r="K783" s="57"/>
      <c r="L783" s="57"/>
      <c r="M783" s="57"/>
    </row>
    <row r="784" spans="5:13" s="44" customFormat="1" x14ac:dyDescent="0.35">
      <c r="E784" s="57"/>
      <c r="F784" s="57"/>
      <c r="G784" s="57"/>
      <c r="H784" s="57"/>
      <c r="I784" s="57"/>
      <c r="J784" s="57"/>
      <c r="K784" s="57"/>
      <c r="L784" s="57"/>
      <c r="M784" s="57"/>
    </row>
    <row r="785" spans="5:13" s="44" customFormat="1" x14ac:dyDescent="0.35">
      <c r="E785" s="57"/>
      <c r="F785" s="57"/>
      <c r="G785" s="57"/>
      <c r="H785" s="57"/>
      <c r="I785" s="57"/>
      <c r="J785" s="57"/>
      <c r="K785" s="57"/>
      <c r="L785" s="57"/>
      <c r="M785" s="57"/>
    </row>
    <row r="786" spans="5:13" s="44" customFormat="1" x14ac:dyDescent="0.35">
      <c r="E786" s="57"/>
      <c r="F786" s="57"/>
      <c r="G786" s="57"/>
      <c r="H786" s="57"/>
      <c r="I786" s="57"/>
      <c r="J786" s="57"/>
      <c r="K786" s="57"/>
      <c r="L786" s="57"/>
      <c r="M786" s="57"/>
    </row>
    <row r="787" spans="5:13" s="44" customFormat="1" x14ac:dyDescent="0.35">
      <c r="E787" s="57"/>
      <c r="F787" s="57"/>
      <c r="G787" s="57"/>
      <c r="H787" s="57"/>
      <c r="I787" s="57"/>
      <c r="J787" s="57"/>
      <c r="K787" s="57"/>
      <c r="L787" s="57"/>
      <c r="M787" s="57"/>
    </row>
    <row r="788" spans="5:13" s="44" customFormat="1" x14ac:dyDescent="0.35">
      <c r="E788" s="57"/>
      <c r="F788" s="57"/>
      <c r="G788" s="57"/>
      <c r="H788" s="57"/>
      <c r="I788" s="57"/>
      <c r="J788" s="57"/>
      <c r="K788" s="57"/>
      <c r="L788" s="57"/>
      <c r="M788" s="57"/>
    </row>
    <row r="789" spans="5:13" s="44" customFormat="1" x14ac:dyDescent="0.35">
      <c r="E789" s="57"/>
      <c r="F789" s="57"/>
      <c r="G789" s="57"/>
      <c r="H789" s="57"/>
      <c r="I789" s="57"/>
      <c r="J789" s="57"/>
      <c r="K789" s="57"/>
      <c r="L789" s="57"/>
      <c r="M789" s="57"/>
    </row>
    <row r="790" spans="5:13" s="44" customFormat="1" x14ac:dyDescent="0.35">
      <c r="E790" s="57"/>
      <c r="F790" s="57"/>
      <c r="G790" s="57"/>
      <c r="H790" s="57"/>
      <c r="I790" s="57"/>
      <c r="J790" s="57"/>
      <c r="K790" s="57"/>
      <c r="L790" s="57"/>
      <c r="M790" s="57"/>
    </row>
    <row r="791" spans="5:13" s="44" customFormat="1" x14ac:dyDescent="0.35">
      <c r="E791" s="57"/>
      <c r="F791" s="57"/>
      <c r="G791" s="57"/>
      <c r="H791" s="57"/>
      <c r="I791" s="57"/>
      <c r="J791" s="57"/>
      <c r="K791" s="57"/>
      <c r="L791" s="57"/>
      <c r="M791" s="57"/>
    </row>
    <row r="792" spans="5:13" s="44" customFormat="1" x14ac:dyDescent="0.35">
      <c r="E792" s="57"/>
      <c r="F792" s="57"/>
      <c r="G792" s="57"/>
      <c r="H792" s="57"/>
      <c r="I792" s="57"/>
      <c r="J792" s="57"/>
      <c r="K792" s="57"/>
      <c r="L792" s="57"/>
      <c r="M792" s="57"/>
    </row>
    <row r="793" spans="5:13" s="44" customFormat="1" x14ac:dyDescent="0.35">
      <c r="E793" s="57"/>
      <c r="F793" s="57"/>
      <c r="G793" s="57"/>
      <c r="H793" s="57"/>
      <c r="I793" s="57"/>
      <c r="J793" s="57"/>
      <c r="K793" s="57"/>
      <c r="L793" s="57"/>
      <c r="M793" s="57"/>
    </row>
    <row r="794" spans="5:13" s="44" customFormat="1" x14ac:dyDescent="0.35">
      <c r="E794" s="57"/>
      <c r="F794" s="57"/>
      <c r="G794" s="57"/>
      <c r="H794" s="57"/>
      <c r="I794" s="57"/>
      <c r="J794" s="57"/>
      <c r="K794" s="57"/>
      <c r="L794" s="57"/>
      <c r="M794" s="57"/>
    </row>
    <row r="795" spans="5:13" s="44" customFormat="1" x14ac:dyDescent="0.35">
      <c r="E795" s="57"/>
      <c r="F795" s="57"/>
      <c r="G795" s="57"/>
      <c r="H795" s="57"/>
      <c r="I795" s="57"/>
      <c r="J795" s="57"/>
      <c r="K795" s="57"/>
      <c r="L795" s="57"/>
      <c r="M795" s="57"/>
    </row>
    <row r="796" spans="5:13" s="44" customFormat="1" x14ac:dyDescent="0.35">
      <c r="E796" s="57"/>
      <c r="F796" s="57"/>
      <c r="G796" s="57"/>
      <c r="H796" s="57"/>
      <c r="I796" s="57"/>
      <c r="J796" s="57"/>
      <c r="K796" s="57"/>
      <c r="L796" s="57"/>
      <c r="M796" s="57"/>
    </row>
    <row r="797" spans="5:13" s="44" customFormat="1" x14ac:dyDescent="0.35">
      <c r="E797" s="57"/>
      <c r="F797" s="57"/>
      <c r="G797" s="57"/>
      <c r="H797" s="57"/>
      <c r="I797" s="57"/>
      <c r="J797" s="57"/>
      <c r="K797" s="57"/>
      <c r="L797" s="57"/>
      <c r="M797" s="57"/>
    </row>
    <row r="798" spans="5:13" s="44" customFormat="1" x14ac:dyDescent="0.35">
      <c r="E798" s="57"/>
      <c r="F798" s="57"/>
      <c r="G798" s="57"/>
      <c r="H798" s="57"/>
      <c r="I798" s="57"/>
      <c r="J798" s="57"/>
      <c r="K798" s="57"/>
      <c r="L798" s="57"/>
      <c r="M798" s="57"/>
    </row>
    <row r="799" spans="5:13" s="44" customFormat="1" x14ac:dyDescent="0.35">
      <c r="E799" s="57"/>
      <c r="F799" s="57"/>
      <c r="G799" s="57"/>
      <c r="H799" s="57"/>
      <c r="I799" s="57"/>
      <c r="J799" s="57"/>
      <c r="K799" s="57"/>
      <c r="L799" s="57"/>
      <c r="M799" s="57"/>
    </row>
    <row r="800" spans="5:13" s="44" customFormat="1" x14ac:dyDescent="0.35">
      <c r="E800" s="57"/>
      <c r="F800" s="57"/>
      <c r="G800" s="57"/>
      <c r="H800" s="57"/>
      <c r="I800" s="57"/>
      <c r="J800" s="57"/>
      <c r="K800" s="57"/>
      <c r="L800" s="57"/>
      <c r="M800" s="57"/>
    </row>
    <row r="801" spans="5:13" s="44" customFormat="1" x14ac:dyDescent="0.35">
      <c r="E801" s="57"/>
      <c r="F801" s="57"/>
      <c r="G801" s="57"/>
      <c r="H801" s="57"/>
      <c r="I801" s="57"/>
      <c r="J801" s="57"/>
      <c r="K801" s="57"/>
      <c r="L801" s="57"/>
      <c r="M801" s="57"/>
    </row>
    <row r="802" spans="5:13" s="44" customFormat="1" x14ac:dyDescent="0.35">
      <c r="E802" s="57"/>
      <c r="F802" s="57"/>
      <c r="G802" s="57"/>
      <c r="H802" s="57"/>
      <c r="I802" s="57"/>
      <c r="J802" s="57"/>
      <c r="K802" s="57"/>
      <c r="L802" s="57"/>
      <c r="M802" s="57"/>
    </row>
    <row r="803" spans="5:13" s="44" customFormat="1" x14ac:dyDescent="0.35">
      <c r="E803" s="57"/>
      <c r="F803" s="57"/>
      <c r="G803" s="57"/>
      <c r="H803" s="57"/>
      <c r="I803" s="57"/>
      <c r="J803" s="57"/>
      <c r="K803" s="57"/>
      <c r="L803" s="57"/>
      <c r="M803" s="57"/>
    </row>
    <row r="804" spans="5:13" s="44" customFormat="1" x14ac:dyDescent="0.35">
      <c r="E804" s="57"/>
      <c r="F804" s="57"/>
      <c r="G804" s="57"/>
      <c r="H804" s="57"/>
      <c r="I804" s="57"/>
      <c r="J804" s="57"/>
      <c r="K804" s="57"/>
      <c r="L804" s="57"/>
      <c r="M804" s="57"/>
    </row>
    <row r="805" spans="5:13" s="44" customFormat="1" x14ac:dyDescent="0.35">
      <c r="E805" s="57"/>
      <c r="F805" s="57"/>
      <c r="G805" s="57"/>
      <c r="H805" s="57"/>
      <c r="I805" s="57"/>
      <c r="J805" s="57"/>
      <c r="K805" s="57"/>
      <c r="L805" s="57"/>
      <c r="M805" s="57"/>
    </row>
    <row r="806" spans="5:13" s="44" customFormat="1" x14ac:dyDescent="0.35">
      <c r="E806" s="57"/>
      <c r="F806" s="57"/>
      <c r="G806" s="57"/>
      <c r="H806" s="57"/>
      <c r="I806" s="57"/>
      <c r="J806" s="57"/>
      <c r="K806" s="57"/>
      <c r="L806" s="57"/>
      <c r="M806" s="57"/>
    </row>
    <row r="807" spans="5:13" s="44" customFormat="1" x14ac:dyDescent="0.35">
      <c r="E807" s="57"/>
      <c r="F807" s="57"/>
      <c r="G807" s="57"/>
      <c r="H807" s="57"/>
      <c r="I807" s="57"/>
      <c r="J807" s="57"/>
      <c r="K807" s="57"/>
      <c r="L807" s="57"/>
      <c r="M807" s="57"/>
    </row>
    <row r="808" spans="5:13" s="44" customFormat="1" x14ac:dyDescent="0.35">
      <c r="E808" s="57"/>
      <c r="F808" s="57"/>
      <c r="G808" s="57"/>
      <c r="H808" s="57"/>
      <c r="I808" s="57"/>
      <c r="J808" s="57"/>
      <c r="K808" s="57"/>
      <c r="L808" s="57"/>
      <c r="M808" s="57"/>
    </row>
    <row r="809" spans="5:13" s="44" customFormat="1" x14ac:dyDescent="0.35">
      <c r="E809" s="57"/>
      <c r="F809" s="57"/>
      <c r="G809" s="57"/>
      <c r="H809" s="57"/>
      <c r="I809" s="57"/>
      <c r="J809" s="57"/>
      <c r="K809" s="57"/>
      <c r="L809" s="57"/>
      <c r="M809" s="57"/>
    </row>
    <row r="810" spans="5:13" s="44" customFormat="1" x14ac:dyDescent="0.35">
      <c r="E810" s="57"/>
      <c r="F810" s="57"/>
      <c r="G810" s="57"/>
      <c r="H810" s="57"/>
      <c r="I810" s="57"/>
      <c r="J810" s="57"/>
      <c r="K810" s="57"/>
      <c r="L810" s="57"/>
      <c r="M810" s="57"/>
    </row>
    <row r="811" spans="5:13" s="44" customFormat="1" x14ac:dyDescent="0.35">
      <c r="E811" s="57"/>
      <c r="F811" s="57"/>
      <c r="G811" s="57"/>
      <c r="H811" s="57"/>
      <c r="I811" s="57"/>
      <c r="J811" s="57"/>
      <c r="K811" s="57"/>
      <c r="L811" s="57"/>
      <c r="M811" s="57"/>
    </row>
    <row r="812" spans="5:13" s="44" customFormat="1" x14ac:dyDescent="0.35">
      <c r="E812" s="57"/>
      <c r="F812" s="57"/>
      <c r="G812" s="57"/>
      <c r="H812" s="57"/>
      <c r="I812" s="57"/>
      <c r="J812" s="57"/>
      <c r="K812" s="57"/>
      <c r="L812" s="57"/>
      <c r="M812" s="57"/>
    </row>
    <row r="813" spans="5:13" s="44" customFormat="1" x14ac:dyDescent="0.35">
      <c r="E813" s="57"/>
      <c r="F813" s="57"/>
      <c r="G813" s="57"/>
      <c r="H813" s="57"/>
      <c r="I813" s="57"/>
      <c r="J813" s="57"/>
      <c r="K813" s="57"/>
      <c r="L813" s="57"/>
      <c r="M813" s="57"/>
    </row>
    <row r="814" spans="5:13" s="44" customFormat="1" x14ac:dyDescent="0.35">
      <c r="E814" s="57"/>
      <c r="F814" s="57"/>
      <c r="G814" s="57"/>
      <c r="H814" s="57"/>
      <c r="I814" s="57"/>
      <c r="J814" s="57"/>
      <c r="K814" s="57"/>
      <c r="L814" s="57"/>
      <c r="M814" s="57"/>
    </row>
    <row r="815" spans="5:13" s="44" customFormat="1" x14ac:dyDescent="0.35">
      <c r="E815" s="57"/>
      <c r="F815" s="57"/>
      <c r="G815" s="57"/>
      <c r="H815" s="57"/>
      <c r="I815" s="57"/>
      <c r="J815" s="57"/>
      <c r="K815" s="57"/>
      <c r="L815" s="57"/>
      <c r="M815" s="57"/>
    </row>
    <row r="816" spans="5:13" s="44" customFormat="1" x14ac:dyDescent="0.35">
      <c r="E816" s="57"/>
      <c r="F816" s="57"/>
      <c r="G816" s="57"/>
      <c r="H816" s="57"/>
      <c r="I816" s="57"/>
      <c r="J816" s="57"/>
      <c r="K816" s="57"/>
      <c r="L816" s="57"/>
      <c r="M816" s="57"/>
    </row>
    <row r="817" spans="5:13" s="44" customFormat="1" x14ac:dyDescent="0.35">
      <c r="E817" s="57"/>
      <c r="F817" s="57"/>
      <c r="G817" s="57"/>
      <c r="H817" s="57"/>
      <c r="I817" s="57"/>
      <c r="J817" s="57"/>
      <c r="K817" s="57"/>
      <c r="L817" s="57"/>
      <c r="M817" s="57"/>
    </row>
    <row r="818" spans="5:13" s="44" customFormat="1" x14ac:dyDescent="0.35">
      <c r="E818" s="57"/>
      <c r="F818" s="57"/>
      <c r="G818" s="57"/>
      <c r="H818" s="57"/>
      <c r="I818" s="57"/>
      <c r="J818" s="57"/>
      <c r="K818" s="57"/>
      <c r="L818" s="57"/>
      <c r="M818" s="57"/>
    </row>
    <row r="819" spans="5:13" s="44" customFormat="1" x14ac:dyDescent="0.35">
      <c r="E819" s="57"/>
      <c r="F819" s="57"/>
      <c r="G819" s="57"/>
      <c r="H819" s="57"/>
      <c r="I819" s="57"/>
      <c r="J819" s="57"/>
      <c r="K819" s="57"/>
      <c r="L819" s="57"/>
      <c r="M819" s="57"/>
    </row>
    <row r="820" spans="5:13" s="44" customFormat="1" x14ac:dyDescent="0.35">
      <c r="E820" s="57"/>
      <c r="F820" s="57"/>
      <c r="G820" s="57"/>
      <c r="H820" s="57"/>
      <c r="I820" s="57"/>
      <c r="J820" s="57"/>
      <c r="K820" s="57"/>
      <c r="L820" s="57"/>
      <c r="M820" s="57"/>
    </row>
    <row r="821" spans="5:13" s="44" customFormat="1" x14ac:dyDescent="0.35">
      <c r="E821" s="57"/>
      <c r="F821" s="57"/>
      <c r="G821" s="57"/>
      <c r="H821" s="57"/>
      <c r="I821" s="57"/>
      <c r="J821" s="57"/>
      <c r="K821" s="57"/>
      <c r="L821" s="57"/>
      <c r="M821" s="57"/>
    </row>
    <row r="822" spans="5:13" s="44" customFormat="1" x14ac:dyDescent="0.35">
      <c r="E822" s="57"/>
      <c r="F822" s="57"/>
      <c r="G822" s="57"/>
      <c r="H822" s="57"/>
      <c r="I822" s="57"/>
      <c r="J822" s="57"/>
      <c r="K822" s="57"/>
      <c r="L822" s="57"/>
      <c r="M822" s="57"/>
    </row>
    <row r="823" spans="5:13" s="44" customFormat="1" x14ac:dyDescent="0.35">
      <c r="E823" s="57"/>
      <c r="F823" s="57"/>
      <c r="G823" s="57"/>
      <c r="H823" s="57"/>
      <c r="I823" s="57"/>
      <c r="J823" s="57"/>
      <c r="K823" s="57"/>
      <c r="L823" s="57"/>
      <c r="M823" s="57"/>
    </row>
    <row r="824" spans="5:13" s="44" customFormat="1" x14ac:dyDescent="0.35">
      <c r="E824" s="57"/>
      <c r="F824" s="57"/>
      <c r="G824" s="57"/>
      <c r="H824" s="57"/>
      <c r="I824" s="57"/>
      <c r="J824" s="57"/>
      <c r="K824" s="57"/>
      <c r="L824" s="57"/>
      <c r="M824" s="57"/>
    </row>
    <row r="825" spans="5:13" s="44" customFormat="1" x14ac:dyDescent="0.35">
      <c r="E825" s="57"/>
      <c r="F825" s="57"/>
      <c r="G825" s="57"/>
      <c r="H825" s="57"/>
      <c r="I825" s="57"/>
      <c r="J825" s="57"/>
      <c r="K825" s="57"/>
      <c r="L825" s="57"/>
      <c r="M825" s="57"/>
    </row>
    <row r="826" spans="5:13" s="44" customFormat="1" x14ac:dyDescent="0.35">
      <c r="E826" s="57"/>
      <c r="F826" s="57"/>
      <c r="G826" s="57"/>
      <c r="H826" s="57"/>
      <c r="I826" s="57"/>
      <c r="J826" s="57"/>
      <c r="K826" s="57"/>
      <c r="L826" s="57"/>
      <c r="M826" s="57"/>
    </row>
    <row r="827" spans="5:13" s="44" customFormat="1" x14ac:dyDescent="0.35">
      <c r="E827" s="57"/>
      <c r="F827" s="57"/>
      <c r="G827" s="57"/>
      <c r="H827" s="57"/>
      <c r="I827" s="57"/>
      <c r="J827" s="57"/>
      <c r="K827" s="57"/>
      <c r="L827" s="57"/>
      <c r="M827" s="57"/>
    </row>
    <row r="828" spans="5:13" s="44" customFormat="1" x14ac:dyDescent="0.35">
      <c r="E828" s="57"/>
      <c r="F828" s="57"/>
      <c r="G828" s="57"/>
      <c r="H828" s="57"/>
      <c r="I828" s="57"/>
      <c r="J828" s="57"/>
      <c r="K828" s="57"/>
      <c r="L828" s="57"/>
      <c r="M828" s="57"/>
    </row>
    <row r="829" spans="5:13" s="44" customFormat="1" x14ac:dyDescent="0.35">
      <c r="E829" s="57"/>
      <c r="F829" s="57"/>
      <c r="G829" s="57"/>
      <c r="H829" s="57"/>
      <c r="I829" s="57"/>
      <c r="J829" s="57"/>
      <c r="K829" s="57"/>
      <c r="L829" s="57"/>
      <c r="M829" s="57"/>
    </row>
    <row r="830" spans="5:13" s="44" customFormat="1" x14ac:dyDescent="0.35">
      <c r="E830" s="57"/>
      <c r="F830" s="57"/>
      <c r="G830" s="57"/>
      <c r="H830" s="57"/>
      <c r="I830" s="57"/>
      <c r="J830" s="57"/>
      <c r="K830" s="57"/>
      <c r="L830" s="57"/>
      <c r="M830" s="57"/>
    </row>
    <row r="831" spans="5:13" s="44" customFormat="1" x14ac:dyDescent="0.35">
      <c r="E831" s="57"/>
      <c r="F831" s="57"/>
      <c r="G831" s="57"/>
      <c r="H831" s="57"/>
      <c r="I831" s="57"/>
      <c r="J831" s="57"/>
      <c r="K831" s="57"/>
      <c r="L831" s="57"/>
      <c r="M831" s="57"/>
    </row>
    <row r="832" spans="5:13" s="44" customFormat="1" x14ac:dyDescent="0.35">
      <c r="E832" s="57"/>
      <c r="F832" s="57"/>
      <c r="G832" s="57"/>
      <c r="H832" s="57"/>
      <c r="I832" s="57"/>
      <c r="J832" s="57"/>
      <c r="K832" s="57"/>
      <c r="L832" s="57"/>
      <c r="M832" s="57"/>
    </row>
    <row r="833" spans="5:13" s="44" customFormat="1" x14ac:dyDescent="0.35">
      <c r="E833" s="57"/>
      <c r="F833" s="57"/>
      <c r="G833" s="57"/>
      <c r="H833" s="57"/>
      <c r="I833" s="57"/>
      <c r="J833" s="57"/>
      <c r="K833" s="57"/>
      <c r="L833" s="57"/>
      <c r="M833" s="57"/>
    </row>
    <row r="834" spans="5:13" s="44" customFormat="1" x14ac:dyDescent="0.35">
      <c r="E834" s="57"/>
      <c r="F834" s="57"/>
      <c r="G834" s="57"/>
      <c r="H834" s="57"/>
      <c r="I834" s="57"/>
      <c r="J834" s="57"/>
      <c r="K834" s="57"/>
      <c r="L834" s="57"/>
      <c r="M834" s="57"/>
    </row>
    <row r="835" spans="5:13" s="44" customFormat="1" x14ac:dyDescent="0.35">
      <c r="E835" s="57"/>
      <c r="F835" s="57"/>
      <c r="G835" s="57"/>
      <c r="H835" s="57"/>
      <c r="I835" s="57"/>
      <c r="J835" s="57"/>
      <c r="K835" s="57"/>
      <c r="L835" s="57"/>
      <c r="M835" s="57"/>
    </row>
    <row r="836" spans="5:13" s="44" customFormat="1" x14ac:dyDescent="0.35">
      <c r="E836" s="57"/>
      <c r="F836" s="57"/>
      <c r="G836" s="57"/>
      <c r="H836" s="57"/>
      <c r="I836" s="57"/>
      <c r="J836" s="57"/>
      <c r="K836" s="57"/>
      <c r="L836" s="57"/>
      <c r="M836" s="57"/>
    </row>
    <row r="837" spans="5:13" s="44" customFormat="1" x14ac:dyDescent="0.35">
      <c r="E837" s="57"/>
      <c r="F837" s="57"/>
      <c r="G837" s="57"/>
      <c r="H837" s="57"/>
      <c r="I837" s="57"/>
      <c r="J837" s="57"/>
      <c r="K837" s="57"/>
      <c r="L837" s="57"/>
      <c r="M837" s="57"/>
    </row>
    <row r="838" spans="5:13" s="44" customFormat="1" x14ac:dyDescent="0.35">
      <c r="E838" s="57"/>
      <c r="F838" s="57"/>
      <c r="G838" s="57"/>
      <c r="H838" s="57"/>
      <c r="I838" s="57"/>
      <c r="J838" s="57"/>
      <c r="K838" s="57"/>
      <c r="L838" s="57"/>
      <c r="M838" s="57"/>
    </row>
    <row r="839" spans="5:13" s="44" customFormat="1" x14ac:dyDescent="0.35">
      <c r="E839" s="57"/>
      <c r="F839" s="57"/>
      <c r="G839" s="57"/>
      <c r="H839" s="57"/>
      <c r="I839" s="57"/>
      <c r="J839" s="57"/>
      <c r="K839" s="57"/>
      <c r="L839" s="57"/>
      <c r="M839" s="57"/>
    </row>
    <row r="840" spans="5:13" s="44" customFormat="1" x14ac:dyDescent="0.35">
      <c r="E840" s="57"/>
      <c r="F840" s="57"/>
      <c r="G840" s="57"/>
      <c r="H840" s="57"/>
      <c r="I840" s="57"/>
      <c r="J840" s="57"/>
      <c r="K840" s="57"/>
      <c r="L840" s="57"/>
      <c r="M840" s="57"/>
    </row>
    <row r="841" spans="5:13" s="44" customFormat="1" x14ac:dyDescent="0.35">
      <c r="E841" s="57"/>
      <c r="F841" s="57"/>
      <c r="G841" s="57"/>
      <c r="H841" s="57"/>
      <c r="I841" s="57"/>
      <c r="J841" s="57"/>
      <c r="K841" s="57"/>
      <c r="L841" s="57"/>
      <c r="M841" s="57"/>
    </row>
    <row r="842" spans="5:13" s="44" customFormat="1" x14ac:dyDescent="0.35">
      <c r="E842" s="57"/>
      <c r="F842" s="57"/>
      <c r="G842" s="57"/>
      <c r="H842" s="57"/>
      <c r="I842" s="57"/>
      <c r="J842" s="57"/>
      <c r="K842" s="57"/>
      <c r="L842" s="57"/>
      <c r="M842" s="57"/>
    </row>
    <row r="843" spans="5:13" s="44" customFormat="1" x14ac:dyDescent="0.35">
      <c r="E843" s="57"/>
      <c r="F843" s="57"/>
      <c r="G843" s="57"/>
      <c r="H843" s="57"/>
      <c r="I843" s="57"/>
      <c r="J843" s="57"/>
      <c r="K843" s="57"/>
      <c r="L843" s="57"/>
      <c r="M843" s="57"/>
    </row>
    <row r="844" spans="5:13" s="44" customFormat="1" x14ac:dyDescent="0.35">
      <c r="E844" s="57"/>
      <c r="F844" s="57"/>
      <c r="G844" s="57"/>
      <c r="H844" s="57"/>
      <c r="I844" s="57"/>
      <c r="J844" s="57"/>
      <c r="K844" s="57"/>
      <c r="L844" s="57"/>
      <c r="M844" s="57"/>
    </row>
    <row r="845" spans="5:13" s="44" customFormat="1" x14ac:dyDescent="0.35">
      <c r="E845" s="57"/>
      <c r="F845" s="57"/>
      <c r="G845" s="57"/>
      <c r="H845" s="57"/>
      <c r="I845" s="57"/>
      <c r="J845" s="57"/>
      <c r="K845" s="57"/>
      <c r="L845" s="57"/>
      <c r="M845" s="57"/>
    </row>
    <row r="846" spans="5:13" s="44" customFormat="1" x14ac:dyDescent="0.35">
      <c r="E846" s="57"/>
      <c r="F846" s="57"/>
      <c r="G846" s="57"/>
      <c r="H846" s="57"/>
      <c r="I846" s="57"/>
      <c r="J846" s="57"/>
      <c r="K846" s="57"/>
      <c r="L846" s="57"/>
      <c r="M846" s="57"/>
    </row>
    <row r="847" spans="5:13" s="44" customFormat="1" x14ac:dyDescent="0.35">
      <c r="E847" s="57"/>
      <c r="F847" s="57"/>
      <c r="G847" s="57"/>
      <c r="H847" s="57"/>
      <c r="I847" s="57"/>
      <c r="J847" s="57"/>
      <c r="K847" s="57"/>
      <c r="L847" s="57"/>
      <c r="M847" s="57"/>
    </row>
    <row r="848" spans="5:13" s="44" customFormat="1" x14ac:dyDescent="0.35">
      <c r="E848" s="57"/>
      <c r="F848" s="57"/>
      <c r="G848" s="57"/>
      <c r="H848" s="57"/>
      <c r="I848" s="57"/>
      <c r="J848" s="57"/>
      <c r="K848" s="57"/>
      <c r="L848" s="57"/>
      <c r="M848" s="57"/>
    </row>
    <row r="849" spans="5:13" s="44" customFormat="1" x14ac:dyDescent="0.35">
      <c r="E849" s="57"/>
      <c r="F849" s="57"/>
      <c r="G849" s="57"/>
      <c r="H849" s="57"/>
      <c r="I849" s="57"/>
      <c r="J849" s="57"/>
      <c r="K849" s="57"/>
      <c r="L849" s="57"/>
      <c r="M849" s="57"/>
    </row>
    <row r="850" spans="5:13" s="44" customFormat="1" x14ac:dyDescent="0.35">
      <c r="E850" s="57"/>
      <c r="F850" s="57"/>
      <c r="G850" s="57"/>
      <c r="H850" s="57"/>
      <c r="I850" s="57"/>
      <c r="J850" s="57"/>
      <c r="K850" s="57"/>
      <c r="L850" s="57"/>
      <c r="M850" s="57"/>
    </row>
    <row r="851" spans="5:13" s="44" customFormat="1" x14ac:dyDescent="0.35">
      <c r="E851" s="57"/>
      <c r="F851" s="57"/>
      <c r="G851" s="57"/>
      <c r="H851" s="57"/>
      <c r="I851" s="57"/>
      <c r="J851" s="57"/>
      <c r="K851" s="57"/>
      <c r="L851" s="57"/>
      <c r="M851" s="57"/>
    </row>
    <row r="852" spans="5:13" s="44" customFormat="1" x14ac:dyDescent="0.35">
      <c r="E852" s="57"/>
      <c r="F852" s="57"/>
      <c r="G852" s="57"/>
      <c r="H852" s="57"/>
      <c r="I852" s="57"/>
      <c r="J852" s="57"/>
      <c r="K852" s="57"/>
      <c r="L852" s="57"/>
      <c r="M852" s="57"/>
    </row>
    <row r="853" spans="5:13" s="44" customFormat="1" x14ac:dyDescent="0.35">
      <c r="E853" s="57"/>
      <c r="F853" s="57"/>
      <c r="G853" s="57"/>
      <c r="H853" s="57"/>
      <c r="I853" s="57"/>
      <c r="J853" s="57"/>
      <c r="K853" s="57"/>
      <c r="L853" s="57"/>
      <c r="M853" s="57"/>
    </row>
    <row r="854" spans="5:13" s="44" customFormat="1" x14ac:dyDescent="0.35">
      <c r="E854" s="57"/>
      <c r="F854" s="57"/>
      <c r="G854" s="57"/>
      <c r="H854" s="57"/>
      <c r="I854" s="57"/>
      <c r="J854" s="57"/>
      <c r="K854" s="57"/>
      <c r="L854" s="57"/>
      <c r="M854" s="57"/>
    </row>
    <row r="855" spans="5:13" s="44" customFormat="1" x14ac:dyDescent="0.35">
      <c r="E855" s="57"/>
      <c r="F855" s="57"/>
      <c r="G855" s="57"/>
      <c r="H855" s="57"/>
      <c r="I855" s="57"/>
      <c r="J855" s="57"/>
      <c r="K855" s="57"/>
      <c r="L855" s="57"/>
      <c r="M855" s="57"/>
    </row>
    <row r="856" spans="5:13" s="44" customFormat="1" x14ac:dyDescent="0.35">
      <c r="E856" s="57"/>
      <c r="F856" s="57"/>
      <c r="G856" s="57"/>
      <c r="H856" s="57"/>
      <c r="I856" s="57"/>
      <c r="J856" s="57"/>
      <c r="K856" s="57"/>
      <c r="L856" s="57"/>
      <c r="M856" s="57"/>
    </row>
    <row r="857" spans="5:13" s="44" customFormat="1" x14ac:dyDescent="0.35">
      <c r="E857" s="57"/>
      <c r="F857" s="57"/>
      <c r="G857" s="57"/>
      <c r="H857" s="57"/>
      <c r="I857" s="57"/>
      <c r="J857" s="57"/>
      <c r="K857" s="57"/>
      <c r="L857" s="57"/>
      <c r="M857" s="57"/>
    </row>
    <row r="858" spans="5:13" s="44" customFormat="1" x14ac:dyDescent="0.35">
      <c r="E858" s="57"/>
      <c r="F858" s="57"/>
      <c r="G858" s="57"/>
      <c r="H858" s="57"/>
      <c r="I858" s="57"/>
      <c r="J858" s="57"/>
      <c r="K858" s="57"/>
      <c r="L858" s="57"/>
      <c r="M858" s="57"/>
    </row>
    <row r="859" spans="5:13" s="44" customFormat="1" x14ac:dyDescent="0.35">
      <c r="E859" s="57"/>
      <c r="F859" s="57"/>
      <c r="G859" s="57"/>
      <c r="H859" s="57"/>
      <c r="I859" s="57"/>
      <c r="J859" s="57"/>
      <c r="K859" s="57"/>
      <c r="L859" s="57"/>
      <c r="M859" s="57"/>
    </row>
    <row r="860" spans="5:13" s="44" customFormat="1" x14ac:dyDescent="0.35">
      <c r="E860" s="57"/>
      <c r="F860" s="57"/>
      <c r="G860" s="57"/>
      <c r="H860" s="57"/>
      <c r="I860" s="57"/>
      <c r="J860" s="57"/>
      <c r="K860" s="57"/>
      <c r="L860" s="57"/>
      <c r="M860" s="57"/>
    </row>
    <row r="861" spans="5:13" s="44" customFormat="1" x14ac:dyDescent="0.35">
      <c r="E861" s="57"/>
      <c r="F861" s="57"/>
      <c r="G861" s="57"/>
      <c r="H861" s="57"/>
      <c r="I861" s="57"/>
      <c r="J861" s="57"/>
      <c r="K861" s="57"/>
      <c r="L861" s="57"/>
      <c r="M861" s="57"/>
    </row>
    <row r="862" spans="5:13" s="44" customFormat="1" x14ac:dyDescent="0.35">
      <c r="E862" s="57"/>
      <c r="F862" s="57"/>
      <c r="G862" s="57"/>
      <c r="H862" s="57"/>
      <c r="I862" s="57"/>
      <c r="J862" s="57"/>
      <c r="K862" s="57"/>
      <c r="L862" s="57"/>
      <c r="M862" s="57"/>
    </row>
    <row r="863" spans="5:13" s="44" customFormat="1" x14ac:dyDescent="0.35">
      <c r="E863" s="57"/>
      <c r="F863" s="57"/>
      <c r="G863" s="57"/>
      <c r="H863" s="57"/>
      <c r="I863" s="57"/>
      <c r="J863" s="57"/>
      <c r="K863" s="57"/>
      <c r="L863" s="57"/>
      <c r="M863" s="57"/>
    </row>
    <row r="864" spans="5:13" s="44" customFormat="1" x14ac:dyDescent="0.35">
      <c r="E864" s="57"/>
      <c r="F864" s="57"/>
      <c r="G864" s="57"/>
      <c r="H864" s="57"/>
      <c r="I864" s="57"/>
      <c r="J864" s="57"/>
      <c r="K864" s="57"/>
      <c r="L864" s="57"/>
      <c r="M864" s="57"/>
    </row>
    <row r="865" spans="5:13" s="44" customFormat="1" x14ac:dyDescent="0.35">
      <c r="E865" s="57"/>
      <c r="F865" s="57"/>
      <c r="G865" s="57"/>
      <c r="H865" s="57"/>
      <c r="I865" s="57"/>
      <c r="J865" s="57"/>
      <c r="K865" s="57"/>
      <c r="L865" s="57"/>
      <c r="M865" s="57"/>
    </row>
    <row r="866" spans="5:13" s="44" customFormat="1" x14ac:dyDescent="0.35">
      <c r="E866" s="57"/>
      <c r="F866" s="57"/>
      <c r="G866" s="57"/>
      <c r="H866" s="57"/>
      <c r="I866" s="57"/>
      <c r="J866" s="57"/>
      <c r="K866" s="57"/>
      <c r="L866" s="57"/>
      <c r="M866" s="57"/>
    </row>
    <row r="867" spans="5:13" s="44" customFormat="1" x14ac:dyDescent="0.35">
      <c r="E867" s="57"/>
      <c r="F867" s="57"/>
      <c r="G867" s="57"/>
      <c r="H867" s="57"/>
      <c r="I867" s="57"/>
      <c r="J867" s="57"/>
      <c r="K867" s="57"/>
      <c r="L867" s="57"/>
      <c r="M867" s="57"/>
    </row>
    <row r="868" spans="5:13" s="44" customFormat="1" x14ac:dyDescent="0.35">
      <c r="E868" s="57"/>
      <c r="F868" s="57"/>
      <c r="G868" s="57"/>
      <c r="H868" s="57"/>
      <c r="I868" s="57"/>
      <c r="J868" s="57"/>
      <c r="K868" s="57"/>
      <c r="L868" s="57"/>
      <c r="M868" s="57"/>
    </row>
    <row r="869" spans="5:13" s="44" customFormat="1" x14ac:dyDescent="0.35">
      <c r="E869" s="57"/>
      <c r="F869" s="57"/>
      <c r="G869" s="57"/>
      <c r="H869" s="57"/>
      <c r="I869" s="57"/>
      <c r="J869" s="57"/>
      <c r="K869" s="57"/>
      <c r="L869" s="57"/>
      <c r="M869" s="57"/>
    </row>
    <row r="870" spans="5:13" s="44" customFormat="1" x14ac:dyDescent="0.35">
      <c r="E870" s="57"/>
      <c r="F870" s="57"/>
      <c r="G870" s="57"/>
      <c r="H870" s="57"/>
      <c r="I870" s="57"/>
      <c r="J870" s="57"/>
      <c r="K870" s="57"/>
      <c r="L870" s="57"/>
      <c r="M870" s="57"/>
    </row>
    <row r="871" spans="5:13" s="44" customFormat="1" x14ac:dyDescent="0.35">
      <c r="E871" s="57"/>
      <c r="F871" s="57"/>
      <c r="G871" s="57"/>
      <c r="H871" s="57"/>
      <c r="I871" s="57"/>
      <c r="J871" s="57"/>
      <c r="K871" s="57"/>
      <c r="L871" s="57"/>
      <c r="M871" s="57"/>
    </row>
    <row r="872" spans="5:13" s="44" customFormat="1" x14ac:dyDescent="0.35">
      <c r="E872" s="57"/>
      <c r="F872" s="57"/>
      <c r="G872" s="57"/>
      <c r="H872" s="57"/>
      <c r="I872" s="57"/>
      <c r="J872" s="57"/>
      <c r="K872" s="57"/>
      <c r="L872" s="57"/>
      <c r="M872" s="57"/>
    </row>
    <row r="873" spans="5:13" s="44" customFormat="1" x14ac:dyDescent="0.35">
      <c r="E873" s="57"/>
      <c r="F873" s="57"/>
      <c r="G873" s="57"/>
      <c r="H873" s="57"/>
      <c r="I873" s="57"/>
      <c r="J873" s="57"/>
      <c r="K873" s="57"/>
      <c r="L873" s="57"/>
      <c r="M873" s="57"/>
    </row>
    <row r="874" spans="5:13" s="44" customFormat="1" x14ac:dyDescent="0.35">
      <c r="E874" s="57"/>
      <c r="F874" s="57"/>
      <c r="G874" s="57"/>
      <c r="H874" s="57"/>
      <c r="I874" s="57"/>
      <c r="J874" s="57"/>
      <c r="K874" s="57"/>
      <c r="L874" s="57"/>
      <c r="M874" s="57"/>
    </row>
    <row r="875" spans="5:13" s="44" customFormat="1" x14ac:dyDescent="0.35">
      <c r="E875" s="57"/>
      <c r="F875" s="57"/>
      <c r="G875" s="57"/>
      <c r="H875" s="57"/>
      <c r="I875" s="57"/>
      <c r="J875" s="57"/>
      <c r="K875" s="57"/>
      <c r="L875" s="57"/>
      <c r="M875" s="57"/>
    </row>
    <row r="876" spans="5:13" s="44" customFormat="1" x14ac:dyDescent="0.35">
      <c r="E876" s="57"/>
      <c r="F876" s="57"/>
      <c r="G876" s="57"/>
      <c r="H876" s="57"/>
      <c r="I876" s="57"/>
      <c r="J876" s="57"/>
      <c r="K876" s="57"/>
      <c r="L876" s="57"/>
      <c r="M876" s="57"/>
    </row>
    <row r="877" spans="5:13" s="44" customFormat="1" x14ac:dyDescent="0.35">
      <c r="E877" s="57"/>
      <c r="F877" s="57"/>
      <c r="G877" s="57"/>
      <c r="H877" s="57"/>
      <c r="I877" s="57"/>
      <c r="J877" s="57"/>
      <c r="K877" s="57"/>
      <c r="L877" s="57"/>
      <c r="M877" s="57"/>
    </row>
    <row r="878" spans="5:13" s="44" customFormat="1" x14ac:dyDescent="0.35">
      <c r="E878" s="57"/>
      <c r="F878" s="57"/>
      <c r="G878" s="57"/>
      <c r="H878" s="57"/>
      <c r="I878" s="57"/>
      <c r="J878" s="57"/>
      <c r="K878" s="57"/>
      <c r="L878" s="57"/>
      <c r="M878" s="57"/>
    </row>
    <row r="879" spans="5:13" s="44" customFormat="1" x14ac:dyDescent="0.35">
      <c r="E879" s="57"/>
      <c r="F879" s="57"/>
      <c r="G879" s="57"/>
      <c r="H879" s="57"/>
      <c r="I879" s="57"/>
      <c r="J879" s="57"/>
      <c r="K879" s="57"/>
      <c r="L879" s="57"/>
      <c r="M879" s="57"/>
    </row>
    <row r="880" spans="5:13" s="44" customFormat="1" x14ac:dyDescent="0.35">
      <c r="E880" s="57"/>
      <c r="F880" s="57"/>
      <c r="G880" s="57"/>
      <c r="H880" s="57"/>
      <c r="I880" s="57"/>
      <c r="J880" s="57"/>
      <c r="K880" s="57"/>
      <c r="L880" s="57"/>
      <c r="M880" s="57"/>
    </row>
    <row r="881" spans="5:13" s="44" customFormat="1" x14ac:dyDescent="0.35">
      <c r="E881" s="57"/>
      <c r="F881" s="57"/>
      <c r="G881" s="57"/>
      <c r="H881" s="57"/>
      <c r="I881" s="57"/>
      <c r="J881" s="57"/>
      <c r="K881" s="57"/>
      <c r="L881" s="57"/>
      <c r="M881" s="57"/>
    </row>
    <row r="882" spans="5:13" s="44" customFormat="1" x14ac:dyDescent="0.35">
      <c r="E882" s="57"/>
      <c r="F882" s="57"/>
      <c r="G882" s="57"/>
      <c r="H882" s="57"/>
      <c r="I882" s="57"/>
      <c r="J882" s="57"/>
      <c r="K882" s="57"/>
      <c r="L882" s="57"/>
      <c r="M882" s="57"/>
    </row>
    <row r="883" spans="5:13" s="44" customFormat="1" x14ac:dyDescent="0.35">
      <c r="E883" s="57"/>
      <c r="F883" s="57"/>
      <c r="G883" s="57"/>
      <c r="H883" s="57"/>
      <c r="I883" s="57"/>
      <c r="J883" s="57"/>
      <c r="K883" s="57"/>
      <c r="L883" s="57"/>
      <c r="M883" s="57"/>
    </row>
    <row r="884" spans="5:13" s="44" customFormat="1" x14ac:dyDescent="0.35">
      <c r="E884" s="57"/>
      <c r="F884" s="57"/>
      <c r="G884" s="57"/>
      <c r="H884" s="57"/>
      <c r="I884" s="57"/>
      <c r="J884" s="57"/>
      <c r="K884" s="57"/>
      <c r="L884" s="57"/>
      <c r="M884" s="57"/>
    </row>
    <row r="885" spans="5:13" s="44" customFormat="1" x14ac:dyDescent="0.35">
      <c r="E885" s="57"/>
      <c r="F885" s="57"/>
      <c r="G885" s="57"/>
      <c r="H885" s="57"/>
      <c r="I885" s="57"/>
      <c r="J885" s="57"/>
      <c r="K885" s="57"/>
      <c r="L885" s="57"/>
      <c r="M885" s="57"/>
    </row>
    <row r="886" spans="5:13" s="44" customFormat="1" x14ac:dyDescent="0.35">
      <c r="E886" s="57"/>
      <c r="F886" s="57"/>
      <c r="G886" s="57"/>
      <c r="H886" s="57"/>
      <c r="I886" s="57"/>
      <c r="J886" s="57"/>
      <c r="K886" s="57"/>
      <c r="L886" s="57"/>
      <c r="M886" s="57"/>
    </row>
    <row r="887" spans="5:13" s="44" customFormat="1" x14ac:dyDescent="0.35">
      <c r="E887" s="57"/>
      <c r="F887" s="57"/>
      <c r="G887" s="57"/>
      <c r="H887" s="57"/>
      <c r="I887" s="57"/>
      <c r="J887" s="57"/>
      <c r="K887" s="57"/>
      <c r="L887" s="57"/>
      <c r="M887" s="57"/>
    </row>
    <row r="888" spans="5:13" s="44" customFormat="1" x14ac:dyDescent="0.35">
      <c r="E888" s="57"/>
      <c r="F888" s="57"/>
      <c r="G888" s="57"/>
      <c r="H888" s="57"/>
      <c r="I888" s="57"/>
      <c r="J888" s="57"/>
      <c r="K888" s="57"/>
      <c r="L888" s="57"/>
      <c r="M888" s="57"/>
    </row>
    <row r="889" spans="5:13" s="44" customFormat="1" x14ac:dyDescent="0.35">
      <c r="E889" s="57"/>
      <c r="F889" s="57"/>
      <c r="G889" s="57"/>
      <c r="H889" s="57"/>
      <c r="I889" s="57"/>
      <c r="J889" s="57"/>
      <c r="K889" s="57"/>
      <c r="L889" s="57"/>
      <c r="M889" s="57"/>
    </row>
    <row r="890" spans="5:13" s="44" customFormat="1" x14ac:dyDescent="0.35">
      <c r="E890" s="57"/>
      <c r="F890" s="57"/>
      <c r="G890" s="57"/>
      <c r="H890" s="57"/>
      <c r="I890" s="57"/>
      <c r="J890" s="57"/>
      <c r="K890" s="57"/>
      <c r="L890" s="57"/>
      <c r="M890" s="57"/>
    </row>
    <row r="891" spans="5:13" s="44" customFormat="1" x14ac:dyDescent="0.35">
      <c r="E891" s="57"/>
      <c r="F891" s="57"/>
      <c r="G891" s="57"/>
      <c r="H891" s="57"/>
      <c r="I891" s="57"/>
      <c r="J891" s="57"/>
      <c r="K891" s="57"/>
      <c r="L891" s="57"/>
      <c r="M891" s="57"/>
    </row>
    <row r="892" spans="5:13" s="44" customFormat="1" x14ac:dyDescent="0.35">
      <c r="E892" s="57"/>
      <c r="F892" s="57"/>
      <c r="G892" s="57"/>
      <c r="H892" s="57"/>
      <c r="I892" s="57"/>
      <c r="J892" s="57"/>
      <c r="K892" s="57"/>
      <c r="L892" s="57"/>
      <c r="M892" s="57"/>
    </row>
    <row r="893" spans="5:13" s="44" customFormat="1" x14ac:dyDescent="0.35">
      <c r="E893" s="57"/>
      <c r="F893" s="57"/>
      <c r="G893" s="57"/>
      <c r="H893" s="57"/>
      <c r="I893" s="57"/>
      <c r="J893" s="57"/>
      <c r="K893" s="57"/>
      <c r="L893" s="57"/>
      <c r="M893" s="57"/>
    </row>
    <row r="894" spans="5:13" s="44" customFormat="1" x14ac:dyDescent="0.35">
      <c r="E894" s="57"/>
      <c r="F894" s="57"/>
      <c r="G894" s="57"/>
      <c r="H894" s="57"/>
      <c r="I894" s="57"/>
      <c r="J894" s="57"/>
      <c r="K894" s="57"/>
      <c r="L894" s="57"/>
      <c r="M894" s="57"/>
    </row>
    <row r="895" spans="5:13" s="44" customFormat="1" x14ac:dyDescent="0.35">
      <c r="E895" s="57"/>
      <c r="F895" s="57"/>
      <c r="G895" s="57"/>
      <c r="H895" s="57"/>
      <c r="I895" s="57"/>
      <c r="J895" s="57"/>
      <c r="K895" s="57"/>
      <c r="L895" s="57"/>
      <c r="M895" s="57"/>
    </row>
    <row r="896" spans="5:13" s="44" customFormat="1" x14ac:dyDescent="0.35">
      <c r="E896" s="57"/>
      <c r="F896" s="57"/>
      <c r="G896" s="57"/>
      <c r="H896" s="57"/>
      <c r="I896" s="57"/>
      <c r="J896" s="57"/>
      <c r="K896" s="57"/>
      <c r="L896" s="57"/>
      <c r="M896" s="57"/>
    </row>
    <row r="897" spans="5:13" s="44" customFormat="1" x14ac:dyDescent="0.35">
      <c r="E897" s="57"/>
      <c r="F897" s="57"/>
      <c r="G897" s="57"/>
      <c r="H897" s="57"/>
      <c r="I897" s="57"/>
      <c r="J897" s="57"/>
      <c r="K897" s="57"/>
      <c r="L897" s="57"/>
      <c r="M897" s="57"/>
    </row>
    <row r="898" spans="5:13" s="44" customFormat="1" x14ac:dyDescent="0.35">
      <c r="E898" s="57"/>
      <c r="F898" s="57"/>
      <c r="G898" s="57"/>
      <c r="H898" s="57"/>
      <c r="I898" s="57"/>
      <c r="J898" s="57"/>
      <c r="K898" s="57"/>
      <c r="L898" s="57"/>
      <c r="M898" s="57"/>
    </row>
    <row r="899" spans="5:13" s="44" customFormat="1" x14ac:dyDescent="0.35">
      <c r="E899" s="57"/>
      <c r="F899" s="57"/>
      <c r="G899" s="57"/>
      <c r="H899" s="57"/>
      <c r="I899" s="57"/>
      <c r="J899" s="57"/>
      <c r="K899" s="57"/>
      <c r="L899" s="57"/>
      <c r="M899" s="57"/>
    </row>
    <row r="900" spans="5:13" s="44" customFormat="1" x14ac:dyDescent="0.35">
      <c r="E900" s="57"/>
      <c r="F900" s="57"/>
      <c r="G900" s="57"/>
      <c r="H900" s="57"/>
      <c r="I900" s="57"/>
      <c r="J900" s="57"/>
      <c r="K900" s="57"/>
      <c r="L900" s="57"/>
      <c r="M900" s="57"/>
    </row>
    <row r="901" spans="5:13" s="44" customFormat="1" x14ac:dyDescent="0.35">
      <c r="E901" s="57"/>
      <c r="F901" s="57"/>
      <c r="G901" s="57"/>
      <c r="H901" s="57"/>
      <c r="I901" s="57"/>
      <c r="J901" s="57"/>
      <c r="K901" s="57"/>
      <c r="L901" s="57"/>
      <c r="M901" s="57"/>
    </row>
    <row r="902" spans="5:13" s="44" customFormat="1" x14ac:dyDescent="0.35">
      <c r="E902" s="57"/>
      <c r="F902" s="57"/>
      <c r="G902" s="57"/>
      <c r="H902" s="57"/>
      <c r="I902" s="57"/>
      <c r="J902" s="57"/>
      <c r="K902" s="57"/>
      <c r="L902" s="57"/>
      <c r="M902" s="57"/>
    </row>
    <row r="903" spans="5:13" s="44" customFormat="1" x14ac:dyDescent="0.35">
      <c r="E903" s="57"/>
      <c r="F903" s="57"/>
      <c r="G903" s="57"/>
      <c r="H903" s="57"/>
      <c r="I903" s="57"/>
      <c r="J903" s="57"/>
      <c r="K903" s="57"/>
      <c r="L903" s="57"/>
      <c r="M903" s="57"/>
    </row>
    <row r="904" spans="5:13" s="44" customFormat="1" x14ac:dyDescent="0.35">
      <c r="E904" s="57"/>
      <c r="F904" s="57"/>
      <c r="G904" s="57"/>
      <c r="H904" s="57"/>
      <c r="I904" s="57"/>
      <c r="J904" s="57"/>
      <c r="K904" s="57"/>
      <c r="L904" s="57"/>
      <c r="M904" s="57"/>
    </row>
    <row r="905" spans="5:13" s="44" customFormat="1" x14ac:dyDescent="0.35">
      <c r="E905" s="57"/>
      <c r="F905" s="57"/>
      <c r="G905" s="57"/>
      <c r="H905" s="57"/>
      <c r="I905" s="57"/>
      <c r="J905" s="57"/>
      <c r="K905" s="57"/>
      <c r="L905" s="57"/>
      <c r="M905" s="57"/>
    </row>
    <row r="906" spans="5:13" s="44" customFormat="1" x14ac:dyDescent="0.35">
      <c r="E906" s="57"/>
      <c r="F906" s="57"/>
      <c r="G906" s="57"/>
      <c r="H906" s="57"/>
      <c r="I906" s="57"/>
      <c r="J906" s="57"/>
      <c r="K906" s="57"/>
      <c r="L906" s="57"/>
      <c r="M906" s="57"/>
    </row>
    <row r="907" spans="5:13" s="44" customFormat="1" x14ac:dyDescent="0.35">
      <c r="E907" s="57"/>
      <c r="F907" s="57"/>
      <c r="G907" s="57"/>
      <c r="H907" s="57"/>
      <c r="I907" s="57"/>
      <c r="J907" s="57"/>
      <c r="K907" s="57"/>
      <c r="L907" s="57"/>
      <c r="M907" s="57"/>
    </row>
    <row r="908" spans="5:13" s="44" customFormat="1" x14ac:dyDescent="0.35">
      <c r="E908" s="57"/>
      <c r="F908" s="57"/>
      <c r="G908" s="57"/>
      <c r="H908" s="57"/>
      <c r="I908" s="57"/>
      <c r="J908" s="57"/>
      <c r="K908" s="57"/>
      <c r="L908" s="57"/>
      <c r="M908" s="57"/>
    </row>
    <row r="909" spans="5:13" s="44" customFormat="1" x14ac:dyDescent="0.35">
      <c r="E909" s="57"/>
      <c r="F909" s="57"/>
      <c r="G909" s="57"/>
      <c r="H909" s="57"/>
      <c r="I909" s="57"/>
      <c r="J909" s="57"/>
      <c r="K909" s="57"/>
      <c r="L909" s="57"/>
      <c r="M909" s="57"/>
    </row>
    <row r="910" spans="5:13" s="44" customFormat="1" x14ac:dyDescent="0.35">
      <c r="E910" s="57"/>
      <c r="F910" s="57"/>
      <c r="G910" s="57"/>
      <c r="H910" s="57"/>
      <c r="I910" s="57"/>
      <c r="J910" s="57"/>
      <c r="K910" s="57"/>
      <c r="L910" s="57"/>
      <c r="M910" s="57"/>
    </row>
    <row r="911" spans="5:13" s="44" customFormat="1" x14ac:dyDescent="0.35">
      <c r="E911" s="57"/>
      <c r="F911" s="57"/>
      <c r="G911" s="57"/>
      <c r="H911" s="57"/>
      <c r="I911" s="57"/>
      <c r="J911" s="57"/>
      <c r="K911" s="57"/>
      <c r="L911" s="57"/>
      <c r="M911" s="57"/>
    </row>
    <row r="912" spans="5:13" s="44" customFormat="1" x14ac:dyDescent="0.35">
      <c r="E912" s="57"/>
      <c r="F912" s="57"/>
      <c r="G912" s="57"/>
      <c r="H912" s="57"/>
      <c r="I912" s="57"/>
      <c r="J912" s="57"/>
      <c r="K912" s="57"/>
      <c r="L912" s="57"/>
      <c r="M912" s="57"/>
    </row>
    <row r="913" spans="5:13" s="44" customFormat="1" x14ac:dyDescent="0.35">
      <c r="E913" s="57"/>
      <c r="F913" s="57"/>
      <c r="G913" s="57"/>
      <c r="H913" s="57"/>
      <c r="I913" s="57"/>
      <c r="J913" s="57"/>
      <c r="K913" s="57"/>
      <c r="L913" s="57"/>
      <c r="M913" s="57"/>
    </row>
    <row r="914" spans="5:13" s="44" customFormat="1" x14ac:dyDescent="0.35">
      <c r="E914" s="57"/>
      <c r="F914" s="57"/>
      <c r="G914" s="57"/>
      <c r="H914" s="57"/>
      <c r="I914" s="57"/>
      <c r="J914" s="57"/>
      <c r="K914" s="57"/>
      <c r="L914" s="57"/>
      <c r="M914" s="57"/>
    </row>
    <row r="915" spans="5:13" s="44" customFormat="1" x14ac:dyDescent="0.35">
      <c r="E915" s="57"/>
      <c r="F915" s="57"/>
      <c r="G915" s="57"/>
      <c r="H915" s="57"/>
      <c r="I915" s="57"/>
      <c r="J915" s="57"/>
      <c r="K915" s="57"/>
      <c r="L915" s="57"/>
      <c r="M915" s="57"/>
    </row>
    <row r="916" spans="5:13" s="44" customFormat="1" x14ac:dyDescent="0.35">
      <c r="E916" s="57"/>
      <c r="F916" s="57"/>
      <c r="G916" s="57"/>
      <c r="H916" s="57"/>
      <c r="I916" s="57"/>
      <c r="J916" s="57"/>
      <c r="K916" s="57"/>
      <c r="L916" s="57"/>
      <c r="M916" s="57"/>
    </row>
    <row r="917" spans="5:13" s="44" customFormat="1" x14ac:dyDescent="0.35">
      <c r="E917" s="57"/>
      <c r="F917" s="57"/>
      <c r="G917" s="57"/>
      <c r="H917" s="57"/>
      <c r="I917" s="57"/>
      <c r="J917" s="57"/>
      <c r="K917" s="57"/>
      <c r="L917" s="57"/>
      <c r="M917" s="57"/>
    </row>
    <row r="918" spans="5:13" s="44" customFormat="1" x14ac:dyDescent="0.35">
      <c r="E918" s="57"/>
      <c r="F918" s="57"/>
      <c r="G918" s="57"/>
      <c r="H918" s="57"/>
      <c r="I918" s="57"/>
      <c r="J918" s="57"/>
      <c r="K918" s="57"/>
      <c r="L918" s="57"/>
      <c r="M918" s="57"/>
    </row>
    <row r="919" spans="5:13" s="44" customFormat="1" x14ac:dyDescent="0.35">
      <c r="E919" s="57"/>
      <c r="F919" s="57"/>
      <c r="G919" s="57"/>
      <c r="H919" s="57"/>
      <c r="I919" s="57"/>
      <c r="J919" s="57"/>
      <c r="K919" s="57"/>
      <c r="L919" s="57"/>
      <c r="M919" s="57"/>
    </row>
    <row r="920" spans="5:13" s="44" customFormat="1" x14ac:dyDescent="0.35">
      <c r="E920" s="57"/>
      <c r="F920" s="57"/>
      <c r="G920" s="57"/>
      <c r="H920" s="57"/>
      <c r="I920" s="57"/>
      <c r="J920" s="57"/>
      <c r="K920" s="57"/>
      <c r="L920" s="57"/>
      <c r="M920" s="57"/>
    </row>
    <row r="921" spans="5:13" s="44" customFormat="1" x14ac:dyDescent="0.35">
      <c r="E921" s="57"/>
      <c r="F921" s="57"/>
      <c r="G921" s="57"/>
      <c r="H921" s="57"/>
      <c r="I921" s="57"/>
      <c r="J921" s="57"/>
      <c r="K921" s="57"/>
      <c r="L921" s="57"/>
      <c r="M921" s="57"/>
    </row>
    <row r="922" spans="5:13" s="44" customFormat="1" x14ac:dyDescent="0.35">
      <c r="E922" s="57"/>
      <c r="F922" s="57"/>
      <c r="G922" s="57"/>
      <c r="H922" s="57"/>
      <c r="I922" s="57"/>
      <c r="J922" s="57"/>
      <c r="K922" s="57"/>
      <c r="L922" s="57"/>
      <c r="M922" s="57"/>
    </row>
    <row r="923" spans="5:13" s="44" customFormat="1" x14ac:dyDescent="0.35">
      <c r="E923" s="57"/>
      <c r="F923" s="57"/>
      <c r="G923" s="57"/>
      <c r="H923" s="57"/>
      <c r="I923" s="57"/>
      <c r="J923" s="57"/>
      <c r="K923" s="57"/>
      <c r="L923" s="57"/>
      <c r="M923" s="57"/>
    </row>
    <row r="924" spans="5:13" s="44" customFormat="1" x14ac:dyDescent="0.35">
      <c r="E924" s="57"/>
      <c r="F924" s="57"/>
      <c r="G924" s="57"/>
      <c r="H924" s="57"/>
      <c r="I924" s="57"/>
      <c r="J924" s="57"/>
      <c r="K924" s="57"/>
      <c r="L924" s="57"/>
      <c r="M924" s="57"/>
    </row>
    <row r="925" spans="5:13" s="44" customFormat="1" x14ac:dyDescent="0.35">
      <c r="E925" s="57"/>
      <c r="F925" s="57"/>
      <c r="G925" s="57"/>
      <c r="H925" s="57"/>
      <c r="I925" s="57"/>
      <c r="J925" s="57"/>
      <c r="K925" s="57"/>
      <c r="L925" s="57"/>
      <c r="M925" s="57"/>
    </row>
    <row r="926" spans="5:13" s="44" customFormat="1" x14ac:dyDescent="0.35">
      <c r="E926" s="57"/>
      <c r="F926" s="57"/>
      <c r="G926" s="57"/>
      <c r="H926" s="57"/>
      <c r="I926" s="57"/>
      <c r="J926" s="57"/>
      <c r="K926" s="57"/>
      <c r="L926" s="57"/>
      <c r="M926" s="57"/>
    </row>
    <row r="927" spans="5:13" s="44" customFormat="1" x14ac:dyDescent="0.35">
      <c r="E927" s="57"/>
      <c r="F927" s="57"/>
      <c r="G927" s="57"/>
      <c r="H927" s="57"/>
      <c r="I927" s="57"/>
      <c r="J927" s="57"/>
      <c r="K927" s="57"/>
      <c r="L927" s="57"/>
      <c r="M927" s="57"/>
    </row>
    <row r="928" spans="5:13" s="44" customFormat="1" x14ac:dyDescent="0.35">
      <c r="E928" s="57"/>
      <c r="F928" s="57"/>
      <c r="G928" s="57"/>
      <c r="H928" s="57"/>
      <c r="I928" s="57"/>
      <c r="J928" s="57"/>
      <c r="K928" s="57"/>
      <c r="L928" s="57"/>
      <c r="M928" s="57"/>
    </row>
    <row r="929" spans="5:13" s="44" customFormat="1" x14ac:dyDescent="0.35">
      <c r="E929" s="57"/>
      <c r="F929" s="57"/>
      <c r="G929" s="57"/>
      <c r="H929" s="57"/>
      <c r="I929" s="57"/>
      <c r="J929" s="57"/>
      <c r="K929" s="57"/>
      <c r="L929" s="57"/>
      <c r="M929" s="57"/>
    </row>
    <row r="930" spans="5:13" s="44" customFormat="1" x14ac:dyDescent="0.35">
      <c r="E930" s="57"/>
      <c r="F930" s="57"/>
      <c r="G930" s="57"/>
      <c r="H930" s="57"/>
      <c r="I930" s="57"/>
      <c r="J930" s="57"/>
      <c r="K930" s="57"/>
      <c r="L930" s="57"/>
      <c r="M930" s="57"/>
    </row>
    <row r="931" spans="5:13" s="44" customFormat="1" x14ac:dyDescent="0.35">
      <c r="E931" s="57"/>
      <c r="F931" s="57"/>
      <c r="G931" s="57"/>
      <c r="H931" s="57"/>
      <c r="I931" s="57"/>
      <c r="J931" s="57"/>
      <c r="K931" s="57"/>
      <c r="L931" s="57"/>
      <c r="M931" s="57"/>
    </row>
    <row r="932" spans="5:13" s="44" customFormat="1" x14ac:dyDescent="0.35">
      <c r="E932" s="57"/>
      <c r="F932" s="57"/>
      <c r="G932" s="57"/>
      <c r="H932" s="57"/>
      <c r="I932" s="57"/>
      <c r="J932" s="57"/>
      <c r="K932" s="57"/>
      <c r="L932" s="57"/>
      <c r="M932" s="57"/>
    </row>
    <row r="933" spans="5:13" s="44" customFormat="1" x14ac:dyDescent="0.35">
      <c r="E933" s="57"/>
      <c r="F933" s="57"/>
      <c r="G933" s="57"/>
      <c r="H933" s="57"/>
      <c r="I933" s="57"/>
      <c r="J933" s="57"/>
      <c r="K933" s="57"/>
      <c r="L933" s="57"/>
      <c r="M933" s="57"/>
    </row>
    <row r="934" spans="5:13" s="44" customFormat="1" x14ac:dyDescent="0.35">
      <c r="E934" s="57"/>
      <c r="F934" s="57"/>
      <c r="G934" s="57"/>
      <c r="H934" s="57"/>
      <c r="I934" s="57"/>
      <c r="J934" s="57"/>
      <c r="K934" s="57"/>
      <c r="L934" s="57"/>
      <c r="M934" s="57"/>
    </row>
    <row r="935" spans="5:13" s="44" customFormat="1" x14ac:dyDescent="0.35">
      <c r="E935" s="57"/>
      <c r="F935" s="57"/>
      <c r="G935" s="57"/>
      <c r="H935" s="57"/>
      <c r="I935" s="57"/>
      <c r="J935" s="57"/>
      <c r="K935" s="57"/>
      <c r="L935" s="57"/>
      <c r="M935" s="57"/>
    </row>
    <row r="936" spans="5:13" s="44" customFormat="1" x14ac:dyDescent="0.35">
      <c r="E936" s="57"/>
      <c r="F936" s="57"/>
      <c r="G936" s="57"/>
      <c r="H936" s="57"/>
      <c r="I936" s="57"/>
      <c r="J936" s="57"/>
      <c r="K936" s="57"/>
      <c r="L936" s="57"/>
      <c r="M936" s="57"/>
    </row>
    <row r="937" spans="5:13" s="44" customFormat="1" x14ac:dyDescent="0.35">
      <c r="E937" s="57"/>
      <c r="F937" s="57"/>
      <c r="G937" s="57"/>
      <c r="H937" s="57"/>
      <c r="I937" s="57"/>
      <c r="J937" s="57"/>
      <c r="K937" s="57"/>
      <c r="L937" s="57"/>
      <c r="M937" s="57"/>
    </row>
    <row r="938" spans="5:13" s="44" customFormat="1" x14ac:dyDescent="0.35">
      <c r="E938" s="57"/>
      <c r="F938" s="57"/>
      <c r="G938" s="57"/>
      <c r="H938" s="57"/>
      <c r="I938" s="57"/>
      <c r="J938" s="57"/>
      <c r="K938" s="57"/>
      <c r="L938" s="57"/>
      <c r="M938" s="57"/>
    </row>
    <row r="939" spans="5:13" s="44" customFormat="1" x14ac:dyDescent="0.35">
      <c r="E939" s="57"/>
      <c r="F939" s="57"/>
      <c r="G939" s="57"/>
      <c r="H939" s="57"/>
      <c r="I939" s="57"/>
      <c r="J939" s="57"/>
      <c r="K939" s="57"/>
      <c r="L939" s="57"/>
      <c r="M939" s="57"/>
    </row>
    <row r="940" spans="5:13" s="44" customFormat="1" x14ac:dyDescent="0.35">
      <c r="E940" s="57"/>
      <c r="F940" s="57"/>
      <c r="G940" s="57"/>
      <c r="H940" s="57"/>
      <c r="I940" s="57"/>
      <c r="J940" s="57"/>
      <c r="K940" s="57"/>
      <c r="L940" s="57"/>
      <c r="M940" s="57"/>
    </row>
    <row r="941" spans="5:13" s="44" customFormat="1" x14ac:dyDescent="0.35">
      <c r="E941" s="57"/>
      <c r="F941" s="57"/>
      <c r="G941" s="57"/>
      <c r="H941" s="57"/>
      <c r="I941" s="57"/>
      <c r="J941" s="57"/>
      <c r="K941" s="57"/>
      <c r="L941" s="57"/>
      <c r="M941" s="57"/>
    </row>
    <row r="942" spans="5:13" s="44" customFormat="1" x14ac:dyDescent="0.35">
      <c r="E942" s="57"/>
      <c r="F942" s="57"/>
      <c r="G942" s="57"/>
      <c r="H942" s="57"/>
      <c r="I942" s="57"/>
      <c r="J942" s="57"/>
      <c r="K942" s="57"/>
      <c r="L942" s="57"/>
      <c r="M942" s="57"/>
    </row>
    <row r="943" spans="5:13" s="44" customFormat="1" x14ac:dyDescent="0.35">
      <c r="E943" s="57"/>
      <c r="F943" s="57"/>
      <c r="G943" s="57"/>
      <c r="H943" s="57"/>
      <c r="I943" s="57"/>
      <c r="J943" s="57"/>
      <c r="K943" s="57"/>
      <c r="L943" s="57"/>
      <c r="M943" s="57"/>
    </row>
    <row r="944" spans="5:13" s="44" customFormat="1" x14ac:dyDescent="0.35">
      <c r="E944" s="57"/>
      <c r="F944" s="57"/>
      <c r="G944" s="57"/>
      <c r="H944" s="57"/>
      <c r="I944" s="57"/>
      <c r="J944" s="57"/>
      <c r="K944" s="57"/>
      <c r="L944" s="57"/>
      <c r="M944" s="57"/>
    </row>
    <row r="945" spans="5:13" s="44" customFormat="1" x14ac:dyDescent="0.35">
      <c r="E945" s="57"/>
      <c r="F945" s="57"/>
      <c r="G945" s="57"/>
      <c r="H945" s="57"/>
      <c r="I945" s="57"/>
      <c r="J945" s="57"/>
      <c r="K945" s="57"/>
      <c r="L945" s="57"/>
      <c r="M945" s="57"/>
    </row>
    <row r="946" spans="5:13" s="44" customFormat="1" x14ac:dyDescent="0.35">
      <c r="E946" s="57"/>
      <c r="F946" s="57"/>
      <c r="G946" s="57"/>
      <c r="H946" s="57"/>
      <c r="I946" s="57"/>
      <c r="J946" s="57"/>
      <c r="K946" s="57"/>
      <c r="L946" s="57"/>
      <c r="M946" s="57"/>
    </row>
    <row r="947" spans="5:13" s="44" customFormat="1" x14ac:dyDescent="0.35">
      <c r="E947" s="57"/>
      <c r="F947" s="57"/>
      <c r="G947" s="57"/>
      <c r="H947" s="57"/>
      <c r="I947" s="57"/>
      <c r="J947" s="57"/>
      <c r="K947" s="57"/>
      <c r="L947" s="57"/>
      <c r="M947" s="57"/>
    </row>
    <row r="948" spans="5:13" s="44" customFormat="1" x14ac:dyDescent="0.35">
      <c r="E948" s="57"/>
      <c r="F948" s="57"/>
      <c r="G948" s="57"/>
      <c r="H948" s="57"/>
      <c r="I948" s="57"/>
      <c r="J948" s="57"/>
      <c r="K948" s="57"/>
      <c r="L948" s="57"/>
      <c r="M948" s="57"/>
    </row>
    <row r="949" spans="5:13" s="44" customFormat="1" x14ac:dyDescent="0.35">
      <c r="E949" s="57"/>
      <c r="F949" s="57"/>
      <c r="G949" s="57"/>
      <c r="H949" s="57"/>
      <c r="I949" s="57"/>
      <c r="J949" s="57"/>
      <c r="K949" s="57"/>
      <c r="L949" s="57"/>
      <c r="M949" s="57"/>
    </row>
    <row r="950" spans="5:13" s="44" customFormat="1" x14ac:dyDescent="0.35">
      <c r="E950" s="57"/>
      <c r="F950" s="57"/>
      <c r="G950" s="57"/>
      <c r="H950" s="57"/>
      <c r="I950" s="57"/>
      <c r="J950" s="57"/>
      <c r="K950" s="57"/>
      <c r="L950" s="57"/>
      <c r="M950" s="57"/>
    </row>
    <row r="951" spans="5:13" s="44" customFormat="1" x14ac:dyDescent="0.35">
      <c r="E951" s="57"/>
      <c r="F951" s="57"/>
      <c r="G951" s="57"/>
      <c r="H951" s="57"/>
      <c r="I951" s="57"/>
      <c r="J951" s="57"/>
      <c r="K951" s="57"/>
      <c r="L951" s="57"/>
      <c r="M951" s="57"/>
    </row>
    <row r="952" spans="5:13" s="44" customFormat="1" x14ac:dyDescent="0.35">
      <c r="E952" s="57"/>
      <c r="F952" s="57"/>
      <c r="G952" s="57"/>
      <c r="H952" s="57"/>
      <c r="I952" s="57"/>
      <c r="J952" s="57"/>
      <c r="K952" s="57"/>
      <c r="L952" s="57"/>
      <c r="M952" s="57"/>
    </row>
    <row r="953" spans="5:13" s="44" customFormat="1" x14ac:dyDescent="0.35">
      <c r="E953" s="57"/>
      <c r="F953" s="57"/>
      <c r="G953" s="57"/>
      <c r="H953" s="57"/>
      <c r="I953" s="57"/>
      <c r="J953" s="57"/>
      <c r="K953" s="57"/>
      <c r="L953" s="57"/>
      <c r="M953" s="57"/>
    </row>
    <row r="954" spans="5:13" s="44" customFormat="1" x14ac:dyDescent="0.35">
      <c r="E954" s="57"/>
      <c r="F954" s="57"/>
      <c r="G954" s="57"/>
      <c r="H954" s="57"/>
      <c r="I954" s="57"/>
      <c r="J954" s="57"/>
      <c r="K954" s="57"/>
      <c r="L954" s="57"/>
      <c r="M954" s="57"/>
    </row>
    <row r="955" spans="5:13" s="44" customFormat="1" x14ac:dyDescent="0.35">
      <c r="E955" s="57"/>
      <c r="F955" s="57"/>
      <c r="G955" s="57"/>
      <c r="H955" s="57"/>
      <c r="I955" s="57"/>
      <c r="J955" s="57"/>
      <c r="K955" s="57"/>
      <c r="L955" s="57"/>
      <c r="M955" s="57"/>
    </row>
    <row r="956" spans="5:13" s="44" customFormat="1" x14ac:dyDescent="0.35">
      <c r="E956" s="57"/>
      <c r="F956" s="57"/>
      <c r="G956" s="57"/>
      <c r="H956" s="57"/>
      <c r="I956" s="57"/>
      <c r="J956" s="57"/>
      <c r="K956" s="57"/>
      <c r="L956" s="57"/>
      <c r="M956" s="57"/>
    </row>
    <row r="957" spans="5:13" s="44" customFormat="1" x14ac:dyDescent="0.35">
      <c r="E957" s="57"/>
      <c r="F957" s="57"/>
      <c r="G957" s="57"/>
      <c r="H957" s="57"/>
      <c r="I957" s="57"/>
      <c r="J957" s="57"/>
      <c r="K957" s="57"/>
      <c r="L957" s="57"/>
      <c r="M957" s="57"/>
    </row>
    <row r="958" spans="5:13" s="44" customFormat="1" x14ac:dyDescent="0.35">
      <c r="E958" s="57"/>
      <c r="F958" s="57"/>
      <c r="G958" s="57"/>
      <c r="H958" s="57"/>
      <c r="I958" s="57"/>
      <c r="J958" s="57"/>
      <c r="K958" s="57"/>
      <c r="L958" s="57"/>
      <c r="M958" s="57"/>
    </row>
    <row r="959" spans="5:13" s="44" customFormat="1" x14ac:dyDescent="0.35">
      <c r="E959" s="57"/>
      <c r="F959" s="57"/>
      <c r="G959" s="57"/>
      <c r="H959" s="57"/>
      <c r="I959" s="57"/>
      <c r="J959" s="57"/>
      <c r="K959" s="57"/>
      <c r="L959" s="57"/>
      <c r="M959" s="57"/>
    </row>
    <row r="960" spans="5:13" s="44" customFormat="1" x14ac:dyDescent="0.35">
      <c r="E960" s="57"/>
      <c r="F960" s="57"/>
      <c r="G960" s="57"/>
      <c r="H960" s="57"/>
      <c r="I960" s="57"/>
      <c r="J960" s="57"/>
      <c r="K960" s="57"/>
      <c r="L960" s="57"/>
      <c r="M960" s="57"/>
    </row>
    <row r="961" spans="5:13" s="44" customFormat="1" x14ac:dyDescent="0.35">
      <c r="E961" s="57"/>
      <c r="F961" s="57"/>
      <c r="G961" s="57"/>
      <c r="H961" s="57"/>
      <c r="I961" s="57"/>
      <c r="J961" s="57"/>
      <c r="K961" s="57"/>
      <c r="L961" s="57"/>
      <c r="M961" s="57"/>
    </row>
    <row r="962" spans="5:13" s="44" customFormat="1" x14ac:dyDescent="0.35">
      <c r="E962" s="57"/>
      <c r="F962" s="57"/>
      <c r="G962" s="57"/>
      <c r="H962" s="57"/>
      <c r="I962" s="57"/>
      <c r="J962" s="57"/>
      <c r="K962" s="57"/>
      <c r="L962" s="57"/>
      <c r="M962" s="57"/>
    </row>
    <row r="963" spans="5:13" s="44" customFormat="1" x14ac:dyDescent="0.35">
      <c r="E963" s="57"/>
      <c r="F963" s="57"/>
      <c r="G963" s="57"/>
      <c r="H963" s="57"/>
      <c r="I963" s="57"/>
      <c r="J963" s="57"/>
      <c r="K963" s="57"/>
      <c r="L963" s="57"/>
      <c r="M963" s="57"/>
    </row>
    <row r="964" spans="5:13" s="44" customFormat="1" x14ac:dyDescent="0.35">
      <c r="E964" s="57"/>
      <c r="F964" s="57"/>
      <c r="G964" s="57"/>
      <c r="H964" s="57"/>
      <c r="I964" s="57"/>
      <c r="J964" s="57"/>
      <c r="K964" s="57"/>
      <c r="L964" s="57"/>
      <c r="M964" s="57"/>
    </row>
    <row r="965" spans="5:13" s="44" customFormat="1" x14ac:dyDescent="0.35">
      <c r="E965" s="57"/>
      <c r="F965" s="57"/>
      <c r="G965" s="57"/>
      <c r="H965" s="57"/>
      <c r="I965" s="57"/>
      <c r="J965" s="57"/>
      <c r="K965" s="57"/>
      <c r="L965" s="57"/>
      <c r="M965" s="57"/>
    </row>
    <row r="966" spans="5:13" s="44" customFormat="1" x14ac:dyDescent="0.35">
      <c r="E966" s="57"/>
      <c r="F966" s="57"/>
      <c r="G966" s="57"/>
      <c r="H966" s="57"/>
      <c r="I966" s="57"/>
      <c r="J966" s="57"/>
      <c r="K966" s="57"/>
      <c r="L966" s="57"/>
      <c r="M966" s="57"/>
    </row>
    <row r="967" spans="5:13" s="44" customFormat="1" x14ac:dyDescent="0.35">
      <c r="E967" s="57"/>
      <c r="F967" s="57"/>
      <c r="G967" s="57"/>
      <c r="H967" s="57"/>
      <c r="I967" s="57"/>
      <c r="J967" s="57"/>
      <c r="K967" s="57"/>
      <c r="L967" s="57"/>
      <c r="M967" s="57"/>
    </row>
    <row r="968" spans="5:13" s="44" customFormat="1" x14ac:dyDescent="0.35">
      <c r="E968" s="57"/>
      <c r="F968" s="57"/>
      <c r="G968" s="57"/>
      <c r="H968" s="57"/>
      <c r="I968" s="57"/>
      <c r="J968" s="57"/>
      <c r="K968" s="57"/>
      <c r="L968" s="57"/>
      <c r="M968" s="57"/>
    </row>
    <row r="969" spans="5:13" s="44" customFormat="1" x14ac:dyDescent="0.35">
      <c r="E969" s="57"/>
      <c r="F969" s="57"/>
      <c r="G969" s="57"/>
      <c r="H969" s="57"/>
      <c r="I969" s="57"/>
      <c r="J969" s="57"/>
      <c r="K969" s="57"/>
      <c r="L969" s="57"/>
      <c r="M969" s="57"/>
    </row>
    <row r="970" spans="5:13" s="44" customFormat="1" x14ac:dyDescent="0.35">
      <c r="E970" s="57"/>
      <c r="F970" s="57"/>
      <c r="G970" s="57"/>
      <c r="H970" s="57"/>
      <c r="I970" s="57"/>
      <c r="J970" s="57"/>
      <c r="K970" s="57"/>
      <c r="L970" s="57"/>
      <c r="M970" s="57"/>
    </row>
    <row r="971" spans="5:13" s="44" customFormat="1" x14ac:dyDescent="0.35">
      <c r="E971" s="57"/>
      <c r="F971" s="57"/>
      <c r="G971" s="57"/>
      <c r="H971" s="57"/>
      <c r="I971" s="57"/>
      <c r="J971" s="57"/>
      <c r="K971" s="57"/>
      <c r="L971" s="57"/>
      <c r="M971" s="57"/>
    </row>
    <row r="972" spans="5:13" s="44" customFormat="1" x14ac:dyDescent="0.35">
      <c r="E972" s="57"/>
      <c r="F972" s="57"/>
      <c r="G972" s="57"/>
      <c r="H972" s="57"/>
      <c r="I972" s="57"/>
      <c r="J972" s="57"/>
      <c r="K972" s="57"/>
      <c r="L972" s="57"/>
      <c r="M972" s="57"/>
    </row>
    <row r="973" spans="5:13" s="44" customFormat="1" x14ac:dyDescent="0.35">
      <c r="E973" s="57"/>
      <c r="F973" s="57"/>
      <c r="G973" s="57"/>
      <c r="H973" s="57"/>
      <c r="I973" s="57"/>
      <c r="J973" s="57"/>
      <c r="K973" s="57"/>
      <c r="L973" s="57"/>
      <c r="M973" s="57"/>
    </row>
    <row r="974" spans="5:13" s="44" customFormat="1" x14ac:dyDescent="0.35">
      <c r="E974" s="57"/>
      <c r="F974" s="57"/>
      <c r="G974" s="57"/>
      <c r="H974" s="57"/>
      <c r="I974" s="57"/>
      <c r="J974" s="57"/>
      <c r="K974" s="57"/>
      <c r="L974" s="57"/>
      <c r="M974" s="57"/>
    </row>
    <row r="975" spans="5:13" s="44" customFormat="1" x14ac:dyDescent="0.35">
      <c r="E975" s="57"/>
      <c r="F975" s="57"/>
      <c r="G975" s="57"/>
      <c r="H975" s="57"/>
      <c r="I975" s="57"/>
      <c r="J975" s="57"/>
      <c r="K975" s="57"/>
      <c r="L975" s="57"/>
      <c r="M975" s="57"/>
    </row>
    <row r="976" spans="5:13" s="44" customFormat="1" x14ac:dyDescent="0.35">
      <c r="E976" s="57"/>
      <c r="F976" s="57"/>
      <c r="G976" s="57"/>
      <c r="H976" s="57"/>
      <c r="I976" s="57"/>
      <c r="J976" s="57"/>
      <c r="K976" s="57"/>
      <c r="L976" s="57"/>
      <c r="M976" s="57"/>
    </row>
    <row r="977" spans="5:13" s="44" customFormat="1" x14ac:dyDescent="0.35">
      <c r="E977" s="57"/>
      <c r="F977" s="57"/>
      <c r="G977" s="57"/>
      <c r="H977" s="57"/>
      <c r="I977" s="57"/>
      <c r="J977" s="57"/>
      <c r="K977" s="57"/>
      <c r="L977" s="57"/>
      <c r="M977" s="57"/>
    </row>
    <row r="978" spans="5:13" s="44" customFormat="1" x14ac:dyDescent="0.35">
      <c r="E978" s="57"/>
      <c r="F978" s="57"/>
      <c r="G978" s="57"/>
      <c r="H978" s="57"/>
      <c r="I978" s="57"/>
      <c r="J978" s="57"/>
      <c r="K978" s="57"/>
      <c r="L978" s="57"/>
      <c r="M978" s="57"/>
    </row>
    <row r="979" spans="5:13" s="44" customFormat="1" x14ac:dyDescent="0.35">
      <c r="E979" s="57"/>
      <c r="F979" s="57"/>
      <c r="G979" s="57"/>
      <c r="H979" s="57"/>
      <c r="I979" s="57"/>
      <c r="J979" s="57"/>
      <c r="K979" s="57"/>
      <c r="L979" s="57"/>
      <c r="M979" s="57"/>
    </row>
    <row r="980" spans="5:13" s="44" customFormat="1" x14ac:dyDescent="0.35">
      <c r="E980" s="57"/>
      <c r="F980" s="57"/>
      <c r="G980" s="57"/>
      <c r="H980" s="57"/>
      <c r="I980" s="57"/>
      <c r="J980" s="57"/>
      <c r="K980" s="57"/>
      <c r="L980" s="57"/>
      <c r="M980" s="57"/>
    </row>
  </sheetData>
  <mergeCells count="502">
    <mergeCell ref="B1:P1"/>
    <mergeCell ref="B4:P4"/>
    <mergeCell ref="B6:P6"/>
    <mergeCell ref="C9:C10"/>
    <mergeCell ref="D9:G9"/>
    <mergeCell ref="H9:J9"/>
    <mergeCell ref="K9:O9"/>
    <mergeCell ref="D12:G12"/>
    <mergeCell ref="H12:J12"/>
    <mergeCell ref="D13:G13"/>
    <mergeCell ref="H13:J13"/>
    <mergeCell ref="D14:G14"/>
    <mergeCell ref="H14:J14"/>
    <mergeCell ref="AS9:AT9"/>
    <mergeCell ref="AV9:AZ9"/>
    <mergeCell ref="D10:G10"/>
    <mergeCell ref="H10:J10"/>
    <mergeCell ref="D11:G11"/>
    <mergeCell ref="H11:J11"/>
    <mergeCell ref="D18:G18"/>
    <mergeCell ref="H18:J18"/>
    <mergeCell ref="D19:G19"/>
    <mergeCell ref="H19:J19"/>
    <mergeCell ref="T19:AQ19"/>
    <mergeCell ref="AS19:AT19"/>
    <mergeCell ref="D15:G15"/>
    <mergeCell ref="H15:J15"/>
    <mergeCell ref="D16:G16"/>
    <mergeCell ref="H16:J16"/>
    <mergeCell ref="D17:G17"/>
    <mergeCell ref="H17:J17"/>
    <mergeCell ref="D23:G23"/>
    <mergeCell ref="H23:J23"/>
    <mergeCell ref="D24:G24"/>
    <mergeCell ref="H24:J24"/>
    <mergeCell ref="D25:G25"/>
    <mergeCell ref="H25:J25"/>
    <mergeCell ref="AV19:AZ19"/>
    <mergeCell ref="D20:G20"/>
    <mergeCell ref="H20:J20"/>
    <mergeCell ref="D21:G21"/>
    <mergeCell ref="H21:J21"/>
    <mergeCell ref="D22:G22"/>
    <mergeCell ref="H22:J22"/>
    <mergeCell ref="AS28:AT28"/>
    <mergeCell ref="AV28:AZ28"/>
    <mergeCell ref="D29:G29"/>
    <mergeCell ref="H29:J29"/>
    <mergeCell ref="D30:F30"/>
    <mergeCell ref="H30:J30"/>
    <mergeCell ref="D26:G26"/>
    <mergeCell ref="H26:J26"/>
    <mergeCell ref="D27:G27"/>
    <mergeCell ref="H27:J27"/>
    <mergeCell ref="D28:G28"/>
    <mergeCell ref="H28:J28"/>
    <mergeCell ref="AS39:AT39"/>
    <mergeCell ref="AV39:AZ39"/>
    <mergeCell ref="D31:G31"/>
    <mergeCell ref="H31:J31"/>
    <mergeCell ref="D32:G32"/>
    <mergeCell ref="H32:J32"/>
    <mergeCell ref="B35:P35"/>
    <mergeCell ref="B37:D37"/>
    <mergeCell ref="E37:F37"/>
    <mergeCell ref="B40:D40"/>
    <mergeCell ref="E40:F40"/>
    <mergeCell ref="B41:D41"/>
    <mergeCell ref="E41:F41"/>
    <mergeCell ref="B42:D42"/>
    <mergeCell ref="E42:F42"/>
    <mergeCell ref="B38:D38"/>
    <mergeCell ref="E38:F38"/>
    <mergeCell ref="B39:D39"/>
    <mergeCell ref="E39:F39"/>
    <mergeCell ref="AS59:AT59"/>
    <mergeCell ref="AV59:AZ59"/>
    <mergeCell ref="AS48:AT48"/>
    <mergeCell ref="AV48:AZ48"/>
    <mergeCell ref="B49:D49"/>
    <mergeCell ref="B50:D50"/>
    <mergeCell ref="B51:D51"/>
    <mergeCell ref="B52:D52"/>
    <mergeCell ref="B43:D43"/>
    <mergeCell ref="E43:F43"/>
    <mergeCell ref="B45:D45"/>
    <mergeCell ref="B46:D46"/>
    <mergeCell ref="B47:D47"/>
    <mergeCell ref="B48:D48"/>
    <mergeCell ref="C60:F60"/>
    <mergeCell ref="C61:F61"/>
    <mergeCell ref="C62:F62"/>
    <mergeCell ref="C63:F63"/>
    <mergeCell ref="C64:F64"/>
    <mergeCell ref="B67:H67"/>
    <mergeCell ref="B54:D54"/>
    <mergeCell ref="B57:P57"/>
    <mergeCell ref="B59:G59"/>
    <mergeCell ref="H59:K59"/>
    <mergeCell ref="C69:F69"/>
    <mergeCell ref="G69:H69"/>
    <mergeCell ref="I69:J69"/>
    <mergeCell ref="K69:L69"/>
    <mergeCell ref="M69:N69"/>
    <mergeCell ref="O69:P69"/>
    <mergeCell ref="I67:P67"/>
    <mergeCell ref="C68:F68"/>
    <mergeCell ref="G68:H68"/>
    <mergeCell ref="I68:J68"/>
    <mergeCell ref="K68:L68"/>
    <mergeCell ref="M68:N68"/>
    <mergeCell ref="O68:P68"/>
    <mergeCell ref="C71:F71"/>
    <mergeCell ref="G71:H71"/>
    <mergeCell ref="I71:J71"/>
    <mergeCell ref="K71:L71"/>
    <mergeCell ref="M71:N71"/>
    <mergeCell ref="O71:P71"/>
    <mergeCell ref="C70:F70"/>
    <mergeCell ref="G70:H70"/>
    <mergeCell ref="I70:J70"/>
    <mergeCell ref="K70:L70"/>
    <mergeCell ref="M70:N70"/>
    <mergeCell ref="O70:P70"/>
    <mergeCell ref="B75:P75"/>
    <mergeCell ref="G77:I77"/>
    <mergeCell ref="J80:M80"/>
    <mergeCell ref="C81:F81"/>
    <mergeCell ref="C82:F82"/>
    <mergeCell ref="C83:F83"/>
    <mergeCell ref="C72:F72"/>
    <mergeCell ref="G72:H72"/>
    <mergeCell ref="I72:J72"/>
    <mergeCell ref="K72:L72"/>
    <mergeCell ref="M72:N72"/>
    <mergeCell ref="O72:P72"/>
    <mergeCell ref="O92:P92"/>
    <mergeCell ref="C93:F93"/>
    <mergeCell ref="G93:H93"/>
    <mergeCell ref="I93:J93"/>
    <mergeCell ref="K93:L93"/>
    <mergeCell ref="M93:N93"/>
    <mergeCell ref="O93:P93"/>
    <mergeCell ref="C84:F84"/>
    <mergeCell ref="C85:F85"/>
    <mergeCell ref="B88:P88"/>
    <mergeCell ref="B91:H91"/>
    <mergeCell ref="I91:P91"/>
    <mergeCell ref="C92:F92"/>
    <mergeCell ref="G92:H92"/>
    <mergeCell ref="I92:J92"/>
    <mergeCell ref="K92:L92"/>
    <mergeCell ref="M92:N92"/>
    <mergeCell ref="C95:F95"/>
    <mergeCell ref="G95:H95"/>
    <mergeCell ref="I95:J95"/>
    <mergeCell ref="K95:L95"/>
    <mergeCell ref="M95:N95"/>
    <mergeCell ref="O95:P95"/>
    <mergeCell ref="C94:F94"/>
    <mergeCell ref="G94:H94"/>
    <mergeCell ref="I94:J94"/>
    <mergeCell ref="K94:L94"/>
    <mergeCell ref="M94:N94"/>
    <mergeCell ref="O94:P94"/>
    <mergeCell ref="B98:F98"/>
    <mergeCell ref="G98:H98"/>
    <mergeCell ref="I98:J98"/>
    <mergeCell ref="K98:L98"/>
    <mergeCell ref="M98:N98"/>
    <mergeCell ref="O98:P98"/>
    <mergeCell ref="C96:F96"/>
    <mergeCell ref="G96:H96"/>
    <mergeCell ref="I96:J96"/>
    <mergeCell ref="K96:L96"/>
    <mergeCell ref="M96:N96"/>
    <mergeCell ref="O96:P96"/>
    <mergeCell ref="B107:D107"/>
    <mergeCell ref="F107:G107"/>
    <mergeCell ref="B108:D108"/>
    <mergeCell ref="F108:G108"/>
    <mergeCell ref="B109:D109"/>
    <mergeCell ref="F109:G109"/>
    <mergeCell ref="B101:P101"/>
    <mergeCell ref="B102:P102"/>
    <mergeCell ref="B104:E104"/>
    <mergeCell ref="F104:G104"/>
    <mergeCell ref="B106:D106"/>
    <mergeCell ref="F106:G106"/>
    <mergeCell ref="B118:C118"/>
    <mergeCell ref="D118:E118"/>
    <mergeCell ref="B119:C119"/>
    <mergeCell ref="D119:E119"/>
    <mergeCell ref="B120:C120"/>
    <mergeCell ref="D120:E120"/>
    <mergeCell ref="C110:D110"/>
    <mergeCell ref="F110:G110"/>
    <mergeCell ref="B111:D111"/>
    <mergeCell ref="F111:G111"/>
    <mergeCell ref="B114:P114"/>
    <mergeCell ref="B117:C117"/>
    <mergeCell ref="D117:E117"/>
    <mergeCell ref="C122:D122"/>
    <mergeCell ref="E122:F122"/>
    <mergeCell ref="G122:H122"/>
    <mergeCell ref="I122:J122"/>
    <mergeCell ref="K122:L122"/>
    <mergeCell ref="C123:D123"/>
    <mergeCell ref="E123:F123"/>
    <mergeCell ref="G123:H123"/>
    <mergeCell ref="I123:J123"/>
    <mergeCell ref="K123:L123"/>
    <mergeCell ref="C124:D124"/>
    <mergeCell ref="E124:F124"/>
    <mergeCell ref="G124:H124"/>
    <mergeCell ref="I124:J124"/>
    <mergeCell ref="K124:L124"/>
    <mergeCell ref="C125:D125"/>
    <mergeCell ref="E125:F125"/>
    <mergeCell ref="G125:H125"/>
    <mergeCell ref="I125:J125"/>
    <mergeCell ref="K125:L125"/>
    <mergeCell ref="C128:D128"/>
    <mergeCell ref="E128:F128"/>
    <mergeCell ref="G128:H128"/>
    <mergeCell ref="I128:J128"/>
    <mergeCell ref="K128:L128"/>
    <mergeCell ref="B131:P131"/>
    <mergeCell ref="C126:D126"/>
    <mergeCell ref="E126:F126"/>
    <mergeCell ref="G126:H126"/>
    <mergeCell ref="I126:J126"/>
    <mergeCell ref="K126:L126"/>
    <mergeCell ref="C127:D127"/>
    <mergeCell ref="E127:F127"/>
    <mergeCell ref="G127:H127"/>
    <mergeCell ref="I127:J127"/>
    <mergeCell ref="K127:L127"/>
    <mergeCell ref="B133:P133"/>
    <mergeCell ref="B134:P134"/>
    <mergeCell ref="B136:C137"/>
    <mergeCell ref="B140:C141"/>
    <mergeCell ref="D140:M140"/>
    <mergeCell ref="D141:E141"/>
    <mergeCell ref="F141:G141"/>
    <mergeCell ref="H141:I141"/>
    <mergeCell ref="J141:K141"/>
    <mergeCell ref="L141:M141"/>
    <mergeCell ref="B143:C143"/>
    <mergeCell ref="D143:E143"/>
    <mergeCell ref="F143:G143"/>
    <mergeCell ref="H143:I143"/>
    <mergeCell ref="J143:K143"/>
    <mergeCell ref="L143:M143"/>
    <mergeCell ref="B142:C142"/>
    <mergeCell ref="D142:E142"/>
    <mergeCell ref="F142:G142"/>
    <mergeCell ref="H142:I142"/>
    <mergeCell ref="J142:K142"/>
    <mergeCell ref="L142:M142"/>
    <mergeCell ref="B145:C145"/>
    <mergeCell ref="D145:E145"/>
    <mergeCell ref="F145:G145"/>
    <mergeCell ref="H145:I145"/>
    <mergeCell ref="J145:K145"/>
    <mergeCell ref="L145:M145"/>
    <mergeCell ref="B144:C144"/>
    <mergeCell ref="D144:E144"/>
    <mergeCell ref="F144:G144"/>
    <mergeCell ref="H144:I144"/>
    <mergeCell ref="J144:K144"/>
    <mergeCell ref="L144:M144"/>
    <mergeCell ref="D151:E152"/>
    <mergeCell ref="F151:F152"/>
    <mergeCell ref="H151:I152"/>
    <mergeCell ref="J151:J152"/>
    <mergeCell ref="L151:M152"/>
    <mergeCell ref="N151:N152"/>
    <mergeCell ref="B146:C146"/>
    <mergeCell ref="D146:E146"/>
    <mergeCell ref="F146:G146"/>
    <mergeCell ref="H146:I146"/>
    <mergeCell ref="J146:K146"/>
    <mergeCell ref="L146:M146"/>
    <mergeCell ref="B155:F155"/>
    <mergeCell ref="G155:P155"/>
    <mergeCell ref="B156:D156"/>
    <mergeCell ref="E156:F156"/>
    <mergeCell ref="G156:H156"/>
    <mergeCell ref="I156:J156"/>
    <mergeCell ref="K156:L156"/>
    <mergeCell ref="M156:N156"/>
    <mergeCell ref="O156:P156"/>
    <mergeCell ref="O157:P157"/>
    <mergeCell ref="B158:D158"/>
    <mergeCell ref="E158:F158"/>
    <mergeCell ref="G158:H158"/>
    <mergeCell ref="I158:J158"/>
    <mergeCell ref="K158:L158"/>
    <mergeCell ref="M158:N158"/>
    <mergeCell ref="O158:P158"/>
    <mergeCell ref="B157:D157"/>
    <mergeCell ref="E157:F157"/>
    <mergeCell ref="G157:H157"/>
    <mergeCell ref="I157:J157"/>
    <mergeCell ref="K157:L157"/>
    <mergeCell ref="M157:N157"/>
    <mergeCell ref="O159:P159"/>
    <mergeCell ref="B160:D160"/>
    <mergeCell ref="E160:F160"/>
    <mergeCell ref="G160:H160"/>
    <mergeCell ref="I160:J160"/>
    <mergeCell ref="K160:L160"/>
    <mergeCell ref="M160:N160"/>
    <mergeCell ref="O160:P160"/>
    <mergeCell ref="B159:D159"/>
    <mergeCell ref="E159:F159"/>
    <mergeCell ref="G159:H159"/>
    <mergeCell ref="I159:J159"/>
    <mergeCell ref="K159:L159"/>
    <mergeCell ref="M159:N159"/>
    <mergeCell ref="O161:P161"/>
    <mergeCell ref="B162:D162"/>
    <mergeCell ref="E162:F162"/>
    <mergeCell ref="G162:H162"/>
    <mergeCell ref="I162:J162"/>
    <mergeCell ref="K162:L162"/>
    <mergeCell ref="M162:N162"/>
    <mergeCell ref="O162:P162"/>
    <mergeCell ref="B161:D161"/>
    <mergeCell ref="E161:F161"/>
    <mergeCell ref="G161:H161"/>
    <mergeCell ref="I161:J161"/>
    <mergeCell ref="K161:L161"/>
    <mergeCell ref="M161:N161"/>
    <mergeCell ref="O163:P163"/>
    <mergeCell ref="B164:D164"/>
    <mergeCell ref="E164:F164"/>
    <mergeCell ref="G164:H164"/>
    <mergeCell ref="I164:J164"/>
    <mergeCell ref="K164:L164"/>
    <mergeCell ref="M164:N164"/>
    <mergeCell ref="O164:P164"/>
    <mergeCell ref="B163:D163"/>
    <mergeCell ref="E163:F163"/>
    <mergeCell ref="G163:H163"/>
    <mergeCell ref="I163:J163"/>
    <mergeCell ref="K163:L163"/>
    <mergeCell ref="M163:N163"/>
    <mergeCell ref="O165:P165"/>
    <mergeCell ref="B166:D166"/>
    <mergeCell ref="E166:F166"/>
    <mergeCell ref="G166:H166"/>
    <mergeCell ref="I166:J166"/>
    <mergeCell ref="K166:L166"/>
    <mergeCell ref="M166:N166"/>
    <mergeCell ref="O166:P166"/>
    <mergeCell ref="B165:D165"/>
    <mergeCell ref="E165:F165"/>
    <mergeCell ref="G165:H165"/>
    <mergeCell ref="I165:J165"/>
    <mergeCell ref="K165:L165"/>
    <mergeCell ref="M165:N165"/>
    <mergeCell ref="O167:P167"/>
    <mergeCell ref="B168:D168"/>
    <mergeCell ref="E168:F168"/>
    <mergeCell ref="G168:H168"/>
    <mergeCell ref="I168:J168"/>
    <mergeCell ref="K168:L168"/>
    <mergeCell ref="M168:N168"/>
    <mergeCell ref="O168:P168"/>
    <mergeCell ref="B167:D167"/>
    <mergeCell ref="E167:F167"/>
    <mergeCell ref="G167:H167"/>
    <mergeCell ref="I167:J167"/>
    <mergeCell ref="K167:L167"/>
    <mergeCell ref="M167:N167"/>
    <mergeCell ref="O169:P169"/>
    <mergeCell ref="B170:D170"/>
    <mergeCell ref="E170:F170"/>
    <mergeCell ref="G170:H170"/>
    <mergeCell ref="I170:J170"/>
    <mergeCell ref="K170:L170"/>
    <mergeCell ref="M170:N170"/>
    <mergeCell ref="O170:P170"/>
    <mergeCell ref="B169:D169"/>
    <mergeCell ref="E169:F169"/>
    <mergeCell ref="G169:H169"/>
    <mergeCell ref="I169:J169"/>
    <mergeCell ref="K169:L169"/>
    <mergeCell ref="M169:N169"/>
    <mergeCell ref="O171:P171"/>
    <mergeCell ref="B172:D172"/>
    <mergeCell ref="E172:F172"/>
    <mergeCell ref="G172:H172"/>
    <mergeCell ref="I172:J172"/>
    <mergeCell ref="K172:L172"/>
    <mergeCell ref="M172:N172"/>
    <mergeCell ref="O172:P172"/>
    <mergeCell ref="B171:D171"/>
    <mergeCell ref="E171:F171"/>
    <mergeCell ref="G171:H171"/>
    <mergeCell ref="I171:J171"/>
    <mergeCell ref="K171:L171"/>
    <mergeCell ref="M171:N171"/>
    <mergeCell ref="O173:P173"/>
    <mergeCell ref="B174:D174"/>
    <mergeCell ref="E174:F174"/>
    <mergeCell ref="G174:H174"/>
    <mergeCell ref="I174:J174"/>
    <mergeCell ref="K174:L174"/>
    <mergeCell ref="M174:N174"/>
    <mergeCell ref="O174:P174"/>
    <mergeCell ref="B173:D173"/>
    <mergeCell ref="E173:F173"/>
    <mergeCell ref="G173:H173"/>
    <mergeCell ref="I173:J173"/>
    <mergeCell ref="K173:L173"/>
    <mergeCell ref="M173:N173"/>
    <mergeCell ref="O175:P175"/>
    <mergeCell ref="B176:D176"/>
    <mergeCell ref="E176:F176"/>
    <mergeCell ref="G176:H176"/>
    <mergeCell ref="I176:J176"/>
    <mergeCell ref="K176:L176"/>
    <mergeCell ref="M176:N176"/>
    <mergeCell ref="O176:P176"/>
    <mergeCell ref="B175:D175"/>
    <mergeCell ref="E175:F175"/>
    <mergeCell ref="G175:H175"/>
    <mergeCell ref="I175:J175"/>
    <mergeCell ref="K175:L175"/>
    <mergeCell ref="M175:N175"/>
    <mergeCell ref="O177:P177"/>
    <mergeCell ref="B178:D178"/>
    <mergeCell ref="E178:F178"/>
    <mergeCell ref="G178:H178"/>
    <mergeCell ref="I178:J178"/>
    <mergeCell ref="K178:L178"/>
    <mergeCell ref="M178:N178"/>
    <mergeCell ref="O178:P178"/>
    <mergeCell ref="B177:D177"/>
    <mergeCell ref="E177:F177"/>
    <mergeCell ref="G177:H177"/>
    <mergeCell ref="I177:J177"/>
    <mergeCell ref="K177:L177"/>
    <mergeCell ref="M177:N177"/>
    <mergeCell ref="O179:P179"/>
    <mergeCell ref="B180:D180"/>
    <mergeCell ref="E180:F180"/>
    <mergeCell ref="G180:H180"/>
    <mergeCell ref="I180:J180"/>
    <mergeCell ref="K180:L180"/>
    <mergeCell ref="M180:N180"/>
    <mergeCell ref="O180:P180"/>
    <mergeCell ref="B179:D179"/>
    <mergeCell ref="E179:F179"/>
    <mergeCell ref="G179:H179"/>
    <mergeCell ref="I179:J179"/>
    <mergeCell ref="K179:L179"/>
    <mergeCell ref="M179:N179"/>
    <mergeCell ref="B184:F184"/>
    <mergeCell ref="G184:H184"/>
    <mergeCell ref="I184:J184"/>
    <mergeCell ref="K184:L184"/>
    <mergeCell ref="M184:N184"/>
    <mergeCell ref="O184:P184"/>
    <mergeCell ref="O181:P181"/>
    <mergeCell ref="B182:D182"/>
    <mergeCell ref="E182:F182"/>
    <mergeCell ref="G182:H182"/>
    <mergeCell ref="I182:J182"/>
    <mergeCell ref="K182:L182"/>
    <mergeCell ref="M182:N182"/>
    <mergeCell ref="O182:P182"/>
    <mergeCell ref="B181:D181"/>
    <mergeCell ref="E181:F181"/>
    <mergeCell ref="G181:H181"/>
    <mergeCell ref="I181:J181"/>
    <mergeCell ref="K181:L181"/>
    <mergeCell ref="M181:N181"/>
    <mergeCell ref="C195:F195"/>
    <mergeCell ref="G195:H195"/>
    <mergeCell ref="C196:F196"/>
    <mergeCell ref="G196:H196"/>
    <mergeCell ref="C197:F197"/>
    <mergeCell ref="G197:H197"/>
    <mergeCell ref="B186:E186"/>
    <mergeCell ref="B189:P189"/>
    <mergeCell ref="C193:F193"/>
    <mergeCell ref="G193:H193"/>
    <mergeCell ref="C194:F194"/>
    <mergeCell ref="G194:H194"/>
    <mergeCell ref="B208:P210"/>
    <mergeCell ref="B205:P205"/>
    <mergeCell ref="B206:P206"/>
    <mergeCell ref="C198:F198"/>
    <mergeCell ref="G198:H198"/>
    <mergeCell ref="C199:F199"/>
    <mergeCell ref="G199:H199"/>
    <mergeCell ref="C200:F200"/>
    <mergeCell ref="G200:H200"/>
  </mergeCells>
  <conditionalFormatting sqref="G184:P184">
    <cfRule type="cellIs" dxfId="3" priority="1" operator="greaterThan">
      <formula>1</formula>
    </cfRule>
    <cfRule type="cellIs" dxfId="2" priority="2" operator="lessThan">
      <formula>0</formula>
    </cfRule>
  </conditionalFormatting>
  <pageMargins left="0.7" right="0.7" top="0.75" bottom="0.75" header="0.3" footer="0.3"/>
  <pageSetup paperSize="9" orientation="portrait" r:id="rId1"/>
  <ignoredErrors>
    <ignoredError sqref="C61:F64 C69:F72 C82:F85 C93:F96 G175:H175 I175:J175 L175 M25 N175:P175 J77:M77" unlockedFormula="1"/>
    <ignoredError sqref="L20 M20:O20 K28:O28" formulaRange="1"/>
  </ignoredError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FFB4C-8093-453C-B5D9-B99A59AE95E9}">
  <dimension ref="A1:Y443"/>
  <sheetViews>
    <sheetView showGridLines="0" topLeftCell="A164" zoomScaleNormal="100" workbookViewId="0">
      <selection activeCell="Y113" sqref="Y113"/>
    </sheetView>
  </sheetViews>
  <sheetFormatPr baseColWidth="10" defaultColWidth="10.81640625" defaultRowHeight="14" outlineLevelRow="2" x14ac:dyDescent="0.4"/>
  <cols>
    <col min="1" max="1" width="14" style="107" customWidth="1"/>
    <col min="2" max="3" width="15.7265625" style="107" customWidth="1"/>
    <col min="4" max="4" width="15.7265625" style="258" customWidth="1"/>
    <col min="5" max="5" width="52" style="106" customWidth="1"/>
    <col min="6" max="6" width="10.81640625" style="107"/>
    <col min="7" max="24" width="10.81640625" style="107" customWidth="1"/>
    <col min="25" max="16384" width="10.81640625" style="107"/>
  </cols>
  <sheetData>
    <row r="1" spans="1:24" s="95" customFormat="1" ht="60" customHeight="1" x14ac:dyDescent="0.45">
      <c r="A1" s="1944"/>
      <c r="B1" s="1944"/>
      <c r="C1" s="1944"/>
      <c r="D1" s="1944"/>
      <c r="E1" s="1944"/>
      <c r="F1" s="1944"/>
      <c r="G1" s="1944"/>
      <c r="H1" s="94"/>
      <c r="I1" s="94"/>
    </row>
    <row r="2" spans="1:24" s="95" customFormat="1" ht="20.25" customHeight="1" x14ac:dyDescent="0.45">
      <c r="A2" s="1944"/>
      <c r="B2" s="1944"/>
      <c r="C2" s="1944"/>
      <c r="D2" s="1944"/>
      <c r="E2" s="1944"/>
      <c r="F2" s="1944"/>
      <c r="G2" s="1944"/>
      <c r="H2" s="94"/>
      <c r="I2" s="94"/>
    </row>
    <row r="3" spans="1:24" s="96" customFormat="1" ht="7.5" customHeight="1" x14ac:dyDescent="0.4">
      <c r="A3" s="1944"/>
      <c r="B3" s="1944"/>
      <c r="C3" s="1944"/>
      <c r="D3" s="1944"/>
      <c r="E3" s="1944"/>
      <c r="F3" s="1944"/>
      <c r="G3" s="1944"/>
    </row>
    <row r="4" spans="1:24" s="97" customFormat="1" ht="13.5" customHeight="1" x14ac:dyDescent="0.4">
      <c r="A4" s="1945" t="s">
        <v>190</v>
      </c>
      <c r="B4" s="1946"/>
      <c r="C4" s="1946"/>
      <c r="D4" s="1946"/>
      <c r="E4" s="1946"/>
      <c r="F4" s="1946"/>
      <c r="G4" s="1947"/>
    </row>
    <row r="5" spans="1:24" s="97" customFormat="1" ht="17.149999999999999" customHeight="1" x14ac:dyDescent="0.4">
      <c r="A5" s="1945"/>
      <c r="B5" s="1946"/>
      <c r="C5" s="1946"/>
      <c r="D5" s="1946"/>
      <c r="E5" s="1946"/>
      <c r="F5" s="1946"/>
      <c r="G5" s="1947"/>
    </row>
    <row r="6" spans="1:24" s="97" customFormat="1" x14ac:dyDescent="0.4">
      <c r="A6" s="98" t="s">
        <v>191</v>
      </c>
      <c r="B6" s="99"/>
      <c r="C6" s="99"/>
      <c r="D6" s="99"/>
      <c r="E6" s="99"/>
      <c r="F6" s="99"/>
      <c r="G6" s="100"/>
    </row>
    <row r="7" spans="1:24" s="97" customFormat="1" x14ac:dyDescent="0.4">
      <c r="A7" s="98" t="s">
        <v>192</v>
      </c>
      <c r="B7" s="99"/>
      <c r="C7" s="99"/>
      <c r="D7" s="99"/>
      <c r="E7" s="99"/>
      <c r="F7" s="99"/>
      <c r="G7" s="100"/>
    </row>
    <row r="8" spans="1:24" s="97" customFormat="1" x14ac:dyDescent="0.4">
      <c r="A8" s="98" t="s">
        <v>193</v>
      </c>
      <c r="B8" s="99"/>
      <c r="C8" s="99"/>
      <c r="D8" s="99"/>
      <c r="E8" s="99"/>
      <c r="F8" s="99"/>
      <c r="G8" s="100"/>
    </row>
    <row r="9" spans="1:24" s="97" customFormat="1" ht="16.5" x14ac:dyDescent="0.45">
      <c r="A9" s="101" t="s">
        <v>194</v>
      </c>
      <c r="B9" s="102"/>
      <c r="C9" s="102"/>
      <c r="D9" s="102"/>
      <c r="E9" s="102"/>
      <c r="F9" s="102"/>
      <c r="G9" s="103"/>
      <c r="Q9" s="104"/>
      <c r="R9" s="104"/>
      <c r="S9" s="104"/>
      <c r="T9" s="104"/>
      <c r="U9" s="104"/>
      <c r="V9" s="104"/>
      <c r="X9" s="104" t="s">
        <v>195</v>
      </c>
    </row>
    <row r="10" spans="1:24" x14ac:dyDescent="0.4">
      <c r="A10" s="105"/>
      <c r="B10" s="105"/>
      <c r="C10" s="105"/>
      <c r="D10" s="105"/>
    </row>
    <row r="11" spans="1:24" s="105" customFormat="1" ht="64" x14ac:dyDescent="0.35">
      <c r="A11" s="108" t="s">
        <v>196</v>
      </c>
      <c r="B11" s="109" t="s">
        <v>197</v>
      </c>
      <c r="C11" s="109" t="s">
        <v>198</v>
      </c>
      <c r="D11" s="109" t="s">
        <v>199</v>
      </c>
      <c r="E11" s="109" t="s">
        <v>200</v>
      </c>
      <c r="F11" s="109">
        <v>2005</v>
      </c>
      <c r="G11" s="109">
        <v>2006</v>
      </c>
      <c r="H11" s="109">
        <v>2007</v>
      </c>
      <c r="I11" s="109">
        <v>2008</v>
      </c>
      <c r="J11" s="109">
        <v>2009</v>
      </c>
      <c r="K11" s="109">
        <v>2010</v>
      </c>
      <c r="L11" s="109">
        <v>2011</v>
      </c>
      <c r="M11" s="109">
        <v>2012</v>
      </c>
      <c r="N11" s="109">
        <v>2013</v>
      </c>
      <c r="O11" s="109">
        <v>2014</v>
      </c>
      <c r="P11" s="109">
        <v>2015</v>
      </c>
      <c r="Q11" s="109">
        <v>2016</v>
      </c>
      <c r="R11" s="109">
        <v>2017</v>
      </c>
      <c r="S11" s="109">
        <v>2018</v>
      </c>
      <c r="T11" s="109">
        <v>2019</v>
      </c>
      <c r="U11" s="109">
        <v>2020</v>
      </c>
      <c r="V11" s="109" t="s">
        <v>201</v>
      </c>
      <c r="W11" s="109" t="s">
        <v>202</v>
      </c>
      <c r="X11" s="110" t="s">
        <v>203</v>
      </c>
    </row>
    <row r="12" spans="1:24" x14ac:dyDescent="0.4">
      <c r="A12" s="111"/>
      <c r="D12" s="107"/>
      <c r="X12" s="112"/>
    </row>
    <row r="13" spans="1:24" s="115" customFormat="1" ht="16" x14ac:dyDescent="0.45">
      <c r="A13" s="1942" t="s">
        <v>204</v>
      </c>
      <c r="B13" s="1943"/>
      <c r="C13" s="1943"/>
      <c r="D13" s="1943"/>
      <c r="E13" s="1943"/>
      <c r="F13" s="113"/>
      <c r="G13" s="113"/>
      <c r="H13" s="113"/>
      <c r="I13" s="113"/>
      <c r="J13" s="113"/>
      <c r="K13" s="113"/>
      <c r="L13" s="113"/>
      <c r="M13" s="113"/>
      <c r="N13" s="113"/>
      <c r="O13" s="113"/>
      <c r="P13" s="113"/>
      <c r="Q13" s="113"/>
      <c r="R13" s="113"/>
      <c r="S13" s="113"/>
      <c r="T13" s="113"/>
      <c r="U13" s="113"/>
      <c r="V13" s="113"/>
      <c r="W13" s="113"/>
      <c r="X13" s="114"/>
    </row>
    <row r="14" spans="1:24" x14ac:dyDescent="0.4">
      <c r="A14" s="116"/>
      <c r="B14" s="117"/>
      <c r="C14" s="117"/>
      <c r="D14" s="117"/>
      <c r="E14" s="118"/>
      <c r="X14" s="112"/>
    </row>
    <row r="15" spans="1:24" x14ac:dyDescent="0.4">
      <c r="A15" s="119"/>
      <c r="B15" s="120" t="s">
        <v>205</v>
      </c>
      <c r="C15" s="120"/>
      <c r="D15" s="120"/>
      <c r="E15" s="121" t="s">
        <v>206</v>
      </c>
      <c r="F15" s="122">
        <v>25439</v>
      </c>
      <c r="G15" s="122">
        <v>27425</v>
      </c>
      <c r="H15" s="122">
        <v>29715</v>
      </c>
      <c r="I15" s="122">
        <v>31869</v>
      </c>
      <c r="J15" s="122">
        <v>33554</v>
      </c>
      <c r="K15" s="122">
        <v>34411</v>
      </c>
      <c r="L15" s="122">
        <v>37709</v>
      </c>
      <c r="M15" s="122">
        <v>37209</v>
      </c>
      <c r="N15" s="122">
        <v>38509</v>
      </c>
      <c r="O15" s="122">
        <v>41555</v>
      </c>
      <c r="P15" s="122">
        <v>48124</v>
      </c>
      <c r="Q15" s="122">
        <v>57065</v>
      </c>
      <c r="R15" s="122">
        <v>58815</v>
      </c>
      <c r="S15" s="122">
        <v>61497</v>
      </c>
      <c r="T15" s="122">
        <v>67958</v>
      </c>
      <c r="U15" s="122">
        <v>74970</v>
      </c>
      <c r="V15" s="122">
        <v>92679</v>
      </c>
      <c r="W15" s="122">
        <v>130439</v>
      </c>
      <c r="X15" s="123">
        <v>137179</v>
      </c>
    </row>
    <row r="16" spans="1:24" hidden="1" outlineLevel="1" x14ac:dyDescent="0.4">
      <c r="A16" s="124"/>
      <c r="B16" s="125"/>
      <c r="C16" s="126" t="s">
        <v>205</v>
      </c>
      <c r="D16" s="125"/>
      <c r="E16" s="127" t="s">
        <v>206</v>
      </c>
      <c r="F16" s="128">
        <v>25439</v>
      </c>
      <c r="G16" s="128">
        <v>27425</v>
      </c>
      <c r="H16" s="128">
        <v>29715</v>
      </c>
      <c r="I16" s="128">
        <v>31869</v>
      </c>
      <c r="J16" s="128">
        <v>33554</v>
      </c>
      <c r="K16" s="128">
        <v>34411</v>
      </c>
      <c r="L16" s="128">
        <v>37709</v>
      </c>
      <c r="M16" s="128">
        <v>37209</v>
      </c>
      <c r="N16" s="128">
        <v>38509</v>
      </c>
      <c r="O16" s="128">
        <v>41555</v>
      </c>
      <c r="P16" s="128">
        <v>48124</v>
      </c>
      <c r="Q16" s="128">
        <v>57065</v>
      </c>
      <c r="R16" s="128">
        <v>58815</v>
      </c>
      <c r="S16" s="128">
        <v>61497</v>
      </c>
      <c r="T16" s="128">
        <v>67958</v>
      </c>
      <c r="U16" s="128">
        <v>74970</v>
      </c>
      <c r="V16" s="128">
        <v>92679</v>
      </c>
      <c r="W16" s="128">
        <v>130439</v>
      </c>
      <c r="X16" s="129">
        <v>137179</v>
      </c>
    </row>
    <row r="17" spans="1:24" ht="84" hidden="1" outlineLevel="1" x14ac:dyDescent="0.4">
      <c r="A17" s="130"/>
      <c r="B17" s="131"/>
      <c r="C17" s="132"/>
      <c r="D17" s="133" t="s">
        <v>207</v>
      </c>
      <c r="E17" s="134" t="s">
        <v>208</v>
      </c>
      <c r="F17" s="135">
        <v>13312</v>
      </c>
      <c r="G17" s="135">
        <v>14490</v>
      </c>
      <c r="H17" s="135">
        <v>15675</v>
      </c>
      <c r="I17" s="135">
        <v>17044</v>
      </c>
      <c r="J17" s="135">
        <v>18522</v>
      </c>
      <c r="K17" s="135">
        <v>18653</v>
      </c>
      <c r="L17" s="135">
        <v>20760</v>
      </c>
      <c r="M17" s="135">
        <v>20538</v>
      </c>
      <c r="N17" s="135">
        <v>20723</v>
      </c>
      <c r="O17" s="135">
        <v>22133</v>
      </c>
      <c r="P17" s="135">
        <v>27339</v>
      </c>
      <c r="Q17" s="135">
        <v>33033</v>
      </c>
      <c r="R17" s="135">
        <v>33979</v>
      </c>
      <c r="S17" s="136">
        <v>36116</v>
      </c>
      <c r="T17" s="136">
        <v>40735</v>
      </c>
      <c r="U17" s="136">
        <v>44817</v>
      </c>
      <c r="V17" s="136">
        <v>53176</v>
      </c>
      <c r="W17" s="136">
        <v>81066</v>
      </c>
      <c r="X17" s="137">
        <v>86554</v>
      </c>
    </row>
    <row r="18" spans="1:24" hidden="1" outlineLevel="2" x14ac:dyDescent="0.4">
      <c r="A18" s="124"/>
      <c r="B18" s="125"/>
      <c r="C18" s="126"/>
      <c r="D18" s="138" t="s">
        <v>209</v>
      </c>
      <c r="E18" s="139" t="s">
        <v>210</v>
      </c>
      <c r="F18" s="140">
        <v>2763</v>
      </c>
      <c r="G18" s="140">
        <v>3039</v>
      </c>
      <c r="H18" s="140">
        <v>3195</v>
      </c>
      <c r="I18" s="140">
        <v>3140</v>
      </c>
      <c r="J18" s="140">
        <v>2986</v>
      </c>
      <c r="K18" s="140">
        <v>3810</v>
      </c>
      <c r="L18" s="140">
        <v>4453</v>
      </c>
      <c r="M18" s="140">
        <v>3254</v>
      </c>
      <c r="N18" s="140">
        <v>4067</v>
      </c>
      <c r="O18" s="140">
        <v>4659</v>
      </c>
      <c r="P18" s="140">
        <v>5299</v>
      </c>
      <c r="Q18" s="140">
        <v>6299</v>
      </c>
      <c r="R18" s="140">
        <v>6482</v>
      </c>
      <c r="S18" s="140">
        <v>6173</v>
      </c>
      <c r="T18" s="140">
        <v>7310</v>
      </c>
      <c r="U18" s="140">
        <v>8105</v>
      </c>
      <c r="V18" s="140">
        <v>11273</v>
      </c>
      <c r="W18" s="140">
        <v>14424</v>
      </c>
      <c r="X18" s="141">
        <v>12260</v>
      </c>
    </row>
    <row r="19" spans="1:24" hidden="1" outlineLevel="2" x14ac:dyDescent="0.4">
      <c r="A19" s="130"/>
      <c r="B19" s="131"/>
      <c r="C19" s="132"/>
      <c r="D19" s="142" t="s">
        <v>211</v>
      </c>
      <c r="E19" s="134" t="s">
        <v>212</v>
      </c>
      <c r="F19" s="135">
        <v>7843</v>
      </c>
      <c r="G19" s="135">
        <v>8223</v>
      </c>
      <c r="H19" s="135">
        <v>9043</v>
      </c>
      <c r="I19" s="135">
        <v>9815</v>
      </c>
      <c r="J19" s="135">
        <v>10043</v>
      </c>
      <c r="K19" s="135">
        <v>9931</v>
      </c>
      <c r="L19" s="135">
        <v>10392</v>
      </c>
      <c r="M19" s="135">
        <v>11091</v>
      </c>
      <c r="N19" s="135">
        <v>11238</v>
      </c>
      <c r="O19" s="135">
        <v>11910</v>
      </c>
      <c r="P19" s="135">
        <v>12265</v>
      </c>
      <c r="Q19" s="135">
        <v>14098</v>
      </c>
      <c r="R19" s="135">
        <v>14639</v>
      </c>
      <c r="S19" s="135">
        <v>15224</v>
      </c>
      <c r="T19" s="135">
        <v>15735</v>
      </c>
      <c r="U19" s="135">
        <v>16980</v>
      </c>
      <c r="V19" s="135">
        <v>21935</v>
      </c>
      <c r="W19" s="135">
        <v>27266</v>
      </c>
      <c r="X19" s="143">
        <v>29978</v>
      </c>
    </row>
    <row r="20" spans="1:24" hidden="1" outlineLevel="2" x14ac:dyDescent="0.4">
      <c r="A20" s="124"/>
      <c r="B20" s="125"/>
      <c r="C20" s="126"/>
      <c r="D20" s="125" t="s">
        <v>213</v>
      </c>
      <c r="E20" s="139" t="s">
        <v>214</v>
      </c>
      <c r="F20" s="140">
        <v>854</v>
      </c>
      <c r="G20" s="140">
        <v>915</v>
      </c>
      <c r="H20" s="140">
        <v>984</v>
      </c>
      <c r="I20" s="140">
        <v>1011</v>
      </c>
      <c r="J20" s="140">
        <v>1109</v>
      </c>
      <c r="K20" s="140">
        <v>1127</v>
      </c>
      <c r="L20" s="140">
        <v>1197</v>
      </c>
      <c r="M20" s="140">
        <v>1352</v>
      </c>
      <c r="N20" s="140">
        <v>1493</v>
      </c>
      <c r="O20" s="140">
        <v>1617</v>
      </c>
      <c r="P20" s="140">
        <v>1796</v>
      </c>
      <c r="Q20" s="140">
        <v>1963</v>
      </c>
      <c r="R20" s="140">
        <v>2047</v>
      </c>
      <c r="S20" s="140">
        <v>2075</v>
      </c>
      <c r="T20" s="140">
        <v>2201</v>
      </c>
      <c r="U20" s="140">
        <v>2332</v>
      </c>
      <c r="V20" s="140">
        <v>2986</v>
      </c>
      <c r="W20" s="140">
        <v>3329</v>
      </c>
      <c r="X20" s="141">
        <v>3708</v>
      </c>
    </row>
    <row r="21" spans="1:24" hidden="1" outlineLevel="2" x14ac:dyDescent="0.4">
      <c r="A21" s="130"/>
      <c r="B21" s="131"/>
      <c r="C21" s="132"/>
      <c r="D21" s="133" t="s">
        <v>215</v>
      </c>
      <c r="E21" s="134" t="s">
        <v>216</v>
      </c>
      <c r="F21" s="135">
        <v>667</v>
      </c>
      <c r="G21" s="135">
        <v>758</v>
      </c>
      <c r="H21" s="135">
        <v>818</v>
      </c>
      <c r="I21" s="135">
        <v>859</v>
      </c>
      <c r="J21" s="135">
        <v>894</v>
      </c>
      <c r="K21" s="135">
        <v>890</v>
      </c>
      <c r="L21" s="135">
        <v>907</v>
      </c>
      <c r="M21" s="135">
        <v>974</v>
      </c>
      <c r="N21" s="135">
        <v>988</v>
      </c>
      <c r="O21" s="135">
        <v>1236</v>
      </c>
      <c r="P21" s="135">
        <v>1425</v>
      </c>
      <c r="Q21" s="135">
        <v>1672</v>
      </c>
      <c r="R21" s="135">
        <v>1668</v>
      </c>
      <c r="S21" s="135">
        <v>1909</v>
      </c>
      <c r="T21" s="135">
        <v>1977</v>
      </c>
      <c r="U21" s="135">
        <v>2736</v>
      </c>
      <c r="V21" s="135">
        <v>3309</v>
      </c>
      <c r="W21" s="135">
        <v>4354</v>
      </c>
      <c r="X21" s="143">
        <v>4680</v>
      </c>
    </row>
    <row r="22" spans="1:24" collapsed="1" x14ac:dyDescent="0.4">
      <c r="A22" s="144"/>
      <c r="B22" s="145" t="s">
        <v>217</v>
      </c>
      <c r="C22" s="145"/>
      <c r="D22" s="145"/>
      <c r="E22" s="146" t="s">
        <v>218</v>
      </c>
      <c r="F22" s="147">
        <v>22071</v>
      </c>
      <c r="G22" s="147">
        <v>26127</v>
      </c>
      <c r="H22" s="147">
        <v>26443</v>
      </c>
      <c r="I22" s="147">
        <v>38675</v>
      </c>
      <c r="J22" s="147">
        <v>37234</v>
      </c>
      <c r="K22" s="147">
        <v>47105</v>
      </c>
      <c r="L22" s="147">
        <v>70548</v>
      </c>
      <c r="M22" s="147">
        <v>74557</v>
      </c>
      <c r="N22" s="147">
        <v>73340</v>
      </c>
      <c r="O22" s="147">
        <v>64274</v>
      </c>
      <c r="P22" s="147">
        <v>47627</v>
      </c>
      <c r="Q22" s="147">
        <v>40999</v>
      </c>
      <c r="R22" s="147">
        <v>47538</v>
      </c>
      <c r="S22" s="147">
        <v>57788</v>
      </c>
      <c r="T22" s="147">
        <v>58317</v>
      </c>
      <c r="U22" s="147">
        <v>40689</v>
      </c>
      <c r="V22" s="147">
        <v>64235</v>
      </c>
      <c r="W22" s="147">
        <v>106149</v>
      </c>
      <c r="X22" s="148">
        <v>86548</v>
      </c>
    </row>
    <row r="23" spans="1:24" hidden="1" outlineLevel="1" x14ac:dyDescent="0.4">
      <c r="A23" s="149"/>
      <c r="B23" s="132"/>
      <c r="C23" s="132" t="s">
        <v>217</v>
      </c>
      <c r="D23" s="132"/>
      <c r="E23" s="150" t="s">
        <v>218</v>
      </c>
      <c r="F23" s="136">
        <v>22071</v>
      </c>
      <c r="G23" s="136">
        <v>26127</v>
      </c>
      <c r="H23" s="136">
        <v>26443</v>
      </c>
      <c r="I23" s="136">
        <v>38675</v>
      </c>
      <c r="J23" s="136">
        <v>37234</v>
      </c>
      <c r="K23" s="136">
        <v>47105</v>
      </c>
      <c r="L23" s="136">
        <v>70548</v>
      </c>
      <c r="M23" s="136">
        <v>74557</v>
      </c>
      <c r="N23" s="136">
        <v>73340</v>
      </c>
      <c r="O23" s="136">
        <v>64274</v>
      </c>
      <c r="P23" s="136">
        <v>47627</v>
      </c>
      <c r="Q23" s="136">
        <v>40999</v>
      </c>
      <c r="R23" s="136">
        <v>47538</v>
      </c>
      <c r="S23" s="136">
        <v>57788</v>
      </c>
      <c r="T23" s="136">
        <v>58317</v>
      </c>
      <c r="U23" s="136">
        <v>40689</v>
      </c>
      <c r="V23" s="136">
        <v>64235</v>
      </c>
      <c r="W23" s="136">
        <v>106149</v>
      </c>
      <c r="X23" s="137">
        <v>86548</v>
      </c>
    </row>
    <row r="24" spans="1:24" hidden="1" outlineLevel="2" x14ac:dyDescent="0.4">
      <c r="A24" s="124"/>
      <c r="B24" s="125"/>
      <c r="C24" s="125"/>
      <c r="D24" s="125" t="s">
        <v>219</v>
      </c>
      <c r="E24" s="139" t="s">
        <v>220</v>
      </c>
      <c r="F24" s="140">
        <v>4915</v>
      </c>
      <c r="G24" s="140">
        <v>5705</v>
      </c>
      <c r="H24" s="140">
        <v>5577</v>
      </c>
      <c r="I24" s="140">
        <v>8542</v>
      </c>
      <c r="J24" s="140">
        <v>8610</v>
      </c>
      <c r="K24" s="140">
        <v>8621</v>
      </c>
      <c r="L24" s="140">
        <v>11256</v>
      </c>
      <c r="M24" s="140">
        <v>10973</v>
      </c>
      <c r="N24" s="140">
        <v>9303</v>
      </c>
      <c r="O24" s="140">
        <v>8404</v>
      </c>
      <c r="P24" s="140">
        <v>8833</v>
      </c>
      <c r="Q24" s="140">
        <v>11027</v>
      </c>
      <c r="R24" s="140">
        <v>13634</v>
      </c>
      <c r="S24" s="140">
        <v>15167</v>
      </c>
      <c r="T24" s="140">
        <v>12226</v>
      </c>
      <c r="U24" s="140">
        <v>7429</v>
      </c>
      <c r="V24" s="140">
        <v>15146</v>
      </c>
      <c r="W24" s="140">
        <v>35569</v>
      </c>
      <c r="X24" s="141">
        <v>23738</v>
      </c>
    </row>
    <row r="25" spans="1:24" ht="28" hidden="1" outlineLevel="2" x14ac:dyDescent="0.4">
      <c r="A25" s="130"/>
      <c r="B25" s="131"/>
      <c r="C25" s="131"/>
      <c r="D25" s="131" t="s">
        <v>221</v>
      </c>
      <c r="E25" s="134" t="s">
        <v>222</v>
      </c>
      <c r="F25" s="135">
        <v>14038</v>
      </c>
      <c r="G25" s="135">
        <v>15969</v>
      </c>
      <c r="H25" s="135">
        <v>15526</v>
      </c>
      <c r="I25" s="135">
        <v>25915</v>
      </c>
      <c r="J25" s="135">
        <v>24058</v>
      </c>
      <c r="K25" s="135">
        <v>33071</v>
      </c>
      <c r="L25" s="135">
        <v>53113</v>
      </c>
      <c r="M25" s="135">
        <v>56982</v>
      </c>
      <c r="N25" s="135">
        <v>58714</v>
      </c>
      <c r="O25" s="135">
        <v>50497</v>
      </c>
      <c r="P25" s="135">
        <v>32852</v>
      </c>
      <c r="Q25" s="135">
        <v>22289</v>
      </c>
      <c r="R25" s="135">
        <v>27822</v>
      </c>
      <c r="S25" s="135">
        <v>36871</v>
      </c>
      <c r="T25" s="135">
        <v>39127</v>
      </c>
      <c r="U25" s="135">
        <v>24320</v>
      </c>
      <c r="V25" s="135">
        <v>38429</v>
      </c>
      <c r="W25" s="135">
        <v>58411</v>
      </c>
      <c r="X25" s="143">
        <v>49308</v>
      </c>
    </row>
    <row r="26" spans="1:24" hidden="1" outlineLevel="2" x14ac:dyDescent="0.4">
      <c r="A26" s="124"/>
      <c r="B26" s="125"/>
      <c r="C26" s="125"/>
      <c r="D26" s="125" t="s">
        <v>223</v>
      </c>
      <c r="E26" s="139" t="s">
        <v>224</v>
      </c>
      <c r="F26" s="140">
        <v>2143</v>
      </c>
      <c r="G26" s="140">
        <v>3275</v>
      </c>
      <c r="H26" s="140">
        <v>3999</v>
      </c>
      <c r="I26" s="140">
        <v>2706</v>
      </c>
      <c r="J26" s="140">
        <v>2994</v>
      </c>
      <c r="K26" s="140">
        <v>3917</v>
      </c>
      <c r="L26" s="140">
        <v>4448</v>
      </c>
      <c r="M26" s="140">
        <v>4754</v>
      </c>
      <c r="N26" s="140">
        <v>3313</v>
      </c>
      <c r="O26" s="140">
        <v>3131</v>
      </c>
      <c r="P26" s="140">
        <v>3592</v>
      </c>
      <c r="Q26" s="140">
        <v>5001</v>
      </c>
      <c r="R26" s="140">
        <v>3472</v>
      </c>
      <c r="S26" s="140">
        <v>3112</v>
      </c>
      <c r="T26" s="140">
        <v>4163</v>
      </c>
      <c r="U26" s="140">
        <v>6849</v>
      </c>
      <c r="V26" s="140">
        <v>8125</v>
      </c>
      <c r="W26" s="140">
        <v>9213</v>
      </c>
      <c r="X26" s="141">
        <v>10408</v>
      </c>
    </row>
    <row r="27" spans="1:24" hidden="1" outlineLevel="2" x14ac:dyDescent="0.4">
      <c r="A27" s="130"/>
      <c r="B27" s="131"/>
      <c r="C27" s="131"/>
      <c r="D27" s="131" t="s">
        <v>225</v>
      </c>
      <c r="E27" s="134" t="s">
        <v>226</v>
      </c>
      <c r="F27" s="135">
        <v>865</v>
      </c>
      <c r="G27" s="135">
        <v>1046</v>
      </c>
      <c r="H27" s="135">
        <v>1197</v>
      </c>
      <c r="I27" s="135">
        <v>1352</v>
      </c>
      <c r="J27" s="135">
        <v>1406</v>
      </c>
      <c r="K27" s="135">
        <v>1317</v>
      </c>
      <c r="L27" s="135">
        <v>1511</v>
      </c>
      <c r="M27" s="135">
        <v>1625</v>
      </c>
      <c r="N27" s="135">
        <v>1825</v>
      </c>
      <c r="O27" s="135">
        <v>2067</v>
      </c>
      <c r="P27" s="135">
        <v>2156</v>
      </c>
      <c r="Q27" s="135">
        <v>2435</v>
      </c>
      <c r="R27" s="135">
        <v>2421</v>
      </c>
      <c r="S27" s="135">
        <v>2437</v>
      </c>
      <c r="T27" s="135">
        <v>2628</v>
      </c>
      <c r="U27" s="135">
        <v>1932</v>
      </c>
      <c r="V27" s="135">
        <v>2292</v>
      </c>
      <c r="W27" s="135">
        <v>2531</v>
      </c>
      <c r="X27" s="143">
        <v>2748</v>
      </c>
    </row>
    <row r="28" spans="1:24" ht="28" hidden="1" outlineLevel="2" x14ac:dyDescent="0.4">
      <c r="A28" s="124"/>
      <c r="B28" s="125"/>
      <c r="C28" s="125"/>
      <c r="D28" s="125" t="s">
        <v>227</v>
      </c>
      <c r="E28" s="139" t="s">
        <v>228</v>
      </c>
      <c r="F28" s="140">
        <v>110</v>
      </c>
      <c r="G28" s="140">
        <v>132</v>
      </c>
      <c r="H28" s="140">
        <v>144</v>
      </c>
      <c r="I28" s="140">
        <v>160</v>
      </c>
      <c r="J28" s="140">
        <v>166</v>
      </c>
      <c r="K28" s="140">
        <v>179</v>
      </c>
      <c r="L28" s="140">
        <v>220</v>
      </c>
      <c r="M28" s="140">
        <v>223</v>
      </c>
      <c r="N28" s="140">
        <v>185</v>
      </c>
      <c r="O28" s="140">
        <v>175</v>
      </c>
      <c r="P28" s="140">
        <v>194</v>
      </c>
      <c r="Q28" s="140">
        <v>247</v>
      </c>
      <c r="R28" s="140">
        <v>189</v>
      </c>
      <c r="S28" s="140">
        <v>201</v>
      </c>
      <c r="T28" s="140">
        <v>173</v>
      </c>
      <c r="U28" s="140">
        <v>159</v>
      </c>
      <c r="V28" s="140">
        <v>243</v>
      </c>
      <c r="W28" s="140">
        <v>425</v>
      </c>
      <c r="X28" s="141">
        <v>345</v>
      </c>
    </row>
    <row r="29" spans="1:24" collapsed="1" x14ac:dyDescent="0.4">
      <c r="A29" s="119"/>
      <c r="B29" s="120" t="s">
        <v>229</v>
      </c>
      <c r="C29" s="120"/>
      <c r="D29" s="120"/>
      <c r="E29" s="121" t="s">
        <v>230</v>
      </c>
      <c r="F29" s="122">
        <v>54043</v>
      </c>
      <c r="G29" s="122">
        <v>60975</v>
      </c>
      <c r="H29" s="122">
        <v>69222</v>
      </c>
      <c r="I29" s="122">
        <v>73264</v>
      </c>
      <c r="J29" s="122">
        <v>74133</v>
      </c>
      <c r="K29" s="122">
        <v>75989</v>
      </c>
      <c r="L29" s="122">
        <v>81820</v>
      </c>
      <c r="M29" s="122">
        <v>87241</v>
      </c>
      <c r="N29" s="122">
        <v>90421</v>
      </c>
      <c r="O29" s="122">
        <v>93603</v>
      </c>
      <c r="P29" s="122">
        <v>99789</v>
      </c>
      <c r="Q29" s="122">
        <v>106226</v>
      </c>
      <c r="R29" s="122">
        <v>105022</v>
      </c>
      <c r="S29" s="122">
        <v>110157</v>
      </c>
      <c r="T29" s="122">
        <v>115830</v>
      </c>
      <c r="U29" s="122">
        <v>107111</v>
      </c>
      <c r="V29" s="122">
        <v>133580</v>
      </c>
      <c r="W29" s="122">
        <v>165302</v>
      </c>
      <c r="X29" s="123">
        <v>171467</v>
      </c>
    </row>
    <row r="30" spans="1:24" ht="28" hidden="1" outlineLevel="1" x14ac:dyDescent="0.4">
      <c r="A30" s="151"/>
      <c r="B30" s="125"/>
      <c r="C30" s="126" t="s">
        <v>231</v>
      </c>
      <c r="D30" s="126"/>
      <c r="E30" s="127" t="s">
        <v>232</v>
      </c>
      <c r="F30" s="128">
        <v>16767</v>
      </c>
      <c r="G30" s="128">
        <v>18095</v>
      </c>
      <c r="H30" s="128">
        <v>20270</v>
      </c>
      <c r="I30" s="128">
        <v>22528</v>
      </c>
      <c r="J30" s="128">
        <v>24071</v>
      </c>
      <c r="K30" s="128">
        <v>23065</v>
      </c>
      <c r="L30" s="128">
        <v>24019</v>
      </c>
      <c r="M30" s="128">
        <v>24776</v>
      </c>
      <c r="N30" s="128">
        <v>25438</v>
      </c>
      <c r="O30" s="128">
        <v>26163</v>
      </c>
      <c r="P30" s="128">
        <v>27219</v>
      </c>
      <c r="Q30" s="128">
        <v>30138</v>
      </c>
      <c r="R30" s="128">
        <v>30603</v>
      </c>
      <c r="S30" s="128">
        <v>31305</v>
      </c>
      <c r="T30" s="128">
        <v>31682</v>
      </c>
      <c r="U30" s="128">
        <v>32205</v>
      </c>
      <c r="V30" s="128">
        <v>39368</v>
      </c>
      <c r="W30" s="128">
        <v>49182</v>
      </c>
      <c r="X30" s="129">
        <v>52525</v>
      </c>
    </row>
    <row r="31" spans="1:24" ht="70" hidden="1" outlineLevel="2" x14ac:dyDescent="0.4">
      <c r="A31" s="130"/>
      <c r="B31" s="131"/>
      <c r="C31" s="131"/>
      <c r="D31" s="131" t="s">
        <v>233</v>
      </c>
      <c r="E31" s="134" t="s">
        <v>234</v>
      </c>
      <c r="F31" s="135">
        <v>3222</v>
      </c>
      <c r="G31" s="135">
        <v>3345</v>
      </c>
      <c r="H31" s="135">
        <v>3920</v>
      </c>
      <c r="I31" s="135">
        <v>4568</v>
      </c>
      <c r="J31" s="135">
        <v>4835</v>
      </c>
      <c r="K31" s="135">
        <v>4566</v>
      </c>
      <c r="L31" s="135">
        <v>4830</v>
      </c>
      <c r="M31" s="135">
        <v>4997</v>
      </c>
      <c r="N31" s="135">
        <v>5232</v>
      </c>
      <c r="O31" s="135">
        <v>5475</v>
      </c>
      <c r="P31" s="135">
        <v>5896</v>
      </c>
      <c r="Q31" s="135">
        <v>6543</v>
      </c>
      <c r="R31" s="135">
        <v>6579</v>
      </c>
      <c r="S31" s="135">
        <v>6924</v>
      </c>
      <c r="T31" s="135">
        <v>7112</v>
      </c>
      <c r="U31" s="135">
        <v>7595</v>
      </c>
      <c r="V31" s="135">
        <v>10228</v>
      </c>
      <c r="W31" s="135">
        <v>13009</v>
      </c>
      <c r="X31" s="143">
        <v>14299</v>
      </c>
    </row>
    <row r="32" spans="1:24" hidden="1" outlineLevel="2" x14ac:dyDescent="0.4">
      <c r="A32" s="124"/>
      <c r="B32" s="125"/>
      <c r="C32" s="125"/>
      <c r="D32" s="125" t="s">
        <v>235</v>
      </c>
      <c r="E32" s="139" t="s">
        <v>236</v>
      </c>
      <c r="F32" s="140">
        <v>1255</v>
      </c>
      <c r="G32" s="140">
        <v>1165</v>
      </c>
      <c r="H32" s="140">
        <v>1284</v>
      </c>
      <c r="I32" s="140">
        <v>1456</v>
      </c>
      <c r="J32" s="140">
        <v>1467</v>
      </c>
      <c r="K32" s="140">
        <v>1420</v>
      </c>
      <c r="L32" s="140">
        <v>1483</v>
      </c>
      <c r="M32" s="140">
        <v>1271</v>
      </c>
      <c r="N32" s="140">
        <v>1093</v>
      </c>
      <c r="O32" s="140">
        <v>1373</v>
      </c>
      <c r="P32" s="140">
        <v>1506</v>
      </c>
      <c r="Q32" s="140">
        <v>1986</v>
      </c>
      <c r="R32" s="140">
        <v>1884</v>
      </c>
      <c r="S32" s="140">
        <v>1715</v>
      </c>
      <c r="T32" s="140">
        <v>1570</v>
      </c>
      <c r="U32" s="140">
        <v>1443</v>
      </c>
      <c r="V32" s="140">
        <v>2848</v>
      </c>
      <c r="W32" s="140">
        <v>3595</v>
      </c>
      <c r="X32" s="141">
        <v>2972</v>
      </c>
    </row>
    <row r="33" spans="1:24" hidden="1" outlineLevel="2" x14ac:dyDescent="0.4">
      <c r="A33" s="130"/>
      <c r="B33" s="131"/>
      <c r="C33" s="131"/>
      <c r="D33" s="131" t="s">
        <v>237</v>
      </c>
      <c r="E33" s="134" t="s">
        <v>238</v>
      </c>
      <c r="F33" s="135">
        <v>1916</v>
      </c>
      <c r="G33" s="135">
        <v>1989</v>
      </c>
      <c r="H33" s="135">
        <v>2188</v>
      </c>
      <c r="I33" s="135">
        <v>2460</v>
      </c>
      <c r="J33" s="135">
        <v>2464</v>
      </c>
      <c r="K33" s="135">
        <v>2528</v>
      </c>
      <c r="L33" s="135">
        <v>2722</v>
      </c>
      <c r="M33" s="135">
        <v>2962</v>
      </c>
      <c r="N33" s="135">
        <v>3095</v>
      </c>
      <c r="O33" s="135">
        <v>3131</v>
      </c>
      <c r="P33" s="135">
        <v>3217</v>
      </c>
      <c r="Q33" s="135">
        <v>3421</v>
      </c>
      <c r="R33" s="135">
        <v>3553</v>
      </c>
      <c r="S33" s="135">
        <v>3609</v>
      </c>
      <c r="T33" s="135">
        <v>3644</v>
      </c>
      <c r="U33" s="135">
        <v>3863</v>
      </c>
      <c r="V33" s="135">
        <v>3954</v>
      </c>
      <c r="W33" s="135">
        <v>4853</v>
      </c>
      <c r="X33" s="143">
        <v>5388</v>
      </c>
    </row>
    <row r="34" spans="1:24" ht="70" hidden="1" outlineLevel="2" x14ac:dyDescent="0.4">
      <c r="A34" s="124"/>
      <c r="B34" s="125"/>
      <c r="C34" s="125"/>
      <c r="D34" s="125" t="s">
        <v>239</v>
      </c>
      <c r="E34" s="139" t="s">
        <v>240</v>
      </c>
      <c r="F34" s="140">
        <v>3057</v>
      </c>
      <c r="G34" s="140">
        <v>3110</v>
      </c>
      <c r="H34" s="140">
        <v>3581</v>
      </c>
      <c r="I34" s="140">
        <v>4238</v>
      </c>
      <c r="J34" s="140">
        <v>4290</v>
      </c>
      <c r="K34" s="140">
        <v>3893</v>
      </c>
      <c r="L34" s="140">
        <v>3961</v>
      </c>
      <c r="M34" s="140">
        <v>4139</v>
      </c>
      <c r="N34" s="140">
        <v>4229</v>
      </c>
      <c r="O34" s="140">
        <v>3970</v>
      </c>
      <c r="P34" s="140">
        <v>3922</v>
      </c>
      <c r="Q34" s="140">
        <v>4737</v>
      </c>
      <c r="R34" s="140">
        <v>4560</v>
      </c>
      <c r="S34" s="140">
        <v>4682</v>
      </c>
      <c r="T34" s="140">
        <v>5156</v>
      </c>
      <c r="U34" s="140">
        <v>6021</v>
      </c>
      <c r="V34" s="140">
        <v>6504</v>
      </c>
      <c r="W34" s="140">
        <v>8545</v>
      </c>
      <c r="X34" s="141">
        <v>9041</v>
      </c>
    </row>
    <row r="35" spans="1:24" hidden="1" outlineLevel="2" x14ac:dyDescent="0.4">
      <c r="A35" s="130"/>
      <c r="B35" s="131"/>
      <c r="C35" s="131"/>
      <c r="D35" s="131" t="s">
        <v>241</v>
      </c>
      <c r="E35" s="134" t="s">
        <v>242</v>
      </c>
      <c r="F35" s="135">
        <v>894</v>
      </c>
      <c r="G35" s="135">
        <v>795</v>
      </c>
      <c r="H35" s="135">
        <v>637</v>
      </c>
      <c r="I35" s="135">
        <v>587</v>
      </c>
      <c r="J35" s="135">
        <v>503</v>
      </c>
      <c r="K35" s="135">
        <v>465</v>
      </c>
      <c r="L35" s="135">
        <v>373</v>
      </c>
      <c r="M35" s="135">
        <v>402</v>
      </c>
      <c r="N35" s="135">
        <v>501</v>
      </c>
      <c r="O35" s="135">
        <v>517</v>
      </c>
      <c r="P35" s="135">
        <v>702</v>
      </c>
      <c r="Q35" s="135">
        <v>625</v>
      </c>
      <c r="R35" s="135">
        <v>702</v>
      </c>
      <c r="S35" s="135">
        <v>651</v>
      </c>
      <c r="T35" s="135">
        <v>722</v>
      </c>
      <c r="U35" s="135">
        <v>282</v>
      </c>
      <c r="V35" s="135">
        <v>386</v>
      </c>
      <c r="W35" s="135">
        <v>488</v>
      </c>
      <c r="X35" s="143">
        <v>466</v>
      </c>
    </row>
    <row r="36" spans="1:24" hidden="1" outlineLevel="2" x14ac:dyDescent="0.4">
      <c r="A36" s="124"/>
      <c r="B36" s="125"/>
      <c r="C36" s="125"/>
      <c r="D36" s="125" t="s">
        <v>243</v>
      </c>
      <c r="E36" s="139" t="s">
        <v>244</v>
      </c>
      <c r="F36" s="140">
        <v>1509</v>
      </c>
      <c r="G36" s="140">
        <v>2220</v>
      </c>
      <c r="H36" s="140">
        <v>2107</v>
      </c>
      <c r="I36" s="140">
        <v>2156</v>
      </c>
      <c r="J36" s="140">
        <v>2742</v>
      </c>
      <c r="K36" s="140">
        <v>2945</v>
      </c>
      <c r="L36" s="140">
        <v>3339</v>
      </c>
      <c r="M36" s="140">
        <v>2712</v>
      </c>
      <c r="N36" s="140">
        <v>2386</v>
      </c>
      <c r="O36" s="140">
        <v>2516</v>
      </c>
      <c r="P36" s="140">
        <v>2618</v>
      </c>
      <c r="Q36" s="140">
        <v>2793</v>
      </c>
      <c r="R36" s="140">
        <v>3066</v>
      </c>
      <c r="S36" s="140">
        <v>3060</v>
      </c>
      <c r="T36" s="140">
        <v>2656</v>
      </c>
      <c r="U36" s="140">
        <v>3039</v>
      </c>
      <c r="V36" s="140">
        <v>3502</v>
      </c>
      <c r="W36" s="140">
        <v>4101</v>
      </c>
      <c r="X36" s="141">
        <v>4335</v>
      </c>
    </row>
    <row r="37" spans="1:24" hidden="1" outlineLevel="2" x14ac:dyDescent="0.4">
      <c r="A37" s="130"/>
      <c r="B37" s="131"/>
      <c r="C37" s="131"/>
      <c r="D37" s="131" t="s">
        <v>245</v>
      </c>
      <c r="E37" s="134" t="s">
        <v>246</v>
      </c>
      <c r="F37" s="135">
        <v>620</v>
      </c>
      <c r="G37" s="135">
        <v>641</v>
      </c>
      <c r="H37" s="135">
        <v>675</v>
      </c>
      <c r="I37" s="135">
        <v>745</v>
      </c>
      <c r="J37" s="135">
        <v>748</v>
      </c>
      <c r="K37" s="135">
        <v>677</v>
      </c>
      <c r="L37" s="135">
        <v>721</v>
      </c>
      <c r="M37" s="135">
        <v>790</v>
      </c>
      <c r="N37" s="135">
        <v>760</v>
      </c>
      <c r="O37" s="135">
        <v>747</v>
      </c>
      <c r="P37" s="135">
        <v>688</v>
      </c>
      <c r="Q37" s="135">
        <v>635</v>
      </c>
      <c r="R37" s="135">
        <v>665</v>
      </c>
      <c r="S37" s="135">
        <v>702</v>
      </c>
      <c r="T37" s="135">
        <v>756</v>
      </c>
      <c r="U37" s="135">
        <v>726</v>
      </c>
      <c r="V37" s="135">
        <v>859</v>
      </c>
      <c r="W37" s="135">
        <v>1065</v>
      </c>
      <c r="X37" s="143">
        <v>1159</v>
      </c>
    </row>
    <row r="38" spans="1:24" ht="70" hidden="1" outlineLevel="2" x14ac:dyDescent="0.4">
      <c r="A38" s="124"/>
      <c r="B38" s="125"/>
      <c r="C38" s="125"/>
      <c r="D38" s="125" t="s">
        <v>247</v>
      </c>
      <c r="E38" s="139" t="s">
        <v>248</v>
      </c>
      <c r="F38" s="140">
        <v>1064</v>
      </c>
      <c r="G38" s="140">
        <v>1179</v>
      </c>
      <c r="H38" s="140">
        <v>1397</v>
      </c>
      <c r="I38" s="140">
        <v>1531</v>
      </c>
      <c r="J38" s="140">
        <v>1657</v>
      </c>
      <c r="K38" s="140">
        <v>1548</v>
      </c>
      <c r="L38" s="140">
        <v>1483</v>
      </c>
      <c r="M38" s="140">
        <v>1795</v>
      </c>
      <c r="N38" s="140">
        <v>1997</v>
      </c>
      <c r="O38" s="140">
        <v>1986</v>
      </c>
      <c r="P38" s="140">
        <v>2276</v>
      </c>
      <c r="Q38" s="140">
        <v>2333</v>
      </c>
      <c r="R38" s="140">
        <v>2398</v>
      </c>
      <c r="S38" s="140">
        <v>2453</v>
      </c>
      <c r="T38" s="140">
        <v>2520</v>
      </c>
      <c r="U38" s="140">
        <v>2640</v>
      </c>
      <c r="V38" s="140">
        <v>2985</v>
      </c>
      <c r="W38" s="140">
        <v>3652</v>
      </c>
      <c r="X38" s="141">
        <v>3858</v>
      </c>
    </row>
    <row r="39" spans="1:24" ht="28" hidden="1" outlineLevel="2" x14ac:dyDescent="0.4">
      <c r="A39" s="130"/>
      <c r="B39" s="131"/>
      <c r="C39" s="131"/>
      <c r="D39" s="131" t="s">
        <v>249</v>
      </c>
      <c r="E39" s="134" t="s">
        <v>250</v>
      </c>
      <c r="F39" s="135">
        <v>3230</v>
      </c>
      <c r="G39" s="135">
        <v>3651</v>
      </c>
      <c r="H39" s="135">
        <v>4481</v>
      </c>
      <c r="I39" s="135">
        <v>4787</v>
      </c>
      <c r="J39" s="135">
        <v>5365</v>
      </c>
      <c r="K39" s="135">
        <v>5023</v>
      </c>
      <c r="L39" s="135">
        <v>5107</v>
      </c>
      <c r="M39" s="135">
        <v>5708</v>
      </c>
      <c r="N39" s="135">
        <v>6145</v>
      </c>
      <c r="O39" s="135">
        <v>6448</v>
      </c>
      <c r="P39" s="135">
        <v>6394</v>
      </c>
      <c r="Q39" s="135">
        <v>7065</v>
      </c>
      <c r="R39" s="135">
        <v>7196</v>
      </c>
      <c r="S39" s="135">
        <v>7509</v>
      </c>
      <c r="T39" s="135">
        <v>7546</v>
      </c>
      <c r="U39" s="135">
        <v>6596</v>
      </c>
      <c r="V39" s="135">
        <v>8102</v>
      </c>
      <c r="W39" s="135">
        <v>9874</v>
      </c>
      <c r="X39" s="143">
        <v>11008</v>
      </c>
    </row>
    <row r="40" spans="1:24" ht="70" hidden="1" outlineLevel="1" collapsed="1" x14ac:dyDescent="0.4">
      <c r="A40" s="151"/>
      <c r="B40" s="125"/>
      <c r="C40" s="126" t="s">
        <v>251</v>
      </c>
      <c r="D40" s="126"/>
      <c r="E40" s="127" t="s">
        <v>252</v>
      </c>
      <c r="F40" s="128">
        <v>6783</v>
      </c>
      <c r="G40" s="128">
        <v>7663</v>
      </c>
      <c r="H40" s="128">
        <v>9159</v>
      </c>
      <c r="I40" s="128">
        <v>9358</v>
      </c>
      <c r="J40" s="128">
        <v>8140</v>
      </c>
      <c r="K40" s="128">
        <v>8263</v>
      </c>
      <c r="L40" s="128">
        <v>9078</v>
      </c>
      <c r="M40" s="128">
        <v>9671</v>
      </c>
      <c r="N40" s="128">
        <v>9964</v>
      </c>
      <c r="O40" s="128">
        <v>9996</v>
      </c>
      <c r="P40" s="128">
        <v>10343</v>
      </c>
      <c r="Q40" s="128">
        <v>10806</v>
      </c>
      <c r="R40" s="128">
        <v>10409</v>
      </c>
      <c r="S40" s="128">
        <v>10412</v>
      </c>
      <c r="T40" s="128">
        <v>11174</v>
      </c>
      <c r="U40" s="128">
        <v>8370</v>
      </c>
      <c r="V40" s="128">
        <v>12307</v>
      </c>
      <c r="W40" s="128">
        <v>15050</v>
      </c>
      <c r="X40" s="129">
        <v>13813</v>
      </c>
    </row>
    <row r="41" spans="1:24" ht="42" hidden="1" outlineLevel="2" x14ac:dyDescent="0.4">
      <c r="A41" s="130"/>
      <c r="B41" s="131"/>
      <c r="C41" s="131"/>
      <c r="D41" s="131" t="s">
        <v>253</v>
      </c>
      <c r="E41" s="134" t="s">
        <v>254</v>
      </c>
      <c r="F41" s="135">
        <v>5597</v>
      </c>
      <c r="G41" s="135">
        <v>6382</v>
      </c>
      <c r="H41" s="135">
        <v>7553</v>
      </c>
      <c r="I41" s="135">
        <v>7511</v>
      </c>
      <c r="J41" s="135">
        <v>6618</v>
      </c>
      <c r="K41" s="135">
        <v>6799</v>
      </c>
      <c r="L41" s="135">
        <v>7455</v>
      </c>
      <c r="M41" s="135">
        <v>7958</v>
      </c>
      <c r="N41" s="135">
        <v>8243</v>
      </c>
      <c r="O41" s="135">
        <v>8280</v>
      </c>
      <c r="P41" s="135">
        <v>8584</v>
      </c>
      <c r="Q41" s="135">
        <v>8992</v>
      </c>
      <c r="R41" s="135">
        <v>8771</v>
      </c>
      <c r="S41" s="135">
        <v>8912</v>
      </c>
      <c r="T41" s="135">
        <v>9718</v>
      </c>
      <c r="U41" s="135">
        <v>7554</v>
      </c>
      <c r="V41" s="135">
        <v>11114</v>
      </c>
      <c r="W41" s="135">
        <v>13608</v>
      </c>
      <c r="X41" s="143">
        <v>12380</v>
      </c>
    </row>
    <row r="42" spans="1:24" ht="56" hidden="1" outlineLevel="2" x14ac:dyDescent="0.4">
      <c r="A42" s="124"/>
      <c r="B42" s="125"/>
      <c r="C42" s="125"/>
      <c r="D42" s="125" t="s">
        <v>255</v>
      </c>
      <c r="E42" s="139" t="s">
        <v>256</v>
      </c>
      <c r="F42" s="140">
        <v>1186</v>
      </c>
      <c r="G42" s="140">
        <v>1281</v>
      </c>
      <c r="H42" s="140">
        <v>1606</v>
      </c>
      <c r="I42" s="140">
        <v>1847</v>
      </c>
      <c r="J42" s="140">
        <v>1522</v>
      </c>
      <c r="K42" s="140">
        <v>1464</v>
      </c>
      <c r="L42" s="140">
        <v>1623</v>
      </c>
      <c r="M42" s="140">
        <v>1713</v>
      </c>
      <c r="N42" s="140">
        <v>1721</v>
      </c>
      <c r="O42" s="140">
        <v>1716</v>
      </c>
      <c r="P42" s="140">
        <v>1759</v>
      </c>
      <c r="Q42" s="140">
        <v>1814</v>
      </c>
      <c r="R42" s="140">
        <v>1638</v>
      </c>
      <c r="S42" s="140">
        <v>1500</v>
      </c>
      <c r="T42" s="140">
        <v>1456</v>
      </c>
      <c r="U42" s="140">
        <v>816</v>
      </c>
      <c r="V42" s="140">
        <v>1193</v>
      </c>
      <c r="W42" s="140">
        <v>1442</v>
      </c>
      <c r="X42" s="141">
        <v>1433</v>
      </c>
    </row>
    <row r="43" spans="1:24" ht="70" hidden="1" outlineLevel="1" collapsed="1" x14ac:dyDescent="0.4">
      <c r="A43" s="149"/>
      <c r="B43" s="131"/>
      <c r="C43" s="132" t="s">
        <v>257</v>
      </c>
      <c r="D43" s="132"/>
      <c r="E43" s="150" t="s">
        <v>258</v>
      </c>
      <c r="F43" s="136">
        <v>3401</v>
      </c>
      <c r="G43" s="136">
        <v>3842</v>
      </c>
      <c r="H43" s="136">
        <v>4338</v>
      </c>
      <c r="I43" s="136">
        <v>4616</v>
      </c>
      <c r="J43" s="136">
        <v>4892</v>
      </c>
      <c r="K43" s="136">
        <v>4662</v>
      </c>
      <c r="L43" s="136">
        <v>4773</v>
      </c>
      <c r="M43" s="136">
        <v>5123</v>
      </c>
      <c r="N43" s="136">
        <v>5273</v>
      </c>
      <c r="O43" s="136">
        <v>5403</v>
      </c>
      <c r="P43" s="136">
        <v>6057</v>
      </c>
      <c r="Q43" s="136">
        <v>5931</v>
      </c>
      <c r="R43" s="136">
        <v>5798</v>
      </c>
      <c r="S43" s="136">
        <v>5961</v>
      </c>
      <c r="T43" s="136">
        <v>6293</v>
      </c>
      <c r="U43" s="136">
        <v>6124</v>
      </c>
      <c r="V43" s="136">
        <v>6721</v>
      </c>
      <c r="W43" s="136">
        <v>8921</v>
      </c>
      <c r="X43" s="137">
        <v>8981</v>
      </c>
    </row>
    <row r="44" spans="1:24" ht="42" hidden="1" outlineLevel="2" x14ac:dyDescent="0.4">
      <c r="A44" s="124"/>
      <c r="B44" s="125"/>
      <c r="C44" s="125"/>
      <c r="D44" s="125" t="s">
        <v>259</v>
      </c>
      <c r="E44" s="139" t="s">
        <v>260</v>
      </c>
      <c r="F44" s="140">
        <v>531</v>
      </c>
      <c r="G44" s="140">
        <v>645</v>
      </c>
      <c r="H44" s="140">
        <v>834</v>
      </c>
      <c r="I44" s="140">
        <v>908</v>
      </c>
      <c r="J44" s="140">
        <v>903</v>
      </c>
      <c r="K44" s="140">
        <v>938</v>
      </c>
      <c r="L44" s="140">
        <v>961</v>
      </c>
      <c r="M44" s="140">
        <v>996</v>
      </c>
      <c r="N44" s="140">
        <v>1039</v>
      </c>
      <c r="O44" s="140">
        <v>1094</v>
      </c>
      <c r="P44" s="140">
        <v>1137</v>
      </c>
      <c r="Q44" s="140">
        <v>1170</v>
      </c>
      <c r="R44" s="140">
        <v>1092</v>
      </c>
      <c r="S44" s="140">
        <v>1036</v>
      </c>
      <c r="T44" s="140">
        <v>1010</v>
      </c>
      <c r="U44" s="140">
        <v>973</v>
      </c>
      <c r="V44" s="140">
        <v>935</v>
      </c>
      <c r="W44" s="140">
        <v>1235</v>
      </c>
      <c r="X44" s="141">
        <v>1171</v>
      </c>
    </row>
    <row r="45" spans="1:24" hidden="1" outlineLevel="2" x14ac:dyDescent="0.4">
      <c r="A45" s="130"/>
      <c r="B45" s="131"/>
      <c r="C45" s="131"/>
      <c r="D45" s="131" t="s">
        <v>261</v>
      </c>
      <c r="E45" s="134" t="s">
        <v>262</v>
      </c>
      <c r="F45" s="135">
        <v>1977</v>
      </c>
      <c r="G45" s="135">
        <v>2187</v>
      </c>
      <c r="H45" s="135">
        <v>2356</v>
      </c>
      <c r="I45" s="135">
        <v>2478</v>
      </c>
      <c r="J45" s="135">
        <v>2653</v>
      </c>
      <c r="K45" s="135">
        <v>2350</v>
      </c>
      <c r="L45" s="135">
        <v>2318</v>
      </c>
      <c r="M45" s="135">
        <v>2523</v>
      </c>
      <c r="N45" s="135">
        <v>2581</v>
      </c>
      <c r="O45" s="135">
        <v>2655</v>
      </c>
      <c r="P45" s="135">
        <v>3219</v>
      </c>
      <c r="Q45" s="135">
        <v>3115</v>
      </c>
      <c r="R45" s="135">
        <v>3269</v>
      </c>
      <c r="S45" s="135">
        <v>3479</v>
      </c>
      <c r="T45" s="135">
        <v>3818</v>
      </c>
      <c r="U45" s="135">
        <v>3764</v>
      </c>
      <c r="V45" s="135">
        <v>4244</v>
      </c>
      <c r="W45" s="135">
        <v>5676</v>
      </c>
      <c r="X45" s="143">
        <v>5777</v>
      </c>
    </row>
    <row r="46" spans="1:24" ht="42" hidden="1" outlineLevel="2" x14ac:dyDescent="0.4">
      <c r="A46" s="124"/>
      <c r="B46" s="125"/>
      <c r="C46" s="125"/>
      <c r="D46" s="125" t="s">
        <v>263</v>
      </c>
      <c r="E46" s="139" t="s">
        <v>264</v>
      </c>
      <c r="F46" s="140">
        <v>893</v>
      </c>
      <c r="G46" s="140">
        <v>1010</v>
      </c>
      <c r="H46" s="140">
        <v>1148</v>
      </c>
      <c r="I46" s="140">
        <v>1230</v>
      </c>
      <c r="J46" s="140">
        <v>1336</v>
      </c>
      <c r="K46" s="140">
        <v>1374</v>
      </c>
      <c r="L46" s="140">
        <v>1494</v>
      </c>
      <c r="M46" s="140">
        <v>1604</v>
      </c>
      <c r="N46" s="140">
        <v>1653</v>
      </c>
      <c r="O46" s="140">
        <v>1654</v>
      </c>
      <c r="P46" s="140">
        <v>1701</v>
      </c>
      <c r="Q46" s="140">
        <v>1646</v>
      </c>
      <c r="R46" s="140">
        <v>1437</v>
      </c>
      <c r="S46" s="140">
        <v>1446</v>
      </c>
      <c r="T46" s="140">
        <v>1465</v>
      </c>
      <c r="U46" s="140">
        <v>1387</v>
      </c>
      <c r="V46" s="140">
        <v>1542</v>
      </c>
      <c r="W46" s="140">
        <v>2010</v>
      </c>
      <c r="X46" s="141">
        <v>2033</v>
      </c>
    </row>
    <row r="47" spans="1:24" ht="82.5" hidden="1" customHeight="1" outlineLevel="1" collapsed="1" x14ac:dyDescent="0.4">
      <c r="A47" s="149"/>
      <c r="B47" s="131"/>
      <c r="C47" s="132" t="s">
        <v>265</v>
      </c>
      <c r="D47" s="132"/>
      <c r="E47" s="150" t="s">
        <v>266</v>
      </c>
      <c r="F47" s="136">
        <v>15277</v>
      </c>
      <c r="G47" s="136">
        <v>17718</v>
      </c>
      <c r="H47" s="136">
        <v>20014</v>
      </c>
      <c r="I47" s="136">
        <v>21641</v>
      </c>
      <c r="J47" s="136">
        <v>21960</v>
      </c>
      <c r="K47" s="136">
        <v>23509</v>
      </c>
      <c r="L47" s="136">
        <v>26517</v>
      </c>
      <c r="M47" s="136">
        <v>28334</v>
      </c>
      <c r="N47" s="136">
        <v>30322</v>
      </c>
      <c r="O47" s="136">
        <v>32235</v>
      </c>
      <c r="P47" s="136">
        <v>35555</v>
      </c>
      <c r="Q47" s="136">
        <v>38111</v>
      </c>
      <c r="R47" s="136">
        <v>39071</v>
      </c>
      <c r="S47" s="136">
        <v>42105</v>
      </c>
      <c r="T47" s="136">
        <v>44731</v>
      </c>
      <c r="U47" s="136">
        <v>40040</v>
      </c>
      <c r="V47" s="136">
        <v>50785</v>
      </c>
      <c r="W47" s="136">
        <v>62685</v>
      </c>
      <c r="X47" s="137">
        <v>67189</v>
      </c>
    </row>
    <row r="48" spans="1:24" ht="28" hidden="1" outlineLevel="2" x14ac:dyDescent="0.4">
      <c r="A48" s="124"/>
      <c r="B48" s="125"/>
      <c r="C48" s="125"/>
      <c r="D48" s="125" t="s">
        <v>267</v>
      </c>
      <c r="E48" s="139" t="s">
        <v>268</v>
      </c>
      <c r="F48" s="140">
        <v>2798</v>
      </c>
      <c r="G48" s="140">
        <v>3398</v>
      </c>
      <c r="H48" s="140">
        <v>4003</v>
      </c>
      <c r="I48" s="140">
        <v>4580</v>
      </c>
      <c r="J48" s="140">
        <v>3925</v>
      </c>
      <c r="K48" s="140">
        <v>4983</v>
      </c>
      <c r="L48" s="140">
        <v>6422</v>
      </c>
      <c r="M48" s="140">
        <v>6632</v>
      </c>
      <c r="N48" s="140">
        <v>6925</v>
      </c>
      <c r="O48" s="140">
        <v>7357</v>
      </c>
      <c r="P48" s="140">
        <v>7761</v>
      </c>
      <c r="Q48" s="140">
        <v>8485</v>
      </c>
      <c r="R48" s="140">
        <v>10669</v>
      </c>
      <c r="S48" s="140">
        <v>12991</v>
      </c>
      <c r="T48" s="140">
        <v>14360</v>
      </c>
      <c r="U48" s="140">
        <v>10282</v>
      </c>
      <c r="V48" s="140">
        <v>15096</v>
      </c>
      <c r="W48" s="140">
        <v>19948</v>
      </c>
      <c r="X48" s="141">
        <v>23535</v>
      </c>
    </row>
    <row r="49" spans="1:24" ht="84" hidden="1" outlineLevel="2" x14ac:dyDescent="0.4">
      <c r="A49" s="130"/>
      <c r="B49" s="131"/>
      <c r="C49" s="131"/>
      <c r="D49" s="131" t="s">
        <v>269</v>
      </c>
      <c r="E49" s="134" t="s">
        <v>270</v>
      </c>
      <c r="F49" s="135">
        <v>5776</v>
      </c>
      <c r="G49" s="135">
        <v>6511</v>
      </c>
      <c r="H49" s="135">
        <v>7102</v>
      </c>
      <c r="I49" s="135">
        <v>7704</v>
      </c>
      <c r="J49" s="135">
        <v>8434</v>
      </c>
      <c r="K49" s="135">
        <v>9017</v>
      </c>
      <c r="L49" s="135">
        <v>9279</v>
      </c>
      <c r="M49" s="135">
        <v>9573</v>
      </c>
      <c r="N49" s="135">
        <v>10402</v>
      </c>
      <c r="O49" s="135">
        <v>10571</v>
      </c>
      <c r="P49" s="135">
        <v>11814</v>
      </c>
      <c r="Q49" s="135">
        <v>13456</v>
      </c>
      <c r="R49" s="135">
        <v>13597</v>
      </c>
      <c r="S49" s="135">
        <v>14233</v>
      </c>
      <c r="T49" s="135">
        <v>15085</v>
      </c>
      <c r="U49" s="135">
        <v>16079</v>
      </c>
      <c r="V49" s="135">
        <v>20225</v>
      </c>
      <c r="W49" s="135">
        <v>24331</v>
      </c>
      <c r="X49" s="143">
        <v>24540</v>
      </c>
    </row>
    <row r="50" spans="1:24" hidden="1" outlineLevel="2" x14ac:dyDescent="0.4">
      <c r="A50" s="124"/>
      <c r="B50" s="125"/>
      <c r="C50" s="125"/>
      <c r="D50" s="125" t="s">
        <v>271</v>
      </c>
      <c r="E50" s="139" t="s">
        <v>272</v>
      </c>
      <c r="F50" s="140">
        <v>2104</v>
      </c>
      <c r="G50" s="140">
        <v>2287</v>
      </c>
      <c r="H50" s="140">
        <v>2457</v>
      </c>
      <c r="I50" s="140">
        <v>2529</v>
      </c>
      <c r="J50" s="140">
        <v>2494</v>
      </c>
      <c r="K50" s="140">
        <v>2400</v>
      </c>
      <c r="L50" s="140">
        <v>2483</v>
      </c>
      <c r="M50" s="140">
        <v>2742</v>
      </c>
      <c r="N50" s="140">
        <v>2676</v>
      </c>
      <c r="O50" s="140">
        <v>2491</v>
      </c>
      <c r="P50" s="140">
        <v>2791</v>
      </c>
      <c r="Q50" s="140">
        <v>2869</v>
      </c>
      <c r="R50" s="140">
        <v>2735</v>
      </c>
      <c r="S50" s="140">
        <v>2963</v>
      </c>
      <c r="T50" s="140">
        <v>3196</v>
      </c>
      <c r="U50" s="140">
        <v>3173</v>
      </c>
      <c r="V50" s="140">
        <v>3246</v>
      </c>
      <c r="W50" s="140">
        <v>3809</v>
      </c>
      <c r="X50" s="141">
        <v>3648</v>
      </c>
    </row>
    <row r="51" spans="1:24" hidden="1" outlineLevel="2" x14ac:dyDescent="0.4">
      <c r="A51" s="130"/>
      <c r="B51" s="131"/>
      <c r="C51" s="131"/>
      <c r="D51" s="131" t="s">
        <v>273</v>
      </c>
      <c r="E51" s="134" t="s">
        <v>274</v>
      </c>
      <c r="F51" s="135">
        <v>4599</v>
      </c>
      <c r="G51" s="135">
        <v>5522</v>
      </c>
      <c r="H51" s="135">
        <v>6452</v>
      </c>
      <c r="I51" s="135">
        <v>6828</v>
      </c>
      <c r="J51" s="135">
        <v>7107</v>
      </c>
      <c r="K51" s="135">
        <v>7109</v>
      </c>
      <c r="L51" s="135">
        <v>8333</v>
      </c>
      <c r="M51" s="135">
        <v>9387</v>
      </c>
      <c r="N51" s="135">
        <v>10319</v>
      </c>
      <c r="O51" s="135">
        <v>11816</v>
      </c>
      <c r="P51" s="135">
        <v>13189</v>
      </c>
      <c r="Q51" s="135">
        <v>13301</v>
      </c>
      <c r="R51" s="135">
        <v>12070</v>
      </c>
      <c r="S51" s="135">
        <v>11918</v>
      </c>
      <c r="T51" s="135">
        <v>12090</v>
      </c>
      <c r="U51" s="135">
        <v>10506</v>
      </c>
      <c r="V51" s="135">
        <v>12218</v>
      </c>
      <c r="W51" s="135">
        <v>14597</v>
      </c>
      <c r="X51" s="143">
        <v>15467</v>
      </c>
    </row>
    <row r="52" spans="1:24" ht="112" hidden="1" outlineLevel="1" collapsed="1" x14ac:dyDescent="0.4">
      <c r="A52" s="151"/>
      <c r="B52" s="125"/>
      <c r="C52" s="126" t="s">
        <v>275</v>
      </c>
      <c r="D52" s="126"/>
      <c r="E52" s="127" t="s">
        <v>276</v>
      </c>
      <c r="F52" s="128">
        <v>8705</v>
      </c>
      <c r="G52" s="128">
        <v>10168</v>
      </c>
      <c r="H52" s="128">
        <v>11660</v>
      </c>
      <c r="I52" s="128">
        <v>11144</v>
      </c>
      <c r="J52" s="128">
        <v>11017</v>
      </c>
      <c r="K52" s="128">
        <v>12285</v>
      </c>
      <c r="L52" s="128">
        <v>13046</v>
      </c>
      <c r="M52" s="128">
        <v>14636</v>
      </c>
      <c r="N52" s="128">
        <v>14474</v>
      </c>
      <c r="O52" s="128">
        <v>14661</v>
      </c>
      <c r="P52" s="128">
        <v>15004</v>
      </c>
      <c r="Q52" s="128">
        <v>15651</v>
      </c>
      <c r="R52" s="128">
        <v>13681</v>
      </c>
      <c r="S52" s="128">
        <v>14627</v>
      </c>
      <c r="T52" s="128">
        <v>16176</v>
      </c>
      <c r="U52" s="128">
        <v>15025</v>
      </c>
      <c r="V52" s="128">
        <v>17710</v>
      </c>
      <c r="W52" s="128">
        <v>21394</v>
      </c>
      <c r="X52" s="129">
        <v>20747</v>
      </c>
    </row>
    <row r="53" spans="1:24" ht="28" hidden="1" outlineLevel="2" x14ac:dyDescent="0.4">
      <c r="A53" s="130"/>
      <c r="B53" s="131"/>
      <c r="C53" s="131"/>
      <c r="D53" s="131" t="s">
        <v>277</v>
      </c>
      <c r="E53" s="134" t="s">
        <v>278</v>
      </c>
      <c r="F53" s="135">
        <v>2221</v>
      </c>
      <c r="G53" s="135">
        <v>2742</v>
      </c>
      <c r="H53" s="135">
        <v>3074</v>
      </c>
      <c r="I53" s="135">
        <v>3553</v>
      </c>
      <c r="J53" s="135">
        <v>3701</v>
      </c>
      <c r="K53" s="135">
        <v>4319</v>
      </c>
      <c r="L53" s="135">
        <v>5185</v>
      </c>
      <c r="M53" s="135">
        <v>5739</v>
      </c>
      <c r="N53" s="135">
        <v>5375</v>
      </c>
      <c r="O53" s="135">
        <v>5703</v>
      </c>
      <c r="P53" s="135">
        <v>5946</v>
      </c>
      <c r="Q53" s="135">
        <v>6329</v>
      </c>
      <c r="R53" s="135">
        <v>6208</v>
      </c>
      <c r="S53" s="135">
        <v>6688</v>
      </c>
      <c r="T53" s="135">
        <v>7671</v>
      </c>
      <c r="U53" s="135">
        <v>8183</v>
      </c>
      <c r="V53" s="135">
        <v>9839</v>
      </c>
      <c r="W53" s="135">
        <v>11469</v>
      </c>
      <c r="X53" s="143">
        <v>10802</v>
      </c>
    </row>
    <row r="54" spans="1:24" ht="28" hidden="1" outlineLevel="2" x14ac:dyDescent="0.4">
      <c r="A54" s="124"/>
      <c r="B54" s="125"/>
      <c r="C54" s="125"/>
      <c r="D54" s="125" t="s">
        <v>279</v>
      </c>
      <c r="E54" s="139" t="s">
        <v>280</v>
      </c>
      <c r="F54" s="140">
        <v>1263</v>
      </c>
      <c r="G54" s="140">
        <v>1523</v>
      </c>
      <c r="H54" s="140">
        <v>1776</v>
      </c>
      <c r="I54" s="140">
        <v>1777</v>
      </c>
      <c r="J54" s="140">
        <v>1727</v>
      </c>
      <c r="K54" s="140">
        <v>1827</v>
      </c>
      <c r="L54" s="140">
        <v>1717</v>
      </c>
      <c r="M54" s="140">
        <v>1718</v>
      </c>
      <c r="N54" s="140">
        <v>1792</v>
      </c>
      <c r="O54" s="140">
        <v>1729</v>
      </c>
      <c r="P54" s="140">
        <v>1920</v>
      </c>
      <c r="Q54" s="140">
        <v>2122</v>
      </c>
      <c r="R54" s="140">
        <v>1960</v>
      </c>
      <c r="S54" s="140">
        <v>2111</v>
      </c>
      <c r="T54" s="140">
        <v>2227</v>
      </c>
      <c r="U54" s="140">
        <v>2174</v>
      </c>
      <c r="V54" s="140">
        <v>2376</v>
      </c>
      <c r="W54" s="140">
        <v>2983</v>
      </c>
      <c r="X54" s="141">
        <v>3155</v>
      </c>
    </row>
    <row r="55" spans="1:24" ht="28" hidden="1" outlineLevel="2" x14ac:dyDescent="0.4">
      <c r="A55" s="130"/>
      <c r="B55" s="131"/>
      <c r="C55" s="131"/>
      <c r="D55" s="131" t="s">
        <v>281</v>
      </c>
      <c r="E55" s="134" t="s">
        <v>282</v>
      </c>
      <c r="F55" s="135">
        <v>3273</v>
      </c>
      <c r="G55" s="135">
        <v>3615</v>
      </c>
      <c r="H55" s="135">
        <v>4002</v>
      </c>
      <c r="I55" s="135">
        <v>4043</v>
      </c>
      <c r="J55" s="135">
        <v>4025</v>
      </c>
      <c r="K55" s="135">
        <v>3893</v>
      </c>
      <c r="L55" s="135">
        <v>4048</v>
      </c>
      <c r="M55" s="135">
        <v>4439</v>
      </c>
      <c r="N55" s="135">
        <v>4691</v>
      </c>
      <c r="O55" s="135">
        <v>4504</v>
      </c>
      <c r="P55" s="135">
        <v>4635</v>
      </c>
      <c r="Q55" s="135">
        <v>4669</v>
      </c>
      <c r="R55" s="135">
        <v>3237</v>
      </c>
      <c r="S55" s="135">
        <v>3351</v>
      </c>
      <c r="T55" s="135">
        <v>3560</v>
      </c>
      <c r="U55" s="135">
        <v>3087</v>
      </c>
      <c r="V55" s="135">
        <v>3271</v>
      </c>
      <c r="W55" s="135">
        <v>3866</v>
      </c>
      <c r="X55" s="143">
        <v>4291</v>
      </c>
    </row>
    <row r="56" spans="1:24" ht="42" hidden="1" outlineLevel="2" x14ac:dyDescent="0.4">
      <c r="A56" s="124"/>
      <c r="B56" s="125"/>
      <c r="C56" s="125"/>
      <c r="D56" s="125" t="s">
        <v>283</v>
      </c>
      <c r="E56" s="139" t="s">
        <v>284</v>
      </c>
      <c r="F56" s="140">
        <v>1948</v>
      </c>
      <c r="G56" s="140">
        <v>2288</v>
      </c>
      <c r="H56" s="140">
        <v>2808</v>
      </c>
      <c r="I56" s="140">
        <v>1771</v>
      </c>
      <c r="J56" s="140">
        <v>1564</v>
      </c>
      <c r="K56" s="140">
        <v>2246</v>
      </c>
      <c r="L56" s="140">
        <v>2096</v>
      </c>
      <c r="M56" s="140">
        <v>2740</v>
      </c>
      <c r="N56" s="140">
        <v>2616</v>
      </c>
      <c r="O56" s="140">
        <v>2725</v>
      </c>
      <c r="P56" s="140">
        <v>2503</v>
      </c>
      <c r="Q56" s="140">
        <v>2531</v>
      </c>
      <c r="R56" s="140">
        <v>2276</v>
      </c>
      <c r="S56" s="140">
        <v>2477</v>
      </c>
      <c r="T56" s="140">
        <v>2718</v>
      </c>
      <c r="U56" s="140">
        <v>1581</v>
      </c>
      <c r="V56" s="140">
        <v>2224</v>
      </c>
      <c r="W56" s="140">
        <v>3076</v>
      </c>
      <c r="X56" s="141">
        <v>2499</v>
      </c>
    </row>
    <row r="57" spans="1:24" ht="28" hidden="1" outlineLevel="1" collapsed="1" x14ac:dyDescent="0.4">
      <c r="A57" s="149"/>
      <c r="B57" s="131"/>
      <c r="C57" s="132" t="s">
        <v>285</v>
      </c>
      <c r="D57" s="132"/>
      <c r="E57" s="150" t="s">
        <v>286</v>
      </c>
      <c r="F57" s="136">
        <v>3110</v>
      </c>
      <c r="G57" s="136">
        <v>3489</v>
      </c>
      <c r="H57" s="136">
        <v>3781</v>
      </c>
      <c r="I57" s="136">
        <v>3977</v>
      </c>
      <c r="J57" s="136">
        <v>4053</v>
      </c>
      <c r="K57" s="136">
        <v>4205</v>
      </c>
      <c r="L57" s="136">
        <v>4387</v>
      </c>
      <c r="M57" s="136">
        <v>4701</v>
      </c>
      <c r="N57" s="136">
        <v>4950</v>
      </c>
      <c r="O57" s="136">
        <v>5145</v>
      </c>
      <c r="P57" s="136">
        <v>5611</v>
      </c>
      <c r="Q57" s="136">
        <v>5589</v>
      </c>
      <c r="R57" s="136">
        <v>5460</v>
      </c>
      <c r="S57" s="136">
        <v>5747</v>
      </c>
      <c r="T57" s="136">
        <v>5774</v>
      </c>
      <c r="U57" s="136">
        <v>5347</v>
      </c>
      <c r="V57" s="136">
        <v>6689</v>
      </c>
      <c r="W57" s="136">
        <v>8070</v>
      </c>
      <c r="X57" s="137">
        <v>8212</v>
      </c>
    </row>
    <row r="58" spans="1:24" hidden="1" outlineLevel="2" x14ac:dyDescent="0.4">
      <c r="A58" s="124"/>
      <c r="B58" s="125"/>
      <c r="C58" s="125"/>
      <c r="D58" s="125" t="s">
        <v>287</v>
      </c>
      <c r="E58" s="152" t="s">
        <v>288</v>
      </c>
      <c r="F58" s="140">
        <v>1280</v>
      </c>
      <c r="G58" s="140">
        <v>1402</v>
      </c>
      <c r="H58" s="140">
        <v>1576</v>
      </c>
      <c r="I58" s="140">
        <v>1658</v>
      </c>
      <c r="J58" s="140">
        <v>1781</v>
      </c>
      <c r="K58" s="140">
        <v>1741</v>
      </c>
      <c r="L58" s="140">
        <v>1837</v>
      </c>
      <c r="M58" s="140">
        <v>1986</v>
      </c>
      <c r="N58" s="140">
        <v>2132</v>
      </c>
      <c r="O58" s="140">
        <v>2209</v>
      </c>
      <c r="P58" s="140">
        <v>2306</v>
      </c>
      <c r="Q58" s="140">
        <v>2321</v>
      </c>
      <c r="R58" s="140">
        <v>2195</v>
      </c>
      <c r="S58" s="140">
        <v>2259</v>
      </c>
      <c r="T58" s="140">
        <v>2295</v>
      </c>
      <c r="U58" s="140">
        <v>2035</v>
      </c>
      <c r="V58" s="140">
        <v>2730</v>
      </c>
      <c r="W58" s="140">
        <v>3090</v>
      </c>
      <c r="X58" s="141">
        <v>2957</v>
      </c>
    </row>
    <row r="59" spans="1:24" hidden="1" outlineLevel="2" x14ac:dyDescent="0.4">
      <c r="A59" s="130"/>
      <c r="B59" s="131"/>
      <c r="C59" s="131"/>
      <c r="D59" s="131" t="s">
        <v>289</v>
      </c>
      <c r="E59" s="153" t="s">
        <v>290</v>
      </c>
      <c r="F59" s="135">
        <v>1830</v>
      </c>
      <c r="G59" s="135">
        <v>2087</v>
      </c>
      <c r="H59" s="135">
        <v>2205</v>
      </c>
      <c r="I59" s="135">
        <v>2319</v>
      </c>
      <c r="J59" s="135">
        <v>2272</v>
      </c>
      <c r="K59" s="135">
        <v>2464</v>
      </c>
      <c r="L59" s="135">
        <v>2550</v>
      </c>
      <c r="M59" s="135">
        <v>2715</v>
      </c>
      <c r="N59" s="135">
        <v>2818</v>
      </c>
      <c r="O59" s="135">
        <v>2936</v>
      </c>
      <c r="P59" s="135">
        <v>3305</v>
      </c>
      <c r="Q59" s="135">
        <v>3268</v>
      </c>
      <c r="R59" s="135">
        <v>3265</v>
      </c>
      <c r="S59" s="135">
        <v>3488</v>
      </c>
      <c r="T59" s="135">
        <v>3479</v>
      </c>
      <c r="U59" s="135">
        <v>3312</v>
      </c>
      <c r="V59" s="135">
        <v>3959</v>
      </c>
      <c r="W59" s="135">
        <v>4980</v>
      </c>
      <c r="X59" s="143">
        <v>5255</v>
      </c>
    </row>
    <row r="60" spans="1:24" ht="56" collapsed="1" x14ac:dyDescent="0.4">
      <c r="A60" s="144"/>
      <c r="B60" s="145" t="s">
        <v>291</v>
      </c>
      <c r="C60" s="145"/>
      <c r="D60" s="145"/>
      <c r="E60" s="146" t="s">
        <v>292</v>
      </c>
      <c r="F60" s="147">
        <v>12035</v>
      </c>
      <c r="G60" s="147">
        <v>13290</v>
      </c>
      <c r="H60" s="147">
        <v>14757</v>
      </c>
      <c r="I60" s="147">
        <v>15895</v>
      </c>
      <c r="J60" s="147">
        <v>16341</v>
      </c>
      <c r="K60" s="147">
        <v>17809</v>
      </c>
      <c r="L60" s="147">
        <v>19318</v>
      </c>
      <c r="M60" s="147">
        <v>20467</v>
      </c>
      <c r="N60" s="147">
        <v>21767</v>
      </c>
      <c r="O60" s="147">
        <v>22947</v>
      </c>
      <c r="P60" s="147">
        <v>24599</v>
      </c>
      <c r="Q60" s="147">
        <v>27624</v>
      </c>
      <c r="R60" s="147">
        <v>29789</v>
      </c>
      <c r="S60" s="147">
        <v>32616</v>
      </c>
      <c r="T60" s="147">
        <v>36124</v>
      </c>
      <c r="U60" s="147">
        <v>38850</v>
      </c>
      <c r="V60" s="147">
        <v>44820</v>
      </c>
      <c r="W60" s="147">
        <v>54990</v>
      </c>
      <c r="X60" s="148">
        <v>66139</v>
      </c>
    </row>
    <row r="61" spans="1:24" hidden="1" outlineLevel="1" x14ac:dyDescent="0.4">
      <c r="A61" s="149"/>
      <c r="B61" s="132"/>
      <c r="C61" s="132" t="s">
        <v>293</v>
      </c>
      <c r="D61" s="132"/>
      <c r="E61" s="150" t="s">
        <v>294</v>
      </c>
      <c r="F61" s="136">
        <v>7381</v>
      </c>
      <c r="G61" s="136">
        <v>8177</v>
      </c>
      <c r="H61" s="136">
        <v>9188</v>
      </c>
      <c r="I61" s="136">
        <v>10139</v>
      </c>
      <c r="J61" s="136">
        <v>10357</v>
      </c>
      <c r="K61" s="136">
        <v>11414</v>
      </c>
      <c r="L61" s="136">
        <v>12551</v>
      </c>
      <c r="M61" s="136">
        <v>13579</v>
      </c>
      <c r="N61" s="136">
        <v>14622</v>
      </c>
      <c r="O61" s="136">
        <v>15611</v>
      </c>
      <c r="P61" s="136">
        <v>16842</v>
      </c>
      <c r="Q61" s="136">
        <v>19583</v>
      </c>
      <c r="R61" s="136">
        <v>20665</v>
      </c>
      <c r="S61" s="136">
        <v>22595</v>
      </c>
      <c r="T61" s="136">
        <v>25137</v>
      </c>
      <c r="U61" s="136">
        <v>27894</v>
      </c>
      <c r="V61" s="136">
        <v>31650</v>
      </c>
      <c r="W61" s="136">
        <v>39802</v>
      </c>
      <c r="X61" s="137">
        <v>49590</v>
      </c>
    </row>
    <row r="62" spans="1:24" ht="24.75" hidden="1" customHeight="1" outlineLevel="2" x14ac:dyDescent="0.4">
      <c r="A62" s="124"/>
      <c r="B62" s="125"/>
      <c r="C62" s="125"/>
      <c r="D62" s="125" t="s">
        <v>295</v>
      </c>
      <c r="E62" s="139" t="s">
        <v>296</v>
      </c>
      <c r="F62" s="140">
        <v>6293</v>
      </c>
      <c r="G62" s="140">
        <v>6800</v>
      </c>
      <c r="H62" s="140">
        <v>7488</v>
      </c>
      <c r="I62" s="140">
        <v>8117</v>
      </c>
      <c r="J62" s="140">
        <v>8965</v>
      </c>
      <c r="K62" s="140">
        <v>9896</v>
      </c>
      <c r="L62" s="140">
        <v>10879</v>
      </c>
      <c r="M62" s="140">
        <v>11661</v>
      </c>
      <c r="N62" s="140">
        <v>12520</v>
      </c>
      <c r="O62" s="140">
        <v>13439</v>
      </c>
      <c r="P62" s="140">
        <v>14017</v>
      </c>
      <c r="Q62" s="140">
        <v>16085</v>
      </c>
      <c r="R62" s="140">
        <v>16795</v>
      </c>
      <c r="S62" s="140">
        <v>18461</v>
      </c>
      <c r="T62" s="140">
        <v>20639</v>
      </c>
      <c r="U62" s="140">
        <v>22880</v>
      </c>
      <c r="V62" s="140">
        <v>26007</v>
      </c>
      <c r="W62" s="140">
        <v>33077</v>
      </c>
      <c r="X62" s="141">
        <v>42209</v>
      </c>
    </row>
    <row r="63" spans="1:24" ht="28" hidden="1" outlineLevel="2" x14ac:dyDescent="0.4">
      <c r="A63" s="130"/>
      <c r="B63" s="131"/>
      <c r="C63" s="131"/>
      <c r="D63" s="131" t="s">
        <v>297</v>
      </c>
      <c r="E63" s="134" t="s">
        <v>298</v>
      </c>
      <c r="F63" s="135">
        <v>1088</v>
      </c>
      <c r="G63" s="135">
        <v>1377</v>
      </c>
      <c r="H63" s="135">
        <v>1700</v>
      </c>
      <c r="I63" s="135">
        <v>2022</v>
      </c>
      <c r="J63" s="135">
        <v>1392</v>
      </c>
      <c r="K63" s="135">
        <v>1518</v>
      </c>
      <c r="L63" s="135">
        <v>1672</v>
      </c>
      <c r="M63" s="135">
        <v>1918</v>
      </c>
      <c r="N63" s="135">
        <v>2102</v>
      </c>
      <c r="O63" s="135">
        <v>2172</v>
      </c>
      <c r="P63" s="135">
        <v>2825</v>
      </c>
      <c r="Q63" s="135">
        <v>3498</v>
      </c>
      <c r="R63" s="135">
        <v>3870</v>
      </c>
      <c r="S63" s="135">
        <v>4134</v>
      </c>
      <c r="T63" s="135">
        <v>4498</v>
      </c>
      <c r="U63" s="135">
        <v>5014</v>
      </c>
      <c r="V63" s="135">
        <v>5643</v>
      </c>
      <c r="W63" s="135">
        <v>6725</v>
      </c>
      <c r="X63" s="143">
        <v>7380</v>
      </c>
    </row>
    <row r="64" spans="1:24" ht="42" hidden="1" outlineLevel="1" collapsed="1" x14ac:dyDescent="0.4">
      <c r="A64" s="151"/>
      <c r="B64" s="126"/>
      <c r="C64" s="126" t="s">
        <v>299</v>
      </c>
      <c r="D64" s="126"/>
      <c r="E64" s="127" t="s">
        <v>300</v>
      </c>
      <c r="F64" s="128">
        <v>4654</v>
      </c>
      <c r="G64" s="128">
        <v>5113</v>
      </c>
      <c r="H64" s="128">
        <v>5569</v>
      </c>
      <c r="I64" s="128">
        <v>5756</v>
      </c>
      <c r="J64" s="128">
        <v>5984</v>
      </c>
      <c r="K64" s="128">
        <v>6395</v>
      </c>
      <c r="L64" s="128">
        <v>6767</v>
      </c>
      <c r="M64" s="128">
        <v>6888</v>
      </c>
      <c r="N64" s="128">
        <v>7145</v>
      </c>
      <c r="O64" s="128">
        <v>7336</v>
      </c>
      <c r="P64" s="128">
        <v>7757</v>
      </c>
      <c r="Q64" s="128">
        <v>8041</v>
      </c>
      <c r="R64" s="128">
        <v>9124</v>
      </c>
      <c r="S64" s="128">
        <v>10021</v>
      </c>
      <c r="T64" s="128">
        <v>10987</v>
      </c>
      <c r="U64" s="128">
        <v>10956</v>
      </c>
      <c r="V64" s="128">
        <v>13170</v>
      </c>
      <c r="W64" s="128">
        <v>15188</v>
      </c>
      <c r="X64" s="129">
        <v>16550</v>
      </c>
    </row>
    <row r="65" spans="1:24" hidden="1" outlineLevel="2" x14ac:dyDescent="0.4">
      <c r="A65" s="130"/>
      <c r="B65" s="131"/>
      <c r="C65" s="131"/>
      <c r="D65" s="131" t="s">
        <v>301</v>
      </c>
      <c r="E65" s="134" t="s">
        <v>302</v>
      </c>
      <c r="F65" s="135">
        <v>1463</v>
      </c>
      <c r="G65" s="135">
        <v>1488</v>
      </c>
      <c r="H65" s="135">
        <v>1578</v>
      </c>
      <c r="I65" s="135">
        <v>1736</v>
      </c>
      <c r="J65" s="135">
        <v>1785</v>
      </c>
      <c r="K65" s="135">
        <v>1854</v>
      </c>
      <c r="L65" s="135">
        <v>1962</v>
      </c>
      <c r="M65" s="135">
        <v>2079</v>
      </c>
      <c r="N65" s="135">
        <v>2178</v>
      </c>
      <c r="O65" s="135">
        <v>2268</v>
      </c>
      <c r="P65" s="135">
        <v>2376</v>
      </c>
      <c r="Q65" s="135">
        <v>2502</v>
      </c>
      <c r="R65" s="135">
        <v>2703</v>
      </c>
      <c r="S65" s="135">
        <v>3012</v>
      </c>
      <c r="T65" s="135">
        <v>3263</v>
      </c>
      <c r="U65" s="135">
        <v>3372</v>
      </c>
      <c r="V65" s="135">
        <v>3585</v>
      </c>
      <c r="W65" s="135">
        <v>3897</v>
      </c>
      <c r="X65" s="143">
        <v>4466</v>
      </c>
    </row>
    <row r="66" spans="1:24" ht="42" hidden="1" outlineLevel="2" x14ac:dyDescent="0.4">
      <c r="A66" s="124"/>
      <c r="B66" s="125"/>
      <c r="C66" s="125"/>
      <c r="D66" s="125" t="s">
        <v>303</v>
      </c>
      <c r="E66" s="139" t="s">
        <v>304</v>
      </c>
      <c r="F66" s="140">
        <v>2227</v>
      </c>
      <c r="G66" s="140">
        <v>2561</v>
      </c>
      <c r="H66" s="140">
        <v>2831</v>
      </c>
      <c r="I66" s="140">
        <v>2980</v>
      </c>
      <c r="J66" s="140">
        <v>3175</v>
      </c>
      <c r="K66" s="140">
        <v>3391</v>
      </c>
      <c r="L66" s="140">
        <v>3520</v>
      </c>
      <c r="M66" s="140">
        <v>3600</v>
      </c>
      <c r="N66" s="140">
        <v>3739</v>
      </c>
      <c r="O66" s="140">
        <v>3913</v>
      </c>
      <c r="P66" s="140">
        <v>4068</v>
      </c>
      <c r="Q66" s="140">
        <v>4223</v>
      </c>
      <c r="R66" s="140">
        <v>4941</v>
      </c>
      <c r="S66" s="140">
        <v>5448</v>
      </c>
      <c r="T66" s="140">
        <v>6159</v>
      </c>
      <c r="U66" s="140">
        <v>5983</v>
      </c>
      <c r="V66" s="140">
        <v>6554</v>
      </c>
      <c r="W66" s="140">
        <v>7465</v>
      </c>
      <c r="X66" s="141">
        <v>8555</v>
      </c>
    </row>
    <row r="67" spans="1:24" hidden="1" outlineLevel="2" x14ac:dyDescent="0.4">
      <c r="A67" s="130"/>
      <c r="B67" s="131"/>
      <c r="C67" s="131"/>
      <c r="D67" s="131" t="s">
        <v>305</v>
      </c>
      <c r="E67" s="134" t="s">
        <v>306</v>
      </c>
      <c r="F67" s="135">
        <v>964</v>
      </c>
      <c r="G67" s="135">
        <v>1064</v>
      </c>
      <c r="H67" s="135">
        <v>1160</v>
      </c>
      <c r="I67" s="135">
        <v>1040</v>
      </c>
      <c r="J67" s="135">
        <v>1024</v>
      </c>
      <c r="K67" s="135">
        <v>1150</v>
      </c>
      <c r="L67" s="135">
        <v>1285</v>
      </c>
      <c r="M67" s="135">
        <v>1209</v>
      </c>
      <c r="N67" s="135">
        <v>1228</v>
      </c>
      <c r="O67" s="135">
        <v>1155</v>
      </c>
      <c r="P67" s="135">
        <v>1313</v>
      </c>
      <c r="Q67" s="135">
        <v>1316</v>
      </c>
      <c r="R67" s="135">
        <v>1480</v>
      </c>
      <c r="S67" s="135">
        <v>1561</v>
      </c>
      <c r="T67" s="135">
        <v>1565</v>
      </c>
      <c r="U67" s="135">
        <v>1601</v>
      </c>
      <c r="V67" s="135">
        <v>3031</v>
      </c>
      <c r="W67" s="135">
        <v>3826</v>
      </c>
      <c r="X67" s="143">
        <v>3528</v>
      </c>
    </row>
    <row r="68" spans="1:24" collapsed="1" x14ac:dyDescent="0.4">
      <c r="A68" s="144"/>
      <c r="B68" s="145" t="s">
        <v>307</v>
      </c>
      <c r="C68" s="145"/>
      <c r="D68" s="145"/>
      <c r="E68" s="146" t="s">
        <v>308</v>
      </c>
      <c r="F68" s="147">
        <v>14415</v>
      </c>
      <c r="G68" s="147">
        <v>17575</v>
      </c>
      <c r="H68" s="147">
        <v>20611</v>
      </c>
      <c r="I68" s="147">
        <v>25288</v>
      </c>
      <c r="J68" s="147">
        <v>29019</v>
      </c>
      <c r="K68" s="147">
        <v>29776</v>
      </c>
      <c r="L68" s="147">
        <v>34462</v>
      </c>
      <c r="M68" s="147">
        <v>40385</v>
      </c>
      <c r="N68" s="147">
        <v>48320</v>
      </c>
      <c r="O68" s="147">
        <v>55568</v>
      </c>
      <c r="P68" s="147">
        <v>58042</v>
      </c>
      <c r="Q68" s="147">
        <v>64325</v>
      </c>
      <c r="R68" s="147">
        <v>64474</v>
      </c>
      <c r="S68" s="147">
        <v>65110</v>
      </c>
      <c r="T68" s="147">
        <v>65277</v>
      </c>
      <c r="U68" s="147">
        <v>47384</v>
      </c>
      <c r="V68" s="147">
        <v>50235</v>
      </c>
      <c r="W68" s="147">
        <v>57873</v>
      </c>
      <c r="X68" s="148">
        <v>61953</v>
      </c>
    </row>
    <row r="69" spans="1:24" hidden="1" outlineLevel="1" x14ac:dyDescent="0.4">
      <c r="A69" s="149"/>
      <c r="B69" s="132"/>
      <c r="C69" s="132" t="s">
        <v>309</v>
      </c>
      <c r="D69" s="132"/>
      <c r="E69" s="150" t="s">
        <v>310</v>
      </c>
      <c r="F69" s="136">
        <v>7615</v>
      </c>
      <c r="G69" s="136">
        <v>9167</v>
      </c>
      <c r="H69" s="136">
        <v>10406</v>
      </c>
      <c r="I69" s="136">
        <v>13136</v>
      </c>
      <c r="J69" s="136">
        <v>14529</v>
      </c>
      <c r="K69" s="136">
        <v>15180</v>
      </c>
      <c r="L69" s="136">
        <v>17192</v>
      </c>
      <c r="M69" s="136">
        <v>20614</v>
      </c>
      <c r="N69" s="136">
        <v>24987</v>
      </c>
      <c r="O69" s="136">
        <v>28539</v>
      </c>
      <c r="P69" s="136">
        <v>30111</v>
      </c>
      <c r="Q69" s="136">
        <v>33869</v>
      </c>
      <c r="R69" s="136">
        <v>31692</v>
      </c>
      <c r="S69" s="136">
        <v>32115</v>
      </c>
      <c r="T69" s="136">
        <v>30015</v>
      </c>
      <c r="U69" s="136">
        <v>21637</v>
      </c>
      <c r="V69" s="136">
        <v>23788</v>
      </c>
      <c r="W69" s="136">
        <v>29159</v>
      </c>
      <c r="X69" s="137">
        <v>32524</v>
      </c>
    </row>
    <row r="70" spans="1:24" hidden="1" outlineLevel="2" x14ac:dyDescent="0.4">
      <c r="A70" s="124"/>
      <c r="B70" s="125"/>
      <c r="C70" s="125"/>
      <c r="D70" s="125" t="s">
        <v>311</v>
      </c>
      <c r="E70" s="139" t="s">
        <v>310</v>
      </c>
      <c r="F70" s="140">
        <v>7615</v>
      </c>
      <c r="G70" s="140">
        <v>9167</v>
      </c>
      <c r="H70" s="140">
        <v>10406</v>
      </c>
      <c r="I70" s="140">
        <v>13136</v>
      </c>
      <c r="J70" s="140">
        <v>14529</v>
      </c>
      <c r="K70" s="140">
        <v>15180</v>
      </c>
      <c r="L70" s="140">
        <v>17192</v>
      </c>
      <c r="M70" s="140">
        <v>20614</v>
      </c>
      <c r="N70" s="140">
        <v>24987</v>
      </c>
      <c r="O70" s="140">
        <v>28539</v>
      </c>
      <c r="P70" s="140">
        <v>30111</v>
      </c>
      <c r="Q70" s="140">
        <v>33869</v>
      </c>
      <c r="R70" s="140">
        <v>31692</v>
      </c>
      <c r="S70" s="140">
        <v>32115</v>
      </c>
      <c r="T70" s="140">
        <v>30015</v>
      </c>
      <c r="U70" s="140">
        <v>21637</v>
      </c>
      <c r="V70" s="140">
        <v>23788</v>
      </c>
      <c r="W70" s="140">
        <v>29159</v>
      </c>
      <c r="X70" s="141">
        <v>32524</v>
      </c>
    </row>
    <row r="71" spans="1:24" ht="28" hidden="1" outlineLevel="1" collapsed="1" x14ac:dyDescent="0.4">
      <c r="A71" s="149"/>
      <c r="B71" s="132"/>
      <c r="C71" s="132" t="s">
        <v>312</v>
      </c>
      <c r="D71" s="132"/>
      <c r="E71" s="150" t="s">
        <v>313</v>
      </c>
      <c r="F71" s="136">
        <v>4321</v>
      </c>
      <c r="G71" s="136">
        <v>5324</v>
      </c>
      <c r="H71" s="136">
        <v>6617</v>
      </c>
      <c r="I71" s="136">
        <v>7476</v>
      </c>
      <c r="J71" s="136">
        <v>9233</v>
      </c>
      <c r="K71" s="136">
        <v>9014</v>
      </c>
      <c r="L71" s="136">
        <v>10844</v>
      </c>
      <c r="M71" s="136">
        <v>11809</v>
      </c>
      <c r="N71" s="136">
        <v>13444</v>
      </c>
      <c r="O71" s="136">
        <v>15449</v>
      </c>
      <c r="P71" s="136">
        <v>15906</v>
      </c>
      <c r="Q71" s="136">
        <v>15742</v>
      </c>
      <c r="R71" s="136">
        <v>17086</v>
      </c>
      <c r="S71" s="136">
        <v>16946</v>
      </c>
      <c r="T71" s="136">
        <v>20046</v>
      </c>
      <c r="U71" s="136">
        <v>15359</v>
      </c>
      <c r="V71" s="136">
        <v>14837</v>
      </c>
      <c r="W71" s="136">
        <v>15676</v>
      </c>
      <c r="X71" s="137">
        <v>15379</v>
      </c>
    </row>
    <row r="72" spans="1:24" ht="28" hidden="1" outlineLevel="2" x14ac:dyDescent="0.4">
      <c r="A72" s="124"/>
      <c r="B72" s="125"/>
      <c r="C72" s="125"/>
      <c r="D72" s="125" t="s">
        <v>314</v>
      </c>
      <c r="E72" s="139" t="s">
        <v>313</v>
      </c>
      <c r="F72" s="140">
        <v>4321</v>
      </c>
      <c r="G72" s="140">
        <v>5324</v>
      </c>
      <c r="H72" s="140">
        <v>6617</v>
      </c>
      <c r="I72" s="140">
        <v>7476</v>
      </c>
      <c r="J72" s="140">
        <v>9233</v>
      </c>
      <c r="K72" s="140">
        <v>9014</v>
      </c>
      <c r="L72" s="140">
        <v>10844</v>
      </c>
      <c r="M72" s="140">
        <v>11809</v>
      </c>
      <c r="N72" s="140">
        <v>13444</v>
      </c>
      <c r="O72" s="140">
        <v>15449</v>
      </c>
      <c r="P72" s="140">
        <v>15906</v>
      </c>
      <c r="Q72" s="140">
        <v>15742</v>
      </c>
      <c r="R72" s="140">
        <v>17086</v>
      </c>
      <c r="S72" s="140">
        <v>16946</v>
      </c>
      <c r="T72" s="140">
        <v>20046</v>
      </c>
      <c r="U72" s="140">
        <v>15359</v>
      </c>
      <c r="V72" s="140">
        <v>14837</v>
      </c>
      <c r="W72" s="140">
        <v>15676</v>
      </c>
      <c r="X72" s="141">
        <v>15379</v>
      </c>
    </row>
    <row r="73" spans="1:24" ht="42" hidden="1" outlineLevel="1" collapsed="1" x14ac:dyDescent="0.4">
      <c r="A73" s="149"/>
      <c r="B73" s="132"/>
      <c r="C73" s="132" t="s">
        <v>315</v>
      </c>
      <c r="D73" s="132"/>
      <c r="E73" s="150" t="s">
        <v>316</v>
      </c>
      <c r="F73" s="136">
        <v>2479</v>
      </c>
      <c r="G73" s="136">
        <v>3084</v>
      </c>
      <c r="H73" s="136">
        <v>3588</v>
      </c>
      <c r="I73" s="136">
        <v>4676</v>
      </c>
      <c r="J73" s="136">
        <v>5257</v>
      </c>
      <c r="K73" s="136">
        <v>5582</v>
      </c>
      <c r="L73" s="136">
        <v>6426</v>
      </c>
      <c r="M73" s="136">
        <v>7962</v>
      </c>
      <c r="N73" s="136">
        <v>9889</v>
      </c>
      <c r="O73" s="136">
        <v>11580</v>
      </c>
      <c r="P73" s="136">
        <v>12025</v>
      </c>
      <c r="Q73" s="136">
        <v>14714</v>
      </c>
      <c r="R73" s="136">
        <v>15696</v>
      </c>
      <c r="S73" s="136">
        <v>16049</v>
      </c>
      <c r="T73" s="136">
        <v>15216</v>
      </c>
      <c r="U73" s="136">
        <v>10388</v>
      </c>
      <c r="V73" s="136">
        <v>11610</v>
      </c>
      <c r="W73" s="136">
        <v>13038</v>
      </c>
      <c r="X73" s="137">
        <v>14051</v>
      </c>
    </row>
    <row r="74" spans="1:24" ht="42" hidden="1" outlineLevel="2" x14ac:dyDescent="0.4">
      <c r="A74" s="124"/>
      <c r="B74" s="125"/>
      <c r="C74" s="125"/>
      <c r="D74" s="125" t="s">
        <v>317</v>
      </c>
      <c r="E74" s="139" t="s">
        <v>316</v>
      </c>
      <c r="F74" s="140">
        <v>2479</v>
      </c>
      <c r="G74" s="140">
        <v>3084</v>
      </c>
      <c r="H74" s="140">
        <v>3588</v>
      </c>
      <c r="I74" s="140">
        <v>4676</v>
      </c>
      <c r="J74" s="140">
        <v>5257</v>
      </c>
      <c r="K74" s="140">
        <v>5582</v>
      </c>
      <c r="L74" s="140">
        <v>6426</v>
      </c>
      <c r="M74" s="140">
        <v>7962</v>
      </c>
      <c r="N74" s="140">
        <v>9889</v>
      </c>
      <c r="O74" s="140">
        <v>11580</v>
      </c>
      <c r="P74" s="140">
        <v>12025</v>
      </c>
      <c r="Q74" s="140">
        <v>14714</v>
      </c>
      <c r="R74" s="140">
        <v>15696</v>
      </c>
      <c r="S74" s="140">
        <v>16049</v>
      </c>
      <c r="T74" s="140">
        <v>15216</v>
      </c>
      <c r="U74" s="140">
        <v>10388</v>
      </c>
      <c r="V74" s="140">
        <v>11610</v>
      </c>
      <c r="W74" s="140">
        <v>13038</v>
      </c>
      <c r="X74" s="141">
        <v>14051</v>
      </c>
    </row>
    <row r="75" spans="1:24" ht="42" collapsed="1" x14ac:dyDescent="0.4">
      <c r="A75" s="119"/>
      <c r="B75" s="120" t="s">
        <v>318</v>
      </c>
      <c r="C75" s="120"/>
      <c r="D75" s="120"/>
      <c r="E75" s="121" t="s">
        <v>319</v>
      </c>
      <c r="F75" s="122">
        <v>54918</v>
      </c>
      <c r="G75" s="122">
        <v>62152</v>
      </c>
      <c r="H75" s="122">
        <v>71392</v>
      </c>
      <c r="I75" s="122">
        <v>75636</v>
      </c>
      <c r="J75" s="122">
        <v>79703</v>
      </c>
      <c r="K75" s="122">
        <v>84926</v>
      </c>
      <c r="L75" s="122">
        <v>93024</v>
      </c>
      <c r="M75" s="122">
        <v>98508</v>
      </c>
      <c r="N75" s="122">
        <v>109807</v>
      </c>
      <c r="O75" s="122">
        <v>120677</v>
      </c>
      <c r="P75" s="122">
        <v>135429</v>
      </c>
      <c r="Q75" s="122">
        <v>152684</v>
      </c>
      <c r="R75" s="122">
        <v>163052</v>
      </c>
      <c r="S75" s="122">
        <v>173708</v>
      </c>
      <c r="T75" s="122">
        <v>188266</v>
      </c>
      <c r="U75" s="122">
        <v>170072</v>
      </c>
      <c r="V75" s="122">
        <v>216636</v>
      </c>
      <c r="W75" s="122">
        <v>270821</v>
      </c>
      <c r="X75" s="123">
        <v>295711</v>
      </c>
    </row>
    <row r="76" spans="1:24" ht="28" hidden="1" outlineLevel="1" x14ac:dyDescent="0.4">
      <c r="A76" s="151"/>
      <c r="B76" s="126"/>
      <c r="C76" s="126" t="s">
        <v>320</v>
      </c>
      <c r="D76" s="126"/>
      <c r="E76" s="127" t="s">
        <v>321</v>
      </c>
      <c r="F76" s="128">
        <v>30086</v>
      </c>
      <c r="G76" s="128">
        <v>33669</v>
      </c>
      <c r="H76" s="128">
        <v>37676</v>
      </c>
      <c r="I76" s="128">
        <v>39765</v>
      </c>
      <c r="J76" s="128">
        <v>40366</v>
      </c>
      <c r="K76" s="128">
        <v>42670</v>
      </c>
      <c r="L76" s="128">
        <v>47656</v>
      </c>
      <c r="M76" s="128">
        <v>49371</v>
      </c>
      <c r="N76" s="128">
        <v>53123</v>
      </c>
      <c r="O76" s="128">
        <v>56951</v>
      </c>
      <c r="P76" s="128">
        <v>64866</v>
      </c>
      <c r="Q76" s="128">
        <v>75403</v>
      </c>
      <c r="R76" s="128">
        <v>81148</v>
      </c>
      <c r="S76" s="128">
        <v>86706</v>
      </c>
      <c r="T76" s="128">
        <v>96445</v>
      </c>
      <c r="U76" s="128">
        <v>97793</v>
      </c>
      <c r="V76" s="128">
        <v>122884</v>
      </c>
      <c r="W76" s="128">
        <v>150678</v>
      </c>
      <c r="X76" s="129">
        <v>163829</v>
      </c>
    </row>
    <row r="77" spans="1:24" ht="56" hidden="1" outlineLevel="2" x14ac:dyDescent="0.4">
      <c r="A77" s="130"/>
      <c r="B77" s="131"/>
      <c r="C77" s="131"/>
      <c r="D77" s="131" t="s">
        <v>322</v>
      </c>
      <c r="E77" s="134" t="s">
        <v>323</v>
      </c>
      <c r="F77" s="135">
        <v>27744</v>
      </c>
      <c r="G77" s="135">
        <v>31105</v>
      </c>
      <c r="H77" s="135">
        <v>34836</v>
      </c>
      <c r="I77" s="135">
        <v>36752</v>
      </c>
      <c r="J77" s="135">
        <v>36881</v>
      </c>
      <c r="K77" s="135">
        <v>38835</v>
      </c>
      <c r="L77" s="135">
        <v>43635</v>
      </c>
      <c r="M77" s="135">
        <v>44851</v>
      </c>
      <c r="N77" s="135">
        <v>48295</v>
      </c>
      <c r="O77" s="135">
        <v>51729</v>
      </c>
      <c r="P77" s="135">
        <v>59399</v>
      </c>
      <c r="Q77" s="135">
        <v>69415</v>
      </c>
      <c r="R77" s="135">
        <v>74479</v>
      </c>
      <c r="S77" s="135">
        <v>79555</v>
      </c>
      <c r="T77" s="135">
        <v>88906</v>
      </c>
      <c r="U77" s="135">
        <v>91306</v>
      </c>
      <c r="V77" s="135">
        <v>114846</v>
      </c>
      <c r="W77" s="135">
        <v>141246</v>
      </c>
      <c r="X77" s="143">
        <v>153859</v>
      </c>
    </row>
    <row r="78" spans="1:24" ht="28" hidden="1" outlineLevel="2" x14ac:dyDescent="0.4">
      <c r="A78" s="124"/>
      <c r="B78" s="125"/>
      <c r="C78" s="125"/>
      <c r="D78" s="125" t="s">
        <v>324</v>
      </c>
      <c r="E78" s="139" t="s">
        <v>325</v>
      </c>
      <c r="F78" s="140">
        <v>2342</v>
      </c>
      <c r="G78" s="140">
        <v>2564</v>
      </c>
      <c r="H78" s="140">
        <v>2840</v>
      </c>
      <c r="I78" s="140">
        <v>3013</v>
      </c>
      <c r="J78" s="140">
        <v>3485</v>
      </c>
      <c r="K78" s="140">
        <v>3835</v>
      </c>
      <c r="L78" s="140">
        <v>4021</v>
      </c>
      <c r="M78" s="140">
        <v>4520</v>
      </c>
      <c r="N78" s="140">
        <v>4828</v>
      </c>
      <c r="O78" s="140">
        <v>5222</v>
      </c>
      <c r="P78" s="140">
        <v>5467</v>
      </c>
      <c r="Q78" s="140">
        <v>5988</v>
      </c>
      <c r="R78" s="140">
        <v>6669</v>
      </c>
      <c r="S78" s="140">
        <v>7151</v>
      </c>
      <c r="T78" s="140">
        <v>7539</v>
      </c>
      <c r="U78" s="140">
        <v>6487</v>
      </c>
      <c r="V78" s="140">
        <v>8038</v>
      </c>
      <c r="W78" s="140">
        <v>9432</v>
      </c>
      <c r="X78" s="141">
        <v>9970</v>
      </c>
    </row>
    <row r="79" spans="1:24" hidden="1" outlineLevel="1" x14ac:dyDescent="0.4">
      <c r="A79" s="149"/>
      <c r="B79" s="132"/>
      <c r="C79" s="132" t="s">
        <v>326</v>
      </c>
      <c r="D79" s="132"/>
      <c r="E79" s="150" t="s">
        <v>327</v>
      </c>
      <c r="F79" s="136">
        <v>15707</v>
      </c>
      <c r="G79" s="136">
        <v>17967</v>
      </c>
      <c r="H79" s="136">
        <v>21054</v>
      </c>
      <c r="I79" s="136">
        <v>21696</v>
      </c>
      <c r="J79" s="136">
        <v>23593</v>
      </c>
      <c r="K79" s="136">
        <v>24337</v>
      </c>
      <c r="L79" s="136">
        <v>25612</v>
      </c>
      <c r="M79" s="136">
        <v>26657</v>
      </c>
      <c r="N79" s="136">
        <v>31562</v>
      </c>
      <c r="O79" s="136">
        <v>35968</v>
      </c>
      <c r="P79" s="136">
        <v>40703</v>
      </c>
      <c r="Q79" s="136">
        <v>44048</v>
      </c>
      <c r="R79" s="136">
        <v>45355</v>
      </c>
      <c r="S79" s="136">
        <v>48742</v>
      </c>
      <c r="T79" s="136">
        <v>51518</v>
      </c>
      <c r="U79" s="136">
        <v>42606</v>
      </c>
      <c r="V79" s="136">
        <v>51496</v>
      </c>
      <c r="W79" s="136">
        <v>67629</v>
      </c>
      <c r="X79" s="137">
        <v>72964</v>
      </c>
    </row>
    <row r="80" spans="1:24" hidden="1" outlineLevel="2" x14ac:dyDescent="0.4">
      <c r="A80" s="124"/>
      <c r="B80" s="125"/>
      <c r="C80" s="125"/>
      <c r="D80" s="125" t="s">
        <v>328</v>
      </c>
      <c r="E80" s="139" t="s">
        <v>329</v>
      </c>
      <c r="F80" s="140">
        <v>11428</v>
      </c>
      <c r="G80" s="140">
        <v>12781</v>
      </c>
      <c r="H80" s="140">
        <v>15196</v>
      </c>
      <c r="I80" s="140">
        <v>15364</v>
      </c>
      <c r="J80" s="140">
        <v>16958</v>
      </c>
      <c r="K80" s="140">
        <v>17520</v>
      </c>
      <c r="L80" s="140">
        <v>17887</v>
      </c>
      <c r="M80" s="140">
        <v>18308</v>
      </c>
      <c r="N80" s="140">
        <v>22011</v>
      </c>
      <c r="O80" s="140">
        <v>25313</v>
      </c>
      <c r="P80" s="140">
        <v>27868</v>
      </c>
      <c r="Q80" s="140">
        <v>30597</v>
      </c>
      <c r="R80" s="140">
        <v>31526</v>
      </c>
      <c r="S80" s="140">
        <v>33541</v>
      </c>
      <c r="T80" s="140">
        <v>35002</v>
      </c>
      <c r="U80" s="140">
        <v>30817</v>
      </c>
      <c r="V80" s="140">
        <v>35865</v>
      </c>
      <c r="W80" s="140">
        <v>45390</v>
      </c>
      <c r="X80" s="141">
        <v>49335</v>
      </c>
    </row>
    <row r="81" spans="1:24" hidden="1" outlineLevel="2" x14ac:dyDescent="0.4">
      <c r="A81" s="130"/>
      <c r="B81" s="131"/>
      <c r="C81" s="131"/>
      <c r="D81" s="131" t="s">
        <v>330</v>
      </c>
      <c r="E81" s="134" t="s">
        <v>331</v>
      </c>
      <c r="F81" s="135">
        <v>193</v>
      </c>
      <c r="G81" s="135">
        <v>209</v>
      </c>
      <c r="H81" s="135">
        <v>252</v>
      </c>
      <c r="I81" s="135">
        <v>289</v>
      </c>
      <c r="J81" s="135">
        <v>286</v>
      </c>
      <c r="K81" s="135">
        <v>243</v>
      </c>
      <c r="L81" s="135">
        <v>194</v>
      </c>
      <c r="M81" s="135">
        <v>166</v>
      </c>
      <c r="N81" s="135">
        <v>186</v>
      </c>
      <c r="O81" s="135">
        <v>220</v>
      </c>
      <c r="P81" s="135">
        <v>231</v>
      </c>
      <c r="Q81" s="135">
        <v>286</v>
      </c>
      <c r="R81" s="135">
        <v>309</v>
      </c>
      <c r="S81" s="135">
        <v>321</v>
      </c>
      <c r="T81" s="135">
        <v>333</v>
      </c>
      <c r="U81" s="135">
        <v>291</v>
      </c>
      <c r="V81" s="135">
        <v>304</v>
      </c>
      <c r="W81" s="135">
        <v>356</v>
      </c>
      <c r="X81" s="143">
        <v>397</v>
      </c>
    </row>
    <row r="82" spans="1:24" hidden="1" outlineLevel="2" x14ac:dyDescent="0.4">
      <c r="A82" s="124"/>
      <c r="B82" s="125"/>
      <c r="C82" s="125"/>
      <c r="D82" s="125" t="s">
        <v>332</v>
      </c>
      <c r="E82" s="139" t="s">
        <v>333</v>
      </c>
      <c r="F82" s="140">
        <v>1393</v>
      </c>
      <c r="G82" s="140">
        <v>1741</v>
      </c>
      <c r="H82" s="140">
        <v>1997</v>
      </c>
      <c r="I82" s="140">
        <v>2135</v>
      </c>
      <c r="J82" s="140">
        <v>2292</v>
      </c>
      <c r="K82" s="140">
        <v>2361</v>
      </c>
      <c r="L82" s="140">
        <v>2598</v>
      </c>
      <c r="M82" s="140">
        <v>2776</v>
      </c>
      <c r="N82" s="140">
        <v>3340</v>
      </c>
      <c r="O82" s="140">
        <v>3790</v>
      </c>
      <c r="P82" s="140">
        <v>4647</v>
      </c>
      <c r="Q82" s="140">
        <v>4498</v>
      </c>
      <c r="R82" s="140">
        <v>4231</v>
      </c>
      <c r="S82" s="140">
        <v>4875</v>
      </c>
      <c r="T82" s="140">
        <v>5303</v>
      </c>
      <c r="U82" s="140">
        <v>2571</v>
      </c>
      <c r="V82" s="140">
        <v>3397</v>
      </c>
      <c r="W82" s="140">
        <v>6496</v>
      </c>
      <c r="X82" s="141">
        <v>7597</v>
      </c>
    </row>
    <row r="83" spans="1:24" ht="12" hidden="1" customHeight="1" outlineLevel="2" x14ac:dyDescent="0.4">
      <c r="A83" s="130"/>
      <c r="B83" s="131"/>
      <c r="C83" s="131"/>
      <c r="D83" s="131" t="s">
        <v>334</v>
      </c>
      <c r="E83" s="134" t="s">
        <v>335</v>
      </c>
      <c r="F83" s="135">
        <v>2207</v>
      </c>
      <c r="G83" s="135">
        <v>2679</v>
      </c>
      <c r="H83" s="135">
        <v>2978</v>
      </c>
      <c r="I83" s="135">
        <v>3240</v>
      </c>
      <c r="J83" s="135">
        <v>3387</v>
      </c>
      <c r="K83" s="135">
        <v>3513</v>
      </c>
      <c r="L83" s="135">
        <v>4206</v>
      </c>
      <c r="M83" s="135">
        <v>4650</v>
      </c>
      <c r="N83" s="135">
        <v>5215</v>
      </c>
      <c r="O83" s="135">
        <v>5804</v>
      </c>
      <c r="P83" s="135">
        <v>7055</v>
      </c>
      <c r="Q83" s="135">
        <v>7727</v>
      </c>
      <c r="R83" s="135">
        <v>8304</v>
      </c>
      <c r="S83" s="135">
        <v>8927</v>
      </c>
      <c r="T83" s="135">
        <v>9674</v>
      </c>
      <c r="U83" s="135">
        <v>7666</v>
      </c>
      <c r="V83" s="135">
        <v>10471</v>
      </c>
      <c r="W83" s="135">
        <v>13750</v>
      </c>
      <c r="X83" s="143">
        <v>13971</v>
      </c>
    </row>
    <row r="84" spans="1:24" hidden="1" outlineLevel="2" x14ac:dyDescent="0.4">
      <c r="A84" s="124"/>
      <c r="B84" s="125"/>
      <c r="C84" s="125"/>
      <c r="D84" s="125" t="s">
        <v>336</v>
      </c>
      <c r="E84" s="139" t="s">
        <v>337</v>
      </c>
      <c r="F84" s="140">
        <v>486</v>
      </c>
      <c r="G84" s="140">
        <v>557</v>
      </c>
      <c r="H84" s="140">
        <v>631</v>
      </c>
      <c r="I84" s="140">
        <v>668</v>
      </c>
      <c r="J84" s="140">
        <v>670</v>
      </c>
      <c r="K84" s="140">
        <v>700</v>
      </c>
      <c r="L84" s="140">
        <v>727</v>
      </c>
      <c r="M84" s="140">
        <v>757</v>
      </c>
      <c r="N84" s="140">
        <v>810</v>
      </c>
      <c r="O84" s="140">
        <v>841</v>
      </c>
      <c r="P84" s="140">
        <v>902</v>
      </c>
      <c r="Q84" s="140">
        <v>940</v>
      </c>
      <c r="R84" s="140">
        <v>985</v>
      </c>
      <c r="S84" s="140">
        <v>1078</v>
      </c>
      <c r="T84" s="140">
        <v>1206</v>
      </c>
      <c r="U84" s="140">
        <v>1261</v>
      </c>
      <c r="V84" s="140">
        <v>1459</v>
      </c>
      <c r="W84" s="140">
        <v>1637</v>
      </c>
      <c r="X84" s="141">
        <v>1663</v>
      </c>
    </row>
    <row r="85" spans="1:24" hidden="1" outlineLevel="1" x14ac:dyDescent="0.4">
      <c r="A85" s="149"/>
      <c r="B85" s="132"/>
      <c r="C85" s="132" t="s">
        <v>338</v>
      </c>
      <c r="D85" s="132"/>
      <c r="E85" s="150" t="s">
        <v>339</v>
      </c>
      <c r="F85" s="136">
        <v>9125</v>
      </c>
      <c r="G85" s="136">
        <v>10516</v>
      </c>
      <c r="H85" s="136">
        <v>12662</v>
      </c>
      <c r="I85" s="136">
        <v>14175</v>
      </c>
      <c r="J85" s="136">
        <v>15744</v>
      </c>
      <c r="K85" s="136">
        <v>17919</v>
      </c>
      <c r="L85" s="136">
        <v>19756</v>
      </c>
      <c r="M85" s="136">
        <v>22480</v>
      </c>
      <c r="N85" s="136">
        <v>25122</v>
      </c>
      <c r="O85" s="136">
        <v>27758</v>
      </c>
      <c r="P85" s="136">
        <v>29860</v>
      </c>
      <c r="Q85" s="136">
        <v>33233</v>
      </c>
      <c r="R85" s="136">
        <v>36549</v>
      </c>
      <c r="S85" s="136">
        <v>38260</v>
      </c>
      <c r="T85" s="136">
        <v>40303</v>
      </c>
      <c r="U85" s="136">
        <v>29673</v>
      </c>
      <c r="V85" s="136">
        <v>42256</v>
      </c>
      <c r="W85" s="136">
        <v>52514</v>
      </c>
      <c r="X85" s="137">
        <v>58918</v>
      </c>
    </row>
    <row r="86" spans="1:24" hidden="1" outlineLevel="2" x14ac:dyDescent="0.4">
      <c r="A86" s="124"/>
      <c r="B86" s="125"/>
      <c r="C86" s="125"/>
      <c r="D86" s="125" t="s">
        <v>340</v>
      </c>
      <c r="E86" s="139" t="s">
        <v>339</v>
      </c>
      <c r="F86" s="140">
        <v>9125</v>
      </c>
      <c r="G86" s="140">
        <v>10516</v>
      </c>
      <c r="H86" s="140">
        <v>12662</v>
      </c>
      <c r="I86" s="140">
        <v>14175</v>
      </c>
      <c r="J86" s="140">
        <v>15744</v>
      </c>
      <c r="K86" s="140">
        <v>17919</v>
      </c>
      <c r="L86" s="140">
        <v>19756</v>
      </c>
      <c r="M86" s="140">
        <v>22480</v>
      </c>
      <c r="N86" s="140">
        <v>25122</v>
      </c>
      <c r="O86" s="140">
        <v>27758</v>
      </c>
      <c r="P86" s="140">
        <v>29860</v>
      </c>
      <c r="Q86" s="140">
        <v>33233</v>
      </c>
      <c r="R86" s="140">
        <v>36549</v>
      </c>
      <c r="S86" s="140">
        <v>38260</v>
      </c>
      <c r="T86" s="140">
        <v>40303</v>
      </c>
      <c r="U86" s="140">
        <v>29673</v>
      </c>
      <c r="V86" s="140">
        <v>42256</v>
      </c>
      <c r="W86" s="140">
        <v>52514</v>
      </c>
      <c r="X86" s="141">
        <v>58918</v>
      </c>
    </row>
    <row r="87" spans="1:24" collapsed="1" x14ac:dyDescent="0.4">
      <c r="A87" s="119"/>
      <c r="B87" s="120" t="s">
        <v>341</v>
      </c>
      <c r="C87" s="120"/>
      <c r="D87" s="120"/>
      <c r="E87" s="121" t="s">
        <v>342</v>
      </c>
      <c r="F87" s="122">
        <v>12273</v>
      </c>
      <c r="G87" s="122">
        <v>14006</v>
      </c>
      <c r="H87" s="122">
        <v>15925</v>
      </c>
      <c r="I87" s="122">
        <v>17124</v>
      </c>
      <c r="J87" s="122">
        <v>17580</v>
      </c>
      <c r="K87" s="122">
        <v>18572</v>
      </c>
      <c r="L87" s="122">
        <v>19612</v>
      </c>
      <c r="M87" s="122">
        <v>20702</v>
      </c>
      <c r="N87" s="122">
        <v>22092</v>
      </c>
      <c r="O87" s="122">
        <v>23336</v>
      </c>
      <c r="P87" s="122">
        <v>23961</v>
      </c>
      <c r="Q87" s="122">
        <v>25122</v>
      </c>
      <c r="R87" s="122">
        <v>26821</v>
      </c>
      <c r="S87" s="122">
        <v>28348</v>
      </c>
      <c r="T87" s="122">
        <v>29381</v>
      </c>
      <c r="U87" s="122">
        <v>28902</v>
      </c>
      <c r="V87" s="122">
        <v>32341</v>
      </c>
      <c r="W87" s="122">
        <v>36277</v>
      </c>
      <c r="X87" s="123">
        <v>38252</v>
      </c>
    </row>
    <row r="88" spans="1:24" hidden="1" outlineLevel="1" x14ac:dyDescent="0.4">
      <c r="A88" s="151"/>
      <c r="B88" s="126"/>
      <c r="C88" s="126" t="s">
        <v>341</v>
      </c>
      <c r="D88" s="126"/>
      <c r="E88" s="127" t="s">
        <v>342</v>
      </c>
      <c r="F88" s="128">
        <v>12273</v>
      </c>
      <c r="G88" s="128">
        <v>14006</v>
      </c>
      <c r="H88" s="128">
        <v>15925</v>
      </c>
      <c r="I88" s="128">
        <v>17124</v>
      </c>
      <c r="J88" s="128">
        <v>17580</v>
      </c>
      <c r="K88" s="128">
        <v>18572</v>
      </c>
      <c r="L88" s="128">
        <v>19612</v>
      </c>
      <c r="M88" s="128">
        <v>20702</v>
      </c>
      <c r="N88" s="128">
        <v>22092</v>
      </c>
      <c r="O88" s="128">
        <v>23336</v>
      </c>
      <c r="P88" s="128">
        <v>23961</v>
      </c>
      <c r="Q88" s="128">
        <v>25122</v>
      </c>
      <c r="R88" s="128">
        <v>26821</v>
      </c>
      <c r="S88" s="128">
        <v>28348</v>
      </c>
      <c r="T88" s="128">
        <v>29381</v>
      </c>
      <c r="U88" s="128">
        <v>28902</v>
      </c>
      <c r="V88" s="128">
        <v>32341</v>
      </c>
      <c r="W88" s="128">
        <v>36277</v>
      </c>
      <c r="X88" s="129">
        <v>38252</v>
      </c>
    </row>
    <row r="89" spans="1:24" hidden="1" outlineLevel="2" x14ac:dyDescent="0.4">
      <c r="A89" s="130"/>
      <c r="B89" s="131"/>
      <c r="C89" s="131"/>
      <c r="D89" s="131" t="s">
        <v>343</v>
      </c>
      <c r="E89" s="134" t="s">
        <v>342</v>
      </c>
      <c r="F89" s="135">
        <v>12273</v>
      </c>
      <c r="G89" s="135">
        <v>14006</v>
      </c>
      <c r="H89" s="135">
        <v>15925</v>
      </c>
      <c r="I89" s="135">
        <v>17124</v>
      </c>
      <c r="J89" s="135">
        <v>17580</v>
      </c>
      <c r="K89" s="135">
        <v>18572</v>
      </c>
      <c r="L89" s="135">
        <v>19612</v>
      </c>
      <c r="M89" s="135">
        <v>20702</v>
      </c>
      <c r="N89" s="135">
        <v>22092</v>
      </c>
      <c r="O89" s="135">
        <v>23336</v>
      </c>
      <c r="P89" s="135">
        <v>23961</v>
      </c>
      <c r="Q89" s="135">
        <v>25122</v>
      </c>
      <c r="R89" s="135">
        <v>26821</v>
      </c>
      <c r="S89" s="135">
        <v>28348</v>
      </c>
      <c r="T89" s="135">
        <v>29381</v>
      </c>
      <c r="U89" s="135">
        <v>28902</v>
      </c>
      <c r="V89" s="135">
        <v>32341</v>
      </c>
      <c r="W89" s="135">
        <v>36277</v>
      </c>
      <c r="X89" s="143">
        <v>38252</v>
      </c>
    </row>
    <row r="90" spans="1:24" collapsed="1" x14ac:dyDescent="0.4">
      <c r="A90" s="144"/>
      <c r="B90" s="145" t="s">
        <v>344</v>
      </c>
      <c r="C90" s="145"/>
      <c r="D90" s="145"/>
      <c r="E90" s="146" t="s">
        <v>345</v>
      </c>
      <c r="F90" s="147">
        <v>11846</v>
      </c>
      <c r="G90" s="147">
        <v>12480</v>
      </c>
      <c r="H90" s="147">
        <v>14894</v>
      </c>
      <c r="I90" s="147">
        <v>17984</v>
      </c>
      <c r="J90" s="147">
        <v>19552</v>
      </c>
      <c r="K90" s="147">
        <v>21396</v>
      </c>
      <c r="L90" s="147">
        <v>24357</v>
      </c>
      <c r="M90" s="147">
        <v>27533</v>
      </c>
      <c r="N90" s="147">
        <v>29619</v>
      </c>
      <c r="O90" s="147">
        <v>31839</v>
      </c>
      <c r="P90" s="147">
        <v>34696</v>
      </c>
      <c r="Q90" s="147">
        <v>34324</v>
      </c>
      <c r="R90" s="147">
        <v>39060</v>
      </c>
      <c r="S90" s="147">
        <v>42627</v>
      </c>
      <c r="T90" s="147">
        <v>46984</v>
      </c>
      <c r="U90" s="147">
        <v>48808</v>
      </c>
      <c r="V90" s="147">
        <v>52653</v>
      </c>
      <c r="W90" s="147">
        <v>56954</v>
      </c>
      <c r="X90" s="148">
        <v>62285</v>
      </c>
    </row>
    <row r="91" spans="1:24" hidden="1" outlineLevel="1" x14ac:dyDescent="0.4">
      <c r="A91" s="149"/>
      <c r="B91" s="132"/>
      <c r="C91" s="132" t="s">
        <v>344</v>
      </c>
      <c r="D91" s="132"/>
      <c r="E91" s="150" t="s">
        <v>345</v>
      </c>
      <c r="F91" s="136">
        <v>11846</v>
      </c>
      <c r="G91" s="136">
        <v>12480</v>
      </c>
      <c r="H91" s="136">
        <v>14894</v>
      </c>
      <c r="I91" s="136">
        <v>17984</v>
      </c>
      <c r="J91" s="136">
        <v>19552</v>
      </c>
      <c r="K91" s="136">
        <v>21396</v>
      </c>
      <c r="L91" s="136">
        <v>24357</v>
      </c>
      <c r="M91" s="136">
        <v>27533</v>
      </c>
      <c r="N91" s="136">
        <v>29619</v>
      </c>
      <c r="O91" s="136">
        <v>31839</v>
      </c>
      <c r="P91" s="136">
        <v>34696</v>
      </c>
      <c r="Q91" s="136">
        <v>34324</v>
      </c>
      <c r="R91" s="136">
        <v>39060</v>
      </c>
      <c r="S91" s="136">
        <v>42627</v>
      </c>
      <c r="T91" s="136">
        <v>46984</v>
      </c>
      <c r="U91" s="136">
        <v>48808</v>
      </c>
      <c r="V91" s="136">
        <v>52653</v>
      </c>
      <c r="W91" s="136">
        <v>56954</v>
      </c>
      <c r="X91" s="137">
        <v>62285</v>
      </c>
    </row>
    <row r="92" spans="1:24" hidden="1" outlineLevel="2" x14ac:dyDescent="0.4">
      <c r="A92" s="124"/>
      <c r="B92" s="125"/>
      <c r="C92" s="125"/>
      <c r="D92" s="125" t="s">
        <v>346</v>
      </c>
      <c r="E92" s="139" t="s">
        <v>345</v>
      </c>
      <c r="F92" s="140">
        <v>11846</v>
      </c>
      <c r="G92" s="140">
        <v>12480</v>
      </c>
      <c r="H92" s="140">
        <v>14894</v>
      </c>
      <c r="I92" s="140">
        <v>17984</v>
      </c>
      <c r="J92" s="140">
        <v>19552</v>
      </c>
      <c r="K92" s="140">
        <v>21396</v>
      </c>
      <c r="L92" s="140">
        <v>24357</v>
      </c>
      <c r="M92" s="140">
        <v>27533</v>
      </c>
      <c r="N92" s="140">
        <v>29619</v>
      </c>
      <c r="O92" s="140">
        <v>31839</v>
      </c>
      <c r="P92" s="140">
        <v>34696</v>
      </c>
      <c r="Q92" s="140">
        <v>34324</v>
      </c>
      <c r="R92" s="140">
        <v>39060</v>
      </c>
      <c r="S92" s="140">
        <v>42627</v>
      </c>
      <c r="T92" s="140">
        <v>46984</v>
      </c>
      <c r="U92" s="140">
        <v>48808</v>
      </c>
      <c r="V92" s="140">
        <v>52653</v>
      </c>
      <c r="W92" s="140">
        <v>56954</v>
      </c>
      <c r="X92" s="141">
        <v>62285</v>
      </c>
    </row>
    <row r="93" spans="1:24" collapsed="1" x14ac:dyDescent="0.4">
      <c r="A93" s="119"/>
      <c r="B93" s="120" t="s">
        <v>347</v>
      </c>
      <c r="C93" s="120"/>
      <c r="D93" s="120"/>
      <c r="E93" s="121" t="s">
        <v>348</v>
      </c>
      <c r="F93" s="122">
        <v>32556</v>
      </c>
      <c r="G93" s="122">
        <v>35921</v>
      </c>
      <c r="H93" s="122">
        <v>39056</v>
      </c>
      <c r="I93" s="122">
        <v>42236</v>
      </c>
      <c r="J93" s="122">
        <v>45858</v>
      </c>
      <c r="K93" s="122">
        <v>49355</v>
      </c>
      <c r="L93" s="122">
        <v>52966</v>
      </c>
      <c r="M93" s="122">
        <v>56928</v>
      </c>
      <c r="N93" s="122">
        <v>60922</v>
      </c>
      <c r="O93" s="122">
        <v>65194</v>
      </c>
      <c r="P93" s="122">
        <v>69825</v>
      </c>
      <c r="Q93" s="122">
        <v>75645</v>
      </c>
      <c r="R93" s="122">
        <v>80976</v>
      </c>
      <c r="S93" s="122">
        <v>86825</v>
      </c>
      <c r="T93" s="122">
        <v>92388</v>
      </c>
      <c r="U93" s="122">
        <v>95042</v>
      </c>
      <c r="V93" s="122">
        <v>98900</v>
      </c>
      <c r="W93" s="122">
        <v>104739</v>
      </c>
      <c r="X93" s="123">
        <v>113697</v>
      </c>
    </row>
    <row r="94" spans="1:24" outlineLevel="1" x14ac:dyDescent="0.4">
      <c r="A94" s="124"/>
      <c r="B94" s="125"/>
      <c r="C94" s="126" t="s">
        <v>347</v>
      </c>
      <c r="D94" s="125"/>
      <c r="E94" s="127" t="s">
        <v>348</v>
      </c>
      <c r="F94" s="128">
        <v>32556</v>
      </c>
      <c r="G94" s="128">
        <v>35921</v>
      </c>
      <c r="H94" s="128">
        <v>39056</v>
      </c>
      <c r="I94" s="128">
        <v>42236</v>
      </c>
      <c r="J94" s="128">
        <v>45858</v>
      </c>
      <c r="K94" s="128">
        <v>49355</v>
      </c>
      <c r="L94" s="128">
        <v>52966</v>
      </c>
      <c r="M94" s="128">
        <v>56928</v>
      </c>
      <c r="N94" s="128">
        <v>60922</v>
      </c>
      <c r="O94" s="128">
        <v>65194</v>
      </c>
      <c r="P94" s="128">
        <v>69825</v>
      </c>
      <c r="Q94" s="128">
        <v>75645</v>
      </c>
      <c r="R94" s="128">
        <v>80976</v>
      </c>
      <c r="S94" s="128">
        <v>86825</v>
      </c>
      <c r="T94" s="128">
        <v>92388</v>
      </c>
      <c r="U94" s="128">
        <v>95042</v>
      </c>
      <c r="V94" s="128">
        <v>98900</v>
      </c>
      <c r="W94" s="128">
        <v>104739</v>
      </c>
      <c r="X94" s="129">
        <v>113697</v>
      </c>
    </row>
    <row r="95" spans="1:24" outlineLevel="2" x14ac:dyDescent="0.4">
      <c r="A95" s="130"/>
      <c r="B95" s="131"/>
      <c r="C95" s="131"/>
      <c r="D95" s="131" t="s">
        <v>349</v>
      </c>
      <c r="E95" s="134" t="s">
        <v>348</v>
      </c>
      <c r="F95" s="135">
        <v>32556</v>
      </c>
      <c r="G95" s="135">
        <v>35921</v>
      </c>
      <c r="H95" s="135">
        <v>39056</v>
      </c>
      <c r="I95" s="135">
        <v>42236</v>
      </c>
      <c r="J95" s="135">
        <v>45858</v>
      </c>
      <c r="K95" s="135">
        <v>49355</v>
      </c>
      <c r="L95" s="135">
        <v>52966</v>
      </c>
      <c r="M95" s="135">
        <v>56928</v>
      </c>
      <c r="N95" s="135">
        <v>60922</v>
      </c>
      <c r="O95" s="135">
        <v>65194</v>
      </c>
      <c r="P95" s="135">
        <v>69825</v>
      </c>
      <c r="Q95" s="135">
        <v>75645</v>
      </c>
      <c r="R95" s="135">
        <v>80976</v>
      </c>
      <c r="S95" s="135">
        <v>86825</v>
      </c>
      <c r="T95" s="135">
        <v>92388</v>
      </c>
      <c r="U95" s="135">
        <v>95042</v>
      </c>
      <c r="V95" s="135">
        <v>98900</v>
      </c>
      <c r="W95" s="135">
        <v>104739</v>
      </c>
      <c r="X95" s="143">
        <v>113697</v>
      </c>
    </row>
    <row r="96" spans="1:24" s="159" customFormat="1" ht="28" x14ac:dyDescent="0.4">
      <c r="A96" s="154"/>
      <c r="B96" s="155" t="s">
        <v>350</v>
      </c>
      <c r="C96" s="155"/>
      <c r="D96" s="155"/>
      <c r="E96" s="156" t="s">
        <v>351</v>
      </c>
      <c r="F96" s="157">
        <v>16684</v>
      </c>
      <c r="G96" s="157">
        <v>19444</v>
      </c>
      <c r="H96" s="157">
        <v>23068</v>
      </c>
      <c r="I96" s="157">
        <v>26411</v>
      </c>
      <c r="J96" s="157">
        <v>29840</v>
      </c>
      <c r="K96" s="157">
        <v>33567</v>
      </c>
      <c r="L96" s="157">
        <v>38275</v>
      </c>
      <c r="M96" s="157">
        <v>43078</v>
      </c>
      <c r="N96" s="157">
        <v>48022</v>
      </c>
      <c r="O96" s="157">
        <v>55216</v>
      </c>
      <c r="P96" s="157">
        <v>57392</v>
      </c>
      <c r="Q96" s="157">
        <v>59643</v>
      </c>
      <c r="R96" s="157">
        <v>62898</v>
      </c>
      <c r="S96" s="157">
        <v>67597</v>
      </c>
      <c r="T96" s="157">
        <v>72458</v>
      </c>
      <c r="U96" s="157">
        <v>69363</v>
      </c>
      <c r="V96" s="157">
        <v>79121</v>
      </c>
      <c r="W96" s="157">
        <v>93208</v>
      </c>
      <c r="X96" s="158">
        <v>102736</v>
      </c>
    </row>
    <row r="97" spans="1:24" ht="28" outlineLevel="1" x14ac:dyDescent="0.4">
      <c r="A97" s="149"/>
      <c r="B97" s="132"/>
      <c r="C97" s="132" t="s">
        <v>350</v>
      </c>
      <c r="D97" s="132"/>
      <c r="E97" s="150" t="s">
        <v>351</v>
      </c>
      <c r="F97" s="136">
        <v>16684</v>
      </c>
      <c r="G97" s="136">
        <v>19444</v>
      </c>
      <c r="H97" s="136">
        <v>23068</v>
      </c>
      <c r="I97" s="136">
        <v>26411</v>
      </c>
      <c r="J97" s="136">
        <v>29840</v>
      </c>
      <c r="K97" s="136">
        <v>33567</v>
      </c>
      <c r="L97" s="136">
        <v>38275</v>
      </c>
      <c r="M97" s="136">
        <v>43078</v>
      </c>
      <c r="N97" s="136">
        <v>48022</v>
      </c>
      <c r="O97" s="136">
        <v>55216</v>
      </c>
      <c r="P97" s="136">
        <v>57392</v>
      </c>
      <c r="Q97" s="136">
        <v>59643</v>
      </c>
      <c r="R97" s="136">
        <v>62898</v>
      </c>
      <c r="S97" s="136">
        <v>67597</v>
      </c>
      <c r="T97" s="136">
        <v>72458</v>
      </c>
      <c r="U97" s="136">
        <v>69363</v>
      </c>
      <c r="V97" s="136">
        <v>79121</v>
      </c>
      <c r="W97" s="136">
        <v>93208</v>
      </c>
      <c r="X97" s="137">
        <v>102736</v>
      </c>
    </row>
    <row r="98" spans="1:24" outlineLevel="2" x14ac:dyDescent="0.4">
      <c r="A98" s="124"/>
      <c r="B98" s="125"/>
      <c r="C98" s="125"/>
      <c r="D98" s="125" t="s">
        <v>352</v>
      </c>
      <c r="E98" s="139" t="s">
        <v>353</v>
      </c>
      <c r="F98" s="140">
        <v>7525</v>
      </c>
      <c r="G98" s="140">
        <v>8819</v>
      </c>
      <c r="H98" s="140">
        <v>10533</v>
      </c>
      <c r="I98" s="140">
        <v>12140</v>
      </c>
      <c r="J98" s="140">
        <v>13806</v>
      </c>
      <c r="K98" s="140">
        <v>15627</v>
      </c>
      <c r="L98" s="140">
        <v>17921</v>
      </c>
      <c r="M98" s="140">
        <v>20300</v>
      </c>
      <c r="N98" s="140">
        <v>22764</v>
      </c>
      <c r="O98" s="140">
        <v>26337</v>
      </c>
      <c r="P98" s="140">
        <v>27057</v>
      </c>
      <c r="Q98" s="140">
        <v>27899</v>
      </c>
      <c r="R98" s="140">
        <v>28877</v>
      </c>
      <c r="S98" s="140">
        <v>31007</v>
      </c>
      <c r="T98" s="140">
        <v>33073</v>
      </c>
      <c r="U98" s="140">
        <v>31452</v>
      </c>
      <c r="V98" s="140">
        <v>35959</v>
      </c>
      <c r="W98" s="140">
        <v>42275</v>
      </c>
      <c r="X98" s="141">
        <v>46820</v>
      </c>
    </row>
    <row r="99" spans="1:24" outlineLevel="2" x14ac:dyDescent="0.4">
      <c r="A99" s="130"/>
      <c r="B99" s="131"/>
      <c r="C99" s="131"/>
      <c r="D99" s="131" t="s">
        <v>354</v>
      </c>
      <c r="E99" s="134" t="s">
        <v>355</v>
      </c>
      <c r="F99" s="135">
        <v>9159</v>
      </c>
      <c r="G99" s="135">
        <v>10625</v>
      </c>
      <c r="H99" s="135">
        <v>12535</v>
      </c>
      <c r="I99" s="135">
        <v>14271</v>
      </c>
      <c r="J99" s="135">
        <v>16034</v>
      </c>
      <c r="K99" s="135">
        <v>17940</v>
      </c>
      <c r="L99" s="135">
        <v>20354</v>
      </c>
      <c r="M99" s="135">
        <v>22778</v>
      </c>
      <c r="N99" s="135">
        <v>25258</v>
      </c>
      <c r="O99" s="135">
        <v>28879</v>
      </c>
      <c r="P99" s="135">
        <v>30335</v>
      </c>
      <c r="Q99" s="135">
        <v>31744</v>
      </c>
      <c r="R99" s="135">
        <v>34021</v>
      </c>
      <c r="S99" s="135">
        <v>36590</v>
      </c>
      <c r="T99" s="135">
        <v>39385</v>
      </c>
      <c r="U99" s="135">
        <v>37911</v>
      </c>
      <c r="V99" s="135">
        <v>43162</v>
      </c>
      <c r="W99" s="135">
        <v>50933</v>
      </c>
      <c r="X99" s="143">
        <v>55916</v>
      </c>
    </row>
    <row r="100" spans="1:24" ht="42" x14ac:dyDescent="0.4">
      <c r="A100" s="144"/>
      <c r="B100" s="145" t="s">
        <v>356</v>
      </c>
      <c r="C100" s="145"/>
      <c r="D100" s="145"/>
      <c r="E100" s="146" t="s">
        <v>357</v>
      </c>
      <c r="F100" s="147">
        <v>43348</v>
      </c>
      <c r="G100" s="147">
        <v>47526</v>
      </c>
      <c r="H100" s="147">
        <v>52624</v>
      </c>
      <c r="I100" s="147">
        <v>57489</v>
      </c>
      <c r="J100" s="147">
        <v>63821</v>
      </c>
      <c r="K100" s="147">
        <v>69620</v>
      </c>
      <c r="L100" s="147">
        <v>75682</v>
      </c>
      <c r="M100" s="147">
        <v>84164</v>
      </c>
      <c r="N100" s="147">
        <v>93615</v>
      </c>
      <c r="O100" s="147">
        <v>102459</v>
      </c>
      <c r="P100" s="147">
        <v>112077</v>
      </c>
      <c r="Q100" s="147">
        <v>123511</v>
      </c>
      <c r="R100" s="147">
        <v>135235</v>
      </c>
      <c r="S100" s="147">
        <v>147217</v>
      </c>
      <c r="T100" s="147">
        <v>159762</v>
      </c>
      <c r="U100" s="147">
        <v>163472</v>
      </c>
      <c r="V100" s="147">
        <v>181115</v>
      </c>
      <c r="W100" s="147">
        <v>197111</v>
      </c>
      <c r="X100" s="148">
        <v>226105</v>
      </c>
    </row>
    <row r="101" spans="1:24" ht="28" hidden="1" outlineLevel="1" x14ac:dyDescent="0.4">
      <c r="A101" s="149"/>
      <c r="B101" s="132"/>
      <c r="C101" s="132" t="s">
        <v>358</v>
      </c>
      <c r="D101" s="132"/>
      <c r="E101" s="150" t="s">
        <v>359</v>
      </c>
      <c r="F101" s="136">
        <v>17212</v>
      </c>
      <c r="G101" s="136">
        <v>18889</v>
      </c>
      <c r="H101" s="136">
        <v>21231</v>
      </c>
      <c r="I101" s="136">
        <v>23196</v>
      </c>
      <c r="J101" s="136">
        <v>26213</v>
      </c>
      <c r="K101" s="136">
        <v>28573</v>
      </c>
      <c r="L101" s="136">
        <v>30909</v>
      </c>
      <c r="M101" s="136">
        <v>33723</v>
      </c>
      <c r="N101" s="136">
        <v>38204</v>
      </c>
      <c r="O101" s="136">
        <v>41793</v>
      </c>
      <c r="P101" s="136">
        <v>45797</v>
      </c>
      <c r="Q101" s="136">
        <v>50974</v>
      </c>
      <c r="R101" s="136">
        <v>55384</v>
      </c>
      <c r="S101" s="136">
        <v>60592</v>
      </c>
      <c r="T101" s="136">
        <v>64910</v>
      </c>
      <c r="U101" s="136">
        <v>66288</v>
      </c>
      <c r="V101" s="136">
        <v>69863</v>
      </c>
      <c r="W101" s="136">
        <v>75165</v>
      </c>
      <c r="X101" s="137">
        <v>86135</v>
      </c>
    </row>
    <row r="102" spans="1:24" ht="28" hidden="1" outlineLevel="2" x14ac:dyDescent="0.4">
      <c r="A102" s="124"/>
      <c r="B102" s="125"/>
      <c r="C102" s="125"/>
      <c r="D102" s="125" t="s">
        <v>360</v>
      </c>
      <c r="E102" s="139" t="s">
        <v>359</v>
      </c>
      <c r="F102" s="140">
        <v>17212</v>
      </c>
      <c r="G102" s="140">
        <v>18889</v>
      </c>
      <c r="H102" s="140">
        <v>21231</v>
      </c>
      <c r="I102" s="140">
        <v>23196</v>
      </c>
      <c r="J102" s="140">
        <v>26213</v>
      </c>
      <c r="K102" s="140">
        <v>28573</v>
      </c>
      <c r="L102" s="140">
        <v>30909</v>
      </c>
      <c r="M102" s="140">
        <v>33723</v>
      </c>
      <c r="N102" s="140">
        <v>38204</v>
      </c>
      <c r="O102" s="140">
        <v>41793</v>
      </c>
      <c r="P102" s="140">
        <v>45797</v>
      </c>
      <c r="Q102" s="140">
        <v>50974</v>
      </c>
      <c r="R102" s="140">
        <v>55384</v>
      </c>
      <c r="S102" s="140">
        <v>60592</v>
      </c>
      <c r="T102" s="140">
        <v>64910</v>
      </c>
      <c r="U102" s="140">
        <v>66288</v>
      </c>
      <c r="V102" s="140">
        <v>69863</v>
      </c>
      <c r="W102" s="140">
        <v>75165</v>
      </c>
      <c r="X102" s="141">
        <v>86135</v>
      </c>
    </row>
    <row r="103" spans="1:24" hidden="1" outlineLevel="1" collapsed="1" x14ac:dyDescent="0.4">
      <c r="A103" s="149"/>
      <c r="B103" s="132"/>
      <c r="C103" s="132" t="s">
        <v>361</v>
      </c>
      <c r="D103" s="132"/>
      <c r="E103" s="150" t="s">
        <v>72</v>
      </c>
      <c r="F103" s="136">
        <v>14933</v>
      </c>
      <c r="G103" s="136">
        <v>16056</v>
      </c>
      <c r="H103" s="136">
        <v>17713</v>
      </c>
      <c r="I103" s="136">
        <v>19740</v>
      </c>
      <c r="J103" s="136">
        <v>21725</v>
      </c>
      <c r="K103" s="136">
        <v>23395</v>
      </c>
      <c r="L103" s="136">
        <v>25451</v>
      </c>
      <c r="M103" s="136">
        <v>28402</v>
      </c>
      <c r="N103" s="136">
        <v>31076</v>
      </c>
      <c r="O103" s="136">
        <v>33602</v>
      </c>
      <c r="P103" s="136">
        <v>36860</v>
      </c>
      <c r="Q103" s="136">
        <v>40731</v>
      </c>
      <c r="R103" s="136">
        <v>44053</v>
      </c>
      <c r="S103" s="136">
        <v>47297</v>
      </c>
      <c r="T103" s="136">
        <v>52245</v>
      </c>
      <c r="U103" s="136">
        <v>55538</v>
      </c>
      <c r="V103" s="136">
        <v>59459</v>
      </c>
      <c r="W103" s="136">
        <v>65022</v>
      </c>
      <c r="X103" s="137">
        <v>73217</v>
      </c>
    </row>
    <row r="104" spans="1:24" hidden="1" outlineLevel="2" x14ac:dyDescent="0.4">
      <c r="A104" s="124"/>
      <c r="B104" s="125"/>
      <c r="C104" s="125"/>
      <c r="D104" s="125" t="s">
        <v>362</v>
      </c>
      <c r="E104" s="139" t="s">
        <v>363</v>
      </c>
      <c r="F104" s="140">
        <v>7500</v>
      </c>
      <c r="G104" s="140">
        <v>8179</v>
      </c>
      <c r="H104" s="140">
        <v>9129</v>
      </c>
      <c r="I104" s="140">
        <v>9735</v>
      </c>
      <c r="J104" s="140">
        <v>10886</v>
      </c>
      <c r="K104" s="140">
        <v>11677</v>
      </c>
      <c r="L104" s="140">
        <v>12829</v>
      </c>
      <c r="M104" s="140">
        <v>14146</v>
      </c>
      <c r="N104" s="140">
        <v>15640</v>
      </c>
      <c r="O104" s="140">
        <v>17116</v>
      </c>
      <c r="P104" s="140">
        <v>18575</v>
      </c>
      <c r="Q104" s="140">
        <v>20228</v>
      </c>
      <c r="R104" s="140">
        <v>22259</v>
      </c>
      <c r="S104" s="140">
        <v>23668</v>
      </c>
      <c r="T104" s="140">
        <v>25231</v>
      </c>
      <c r="U104" s="140">
        <v>24264</v>
      </c>
      <c r="V104" s="140">
        <v>25829</v>
      </c>
      <c r="W104" s="140">
        <v>29579</v>
      </c>
      <c r="X104" s="141">
        <v>32909</v>
      </c>
    </row>
    <row r="105" spans="1:24" hidden="1" outlineLevel="2" x14ac:dyDescent="0.4">
      <c r="A105" s="130"/>
      <c r="B105" s="131"/>
      <c r="C105" s="131"/>
      <c r="D105" s="131" t="s">
        <v>364</v>
      </c>
      <c r="E105" s="134" t="s">
        <v>365</v>
      </c>
      <c r="F105" s="135">
        <v>7433</v>
      </c>
      <c r="G105" s="135">
        <v>7877</v>
      </c>
      <c r="H105" s="135">
        <v>8584</v>
      </c>
      <c r="I105" s="135">
        <v>10005</v>
      </c>
      <c r="J105" s="135">
        <v>10839</v>
      </c>
      <c r="K105" s="135">
        <v>11718</v>
      </c>
      <c r="L105" s="135">
        <v>12622</v>
      </c>
      <c r="M105" s="135">
        <v>14256</v>
      </c>
      <c r="N105" s="135">
        <v>15436</v>
      </c>
      <c r="O105" s="135">
        <v>16486</v>
      </c>
      <c r="P105" s="135">
        <v>18285</v>
      </c>
      <c r="Q105" s="135">
        <v>20503</v>
      </c>
      <c r="R105" s="135">
        <v>21794</v>
      </c>
      <c r="S105" s="135">
        <v>23629</v>
      </c>
      <c r="T105" s="135">
        <v>27014</v>
      </c>
      <c r="U105" s="135">
        <v>31274</v>
      </c>
      <c r="V105" s="135">
        <v>33630</v>
      </c>
      <c r="W105" s="135">
        <v>35443</v>
      </c>
      <c r="X105" s="143">
        <v>40309</v>
      </c>
    </row>
    <row r="106" spans="1:24" ht="28" hidden="1" outlineLevel="1" collapsed="1" x14ac:dyDescent="0.4">
      <c r="A106" s="151"/>
      <c r="B106" s="126"/>
      <c r="C106" s="126" t="s">
        <v>366</v>
      </c>
      <c r="D106" s="126"/>
      <c r="E106" s="127" t="s">
        <v>367</v>
      </c>
      <c r="F106" s="128">
        <v>11203</v>
      </c>
      <c r="G106" s="128">
        <v>12581</v>
      </c>
      <c r="H106" s="128">
        <v>13680</v>
      </c>
      <c r="I106" s="128">
        <v>14553</v>
      </c>
      <c r="J106" s="128">
        <v>15883</v>
      </c>
      <c r="K106" s="128">
        <v>17652</v>
      </c>
      <c r="L106" s="128">
        <v>19322</v>
      </c>
      <c r="M106" s="128">
        <v>22039</v>
      </c>
      <c r="N106" s="128">
        <v>24335</v>
      </c>
      <c r="O106" s="128">
        <v>27064</v>
      </c>
      <c r="P106" s="128">
        <v>29420</v>
      </c>
      <c r="Q106" s="128">
        <v>31806</v>
      </c>
      <c r="R106" s="128">
        <v>35798</v>
      </c>
      <c r="S106" s="128">
        <v>39328</v>
      </c>
      <c r="T106" s="128">
        <v>42607</v>
      </c>
      <c r="U106" s="128">
        <v>41646</v>
      </c>
      <c r="V106" s="128">
        <v>51793</v>
      </c>
      <c r="W106" s="128">
        <v>56924</v>
      </c>
      <c r="X106" s="129">
        <v>66753</v>
      </c>
    </row>
    <row r="107" spans="1:24" hidden="1" outlineLevel="2" x14ac:dyDescent="0.4">
      <c r="A107" s="130"/>
      <c r="B107" s="131"/>
      <c r="C107" s="131"/>
      <c r="D107" s="131" t="s">
        <v>368</v>
      </c>
      <c r="E107" s="134" t="s">
        <v>367</v>
      </c>
      <c r="F107" s="135">
        <v>11203</v>
      </c>
      <c r="G107" s="135">
        <v>12581</v>
      </c>
      <c r="H107" s="135">
        <v>13680</v>
      </c>
      <c r="I107" s="135">
        <v>14553</v>
      </c>
      <c r="J107" s="135">
        <v>15883</v>
      </c>
      <c r="K107" s="135">
        <v>17652</v>
      </c>
      <c r="L107" s="135">
        <v>19322</v>
      </c>
      <c r="M107" s="135">
        <v>22039</v>
      </c>
      <c r="N107" s="135">
        <v>24335</v>
      </c>
      <c r="O107" s="135">
        <v>27064</v>
      </c>
      <c r="P107" s="135">
        <v>29420</v>
      </c>
      <c r="Q107" s="135">
        <v>31806</v>
      </c>
      <c r="R107" s="135">
        <v>35798</v>
      </c>
      <c r="S107" s="135">
        <v>39328</v>
      </c>
      <c r="T107" s="135">
        <v>42607</v>
      </c>
      <c r="U107" s="135">
        <v>41646</v>
      </c>
      <c r="V107" s="135">
        <v>51793</v>
      </c>
      <c r="W107" s="135">
        <v>56924</v>
      </c>
      <c r="X107" s="143">
        <v>66753</v>
      </c>
    </row>
    <row r="108" spans="1:24" ht="70" collapsed="1" x14ac:dyDescent="0.4">
      <c r="A108" s="144"/>
      <c r="B108" s="145" t="s">
        <v>369</v>
      </c>
      <c r="C108" s="145"/>
      <c r="D108" s="145"/>
      <c r="E108" s="146" t="s">
        <v>370</v>
      </c>
      <c r="F108" s="147">
        <v>8069</v>
      </c>
      <c r="G108" s="147">
        <v>8854</v>
      </c>
      <c r="H108" s="147">
        <v>9956</v>
      </c>
      <c r="I108" s="147">
        <v>10983</v>
      </c>
      <c r="J108" s="147">
        <v>11888</v>
      </c>
      <c r="K108" s="147">
        <v>13087</v>
      </c>
      <c r="L108" s="147">
        <v>14510</v>
      </c>
      <c r="M108" s="147">
        <v>15586</v>
      </c>
      <c r="N108" s="147">
        <v>16900</v>
      </c>
      <c r="O108" s="147">
        <v>18084</v>
      </c>
      <c r="P108" s="147">
        <v>18982</v>
      </c>
      <c r="Q108" s="147">
        <v>20551</v>
      </c>
      <c r="R108" s="147">
        <v>22226</v>
      </c>
      <c r="S108" s="147">
        <v>23166</v>
      </c>
      <c r="T108" s="147">
        <v>27047</v>
      </c>
      <c r="U108" s="147">
        <v>24640</v>
      </c>
      <c r="V108" s="147">
        <v>33259</v>
      </c>
      <c r="W108" s="147">
        <v>47401</v>
      </c>
      <c r="X108" s="148">
        <v>55745</v>
      </c>
    </row>
    <row r="109" spans="1:24" ht="28" hidden="1" outlineLevel="1" x14ac:dyDescent="0.4">
      <c r="A109" s="149"/>
      <c r="B109" s="132"/>
      <c r="C109" s="132" t="s">
        <v>371</v>
      </c>
      <c r="D109" s="132"/>
      <c r="E109" s="150" t="s">
        <v>372</v>
      </c>
      <c r="F109" s="136">
        <v>5528</v>
      </c>
      <c r="G109" s="136">
        <v>6141</v>
      </c>
      <c r="H109" s="136">
        <v>7031</v>
      </c>
      <c r="I109" s="136">
        <v>7884</v>
      </c>
      <c r="J109" s="136">
        <v>8601</v>
      </c>
      <c r="K109" s="136">
        <v>9528</v>
      </c>
      <c r="L109" s="136">
        <v>10676</v>
      </c>
      <c r="M109" s="136">
        <v>11468</v>
      </c>
      <c r="N109" s="136">
        <v>12515</v>
      </c>
      <c r="O109" s="136">
        <v>13386</v>
      </c>
      <c r="P109" s="136">
        <v>13991</v>
      </c>
      <c r="Q109" s="136">
        <v>15111</v>
      </c>
      <c r="R109" s="136">
        <v>16438</v>
      </c>
      <c r="S109" s="136">
        <v>17033</v>
      </c>
      <c r="T109" s="136">
        <v>20492</v>
      </c>
      <c r="U109" s="136">
        <v>19661</v>
      </c>
      <c r="V109" s="136">
        <v>27609</v>
      </c>
      <c r="W109" s="136">
        <v>39423</v>
      </c>
      <c r="X109" s="137">
        <v>46758</v>
      </c>
    </row>
    <row r="110" spans="1:24" ht="28" hidden="1" outlineLevel="2" x14ac:dyDescent="0.4">
      <c r="A110" s="124"/>
      <c r="B110" s="125"/>
      <c r="C110" s="125"/>
      <c r="D110" s="125" t="s">
        <v>373</v>
      </c>
      <c r="E110" s="139" t="s">
        <v>372</v>
      </c>
      <c r="F110" s="140">
        <v>5528</v>
      </c>
      <c r="G110" s="140">
        <v>6141</v>
      </c>
      <c r="H110" s="140">
        <v>7031</v>
      </c>
      <c r="I110" s="140">
        <v>7884</v>
      </c>
      <c r="J110" s="140">
        <v>8601</v>
      </c>
      <c r="K110" s="140">
        <v>9528</v>
      </c>
      <c r="L110" s="140">
        <v>10676</v>
      </c>
      <c r="M110" s="140">
        <v>11468</v>
      </c>
      <c r="N110" s="140">
        <v>12515</v>
      </c>
      <c r="O110" s="140">
        <v>13386</v>
      </c>
      <c r="P110" s="140">
        <v>13991</v>
      </c>
      <c r="Q110" s="140">
        <v>15111</v>
      </c>
      <c r="R110" s="140">
        <v>16438</v>
      </c>
      <c r="S110" s="140">
        <v>17033</v>
      </c>
      <c r="T110" s="140">
        <v>20492</v>
      </c>
      <c r="U110" s="140">
        <v>19661</v>
      </c>
      <c r="V110" s="140">
        <v>27609</v>
      </c>
      <c r="W110" s="140">
        <v>39423</v>
      </c>
      <c r="X110" s="141">
        <v>46758</v>
      </c>
    </row>
    <row r="111" spans="1:24" ht="56" hidden="1" outlineLevel="1" collapsed="1" x14ac:dyDescent="0.4">
      <c r="A111" s="149"/>
      <c r="B111" s="132"/>
      <c r="C111" s="132" t="s">
        <v>374</v>
      </c>
      <c r="D111" s="132"/>
      <c r="E111" s="150" t="s">
        <v>375</v>
      </c>
      <c r="F111" s="136">
        <v>2541</v>
      </c>
      <c r="G111" s="136">
        <v>2713</v>
      </c>
      <c r="H111" s="136">
        <v>2925</v>
      </c>
      <c r="I111" s="136">
        <v>3099</v>
      </c>
      <c r="J111" s="136">
        <v>3287</v>
      </c>
      <c r="K111" s="136">
        <v>3559</v>
      </c>
      <c r="L111" s="136">
        <v>3834</v>
      </c>
      <c r="M111" s="136">
        <v>4118</v>
      </c>
      <c r="N111" s="136">
        <v>4385</v>
      </c>
      <c r="O111" s="136">
        <v>4698</v>
      </c>
      <c r="P111" s="136">
        <v>4991</v>
      </c>
      <c r="Q111" s="136">
        <v>5440</v>
      </c>
      <c r="R111" s="136">
        <v>5788</v>
      </c>
      <c r="S111" s="136">
        <v>6133</v>
      </c>
      <c r="T111" s="136">
        <v>6555</v>
      </c>
      <c r="U111" s="136">
        <v>4979</v>
      </c>
      <c r="V111" s="136">
        <v>5650</v>
      </c>
      <c r="W111" s="136">
        <v>7978</v>
      </c>
      <c r="X111" s="137">
        <v>8987</v>
      </c>
    </row>
    <row r="112" spans="1:24" ht="28" hidden="1" outlineLevel="2" x14ac:dyDescent="0.4">
      <c r="A112" s="124"/>
      <c r="B112" s="125"/>
      <c r="C112" s="125"/>
      <c r="D112" s="125" t="s">
        <v>376</v>
      </c>
      <c r="E112" s="139" t="s">
        <v>377</v>
      </c>
      <c r="F112" s="140">
        <v>2541</v>
      </c>
      <c r="G112" s="140">
        <v>2713</v>
      </c>
      <c r="H112" s="140">
        <v>2925</v>
      </c>
      <c r="I112" s="140">
        <v>3099</v>
      </c>
      <c r="J112" s="140">
        <v>3287</v>
      </c>
      <c r="K112" s="140">
        <v>3559</v>
      </c>
      <c r="L112" s="140">
        <v>3834</v>
      </c>
      <c r="M112" s="140">
        <v>4118</v>
      </c>
      <c r="N112" s="140">
        <v>4385</v>
      </c>
      <c r="O112" s="140">
        <v>4698</v>
      </c>
      <c r="P112" s="140">
        <v>4991</v>
      </c>
      <c r="Q112" s="140">
        <v>5440</v>
      </c>
      <c r="R112" s="140">
        <v>5788</v>
      </c>
      <c r="S112" s="140">
        <v>6133</v>
      </c>
      <c r="T112" s="140">
        <v>6555</v>
      </c>
      <c r="U112" s="140">
        <v>4979</v>
      </c>
      <c r="V112" s="140">
        <v>5650</v>
      </c>
      <c r="W112" s="140">
        <v>7978</v>
      </c>
      <c r="X112" s="141">
        <v>8987</v>
      </c>
    </row>
    <row r="113" spans="1:25" collapsed="1" x14ac:dyDescent="0.4">
      <c r="A113" s="160" t="s">
        <v>378</v>
      </c>
      <c r="B113" s="161"/>
      <c r="C113" s="162"/>
      <c r="D113" s="163"/>
      <c r="E113" s="162" t="s">
        <v>379</v>
      </c>
      <c r="F113" s="164">
        <v>307697</v>
      </c>
      <c r="G113" s="164">
        <v>345775</v>
      </c>
      <c r="H113" s="164">
        <v>387663</v>
      </c>
      <c r="I113" s="164">
        <v>432854</v>
      </c>
      <c r="J113" s="164">
        <v>458523</v>
      </c>
      <c r="K113" s="164">
        <v>495613</v>
      </c>
      <c r="L113" s="164">
        <v>562283</v>
      </c>
      <c r="M113" s="164">
        <v>606358</v>
      </c>
      <c r="N113" s="164">
        <v>653334</v>
      </c>
      <c r="O113" s="164">
        <v>694752</v>
      </c>
      <c r="P113" s="164">
        <v>730543</v>
      </c>
      <c r="Q113" s="164">
        <v>787719</v>
      </c>
      <c r="R113" s="164">
        <v>835906</v>
      </c>
      <c r="S113" s="164">
        <v>896656</v>
      </c>
      <c r="T113" s="164">
        <v>959792</v>
      </c>
      <c r="U113" s="164">
        <v>909303</v>
      </c>
      <c r="V113" s="164">
        <v>1079574</v>
      </c>
      <c r="W113" s="164">
        <v>1321264</v>
      </c>
      <c r="X113" s="165">
        <v>1417817</v>
      </c>
      <c r="Y113" s="719">
        <f>X96/X115</f>
        <v>6.5334612857950503E-2</v>
      </c>
    </row>
    <row r="114" spans="1:25" x14ac:dyDescent="0.4">
      <c r="A114" s="166" t="s">
        <v>380</v>
      </c>
      <c r="B114" s="138"/>
      <c r="C114" s="138"/>
      <c r="D114" s="167"/>
      <c r="E114" s="138" t="s">
        <v>381</v>
      </c>
      <c r="F114" s="168">
        <v>30261</v>
      </c>
      <c r="G114" s="168">
        <v>35829</v>
      </c>
      <c r="H114" s="168">
        <v>40843</v>
      </c>
      <c r="I114" s="168">
        <v>43700</v>
      </c>
      <c r="J114" s="168">
        <v>43051</v>
      </c>
      <c r="K114" s="168">
        <v>48447</v>
      </c>
      <c r="L114" s="168">
        <v>56740</v>
      </c>
      <c r="M114" s="168">
        <v>60149</v>
      </c>
      <c r="N114" s="168">
        <v>60759</v>
      </c>
      <c r="O114" s="168">
        <v>68151</v>
      </c>
      <c r="P114" s="168">
        <v>74149</v>
      </c>
      <c r="Q114" s="168">
        <v>76063</v>
      </c>
      <c r="R114" s="168">
        <v>84565</v>
      </c>
      <c r="S114" s="168">
        <v>91135</v>
      </c>
      <c r="T114" s="168">
        <v>100276</v>
      </c>
      <c r="U114" s="168">
        <v>89168</v>
      </c>
      <c r="V114" s="168">
        <v>113060</v>
      </c>
      <c r="W114" s="168">
        <v>148527</v>
      </c>
      <c r="X114" s="169">
        <v>154642</v>
      </c>
    </row>
    <row r="115" spans="1:25" x14ac:dyDescent="0.4">
      <c r="A115" s="170" t="s">
        <v>378</v>
      </c>
      <c r="B115" s="171"/>
      <c r="C115" s="171"/>
      <c r="D115" s="172"/>
      <c r="E115" s="171" t="s">
        <v>382</v>
      </c>
      <c r="F115" s="173">
        <v>337958</v>
      </c>
      <c r="G115" s="173">
        <v>381604</v>
      </c>
      <c r="H115" s="173">
        <v>428506</v>
      </c>
      <c r="I115" s="173">
        <v>476554</v>
      </c>
      <c r="J115" s="173">
        <v>501574</v>
      </c>
      <c r="K115" s="173">
        <v>544060</v>
      </c>
      <c r="L115" s="173">
        <v>619023</v>
      </c>
      <c r="M115" s="173">
        <v>666507</v>
      </c>
      <c r="N115" s="173">
        <v>714093</v>
      </c>
      <c r="O115" s="173">
        <v>762903</v>
      </c>
      <c r="P115" s="173">
        <v>804692</v>
      </c>
      <c r="Q115" s="173">
        <v>863782</v>
      </c>
      <c r="R115" s="173">
        <v>920471</v>
      </c>
      <c r="S115" s="173">
        <v>987791</v>
      </c>
      <c r="T115" s="173">
        <v>1060068</v>
      </c>
      <c r="U115" s="173">
        <v>998471</v>
      </c>
      <c r="V115" s="173">
        <v>1192634</v>
      </c>
      <c r="W115" s="173">
        <v>1469791</v>
      </c>
      <c r="X115" s="174">
        <v>1572459</v>
      </c>
    </row>
    <row r="116" spans="1:25" x14ac:dyDescent="0.4">
      <c r="A116" s="111"/>
      <c r="D116" s="107"/>
      <c r="F116" s="175"/>
      <c r="G116" s="175"/>
      <c r="H116" s="175"/>
      <c r="I116" s="175"/>
      <c r="J116" s="175"/>
      <c r="K116" s="175"/>
      <c r="L116" s="175"/>
      <c r="M116" s="175"/>
      <c r="N116" s="175"/>
      <c r="O116" s="175"/>
      <c r="P116" s="175"/>
      <c r="Q116" s="176"/>
      <c r="R116" s="175"/>
      <c r="S116" s="175"/>
      <c r="T116" s="175"/>
      <c r="U116" s="177"/>
      <c r="V116" s="177"/>
      <c r="W116" s="177"/>
      <c r="X116" s="178"/>
    </row>
    <row r="117" spans="1:25" s="115" customFormat="1" ht="16" x14ac:dyDescent="0.45">
      <c r="A117" s="1942" t="s">
        <v>383</v>
      </c>
      <c r="B117" s="1943"/>
      <c r="C117" s="1943"/>
      <c r="D117" s="1943"/>
      <c r="E117" s="1943"/>
      <c r="F117" s="179"/>
      <c r="G117" s="179"/>
      <c r="H117" s="179"/>
      <c r="I117" s="179"/>
      <c r="J117" s="179"/>
      <c r="K117" s="179"/>
      <c r="L117" s="179"/>
      <c r="M117" s="179"/>
      <c r="N117" s="179"/>
      <c r="O117" s="179"/>
      <c r="P117" s="179"/>
      <c r="Q117" s="179"/>
      <c r="R117" s="179"/>
      <c r="S117" s="179"/>
      <c r="T117" s="179"/>
      <c r="U117" s="179"/>
      <c r="V117" s="179"/>
      <c r="W117" s="179"/>
      <c r="X117" s="180"/>
    </row>
    <row r="118" spans="1:25" x14ac:dyDescent="0.4">
      <c r="A118" s="116"/>
      <c r="B118" s="117"/>
      <c r="C118" s="117"/>
      <c r="D118" s="117"/>
      <c r="E118" s="118"/>
      <c r="F118" s="175"/>
      <c r="G118" s="175"/>
      <c r="H118" s="175"/>
      <c r="I118" s="175"/>
      <c r="J118" s="175"/>
      <c r="K118" s="175"/>
      <c r="L118" s="175"/>
      <c r="M118" s="175"/>
      <c r="N118" s="175"/>
      <c r="O118" s="175"/>
      <c r="P118" s="175"/>
      <c r="Q118" s="175"/>
      <c r="R118" s="175"/>
      <c r="S118" s="175"/>
      <c r="T118" s="175"/>
      <c r="U118" s="175"/>
      <c r="V118" s="175"/>
      <c r="W118" s="175"/>
      <c r="X118" s="181"/>
    </row>
    <row r="119" spans="1:25" x14ac:dyDescent="0.4">
      <c r="A119" s="160" t="s">
        <v>384</v>
      </c>
      <c r="B119" s="161"/>
      <c r="C119" s="161"/>
      <c r="D119" s="161"/>
      <c r="E119" s="182" t="s">
        <v>385</v>
      </c>
      <c r="F119" s="164">
        <v>276532</v>
      </c>
      <c r="G119" s="164">
        <v>310035</v>
      </c>
      <c r="H119" s="164">
        <v>346140</v>
      </c>
      <c r="I119" s="164">
        <v>377562</v>
      </c>
      <c r="J119" s="164">
        <v>402862</v>
      </c>
      <c r="K119" s="164">
        <v>433584</v>
      </c>
      <c r="L119" s="164">
        <v>482354</v>
      </c>
      <c r="M119" s="164">
        <v>527261</v>
      </c>
      <c r="N119" s="164">
        <v>568641</v>
      </c>
      <c r="O119" s="164">
        <v>611960</v>
      </c>
      <c r="P119" s="164">
        <v>670201</v>
      </c>
      <c r="Q119" s="164">
        <v>722130</v>
      </c>
      <c r="R119" s="164">
        <v>767608</v>
      </c>
      <c r="S119" s="164">
        <v>825199</v>
      </c>
      <c r="T119" s="164">
        <v>895141</v>
      </c>
      <c r="U119" s="164">
        <v>877485</v>
      </c>
      <c r="V119" s="164">
        <v>1058441</v>
      </c>
      <c r="W119" s="164">
        <v>1291434</v>
      </c>
      <c r="X119" s="165">
        <v>1434347</v>
      </c>
    </row>
    <row r="120" spans="1:25" ht="28.5" x14ac:dyDescent="0.4">
      <c r="A120" s="183" t="s">
        <v>386</v>
      </c>
      <c r="B120" s="184"/>
      <c r="C120" s="185"/>
      <c r="D120" s="184"/>
      <c r="E120" s="186" t="s">
        <v>387</v>
      </c>
      <c r="F120" s="187">
        <v>229366</v>
      </c>
      <c r="G120" s="187">
        <v>257066</v>
      </c>
      <c r="H120" s="187">
        <v>287306</v>
      </c>
      <c r="I120" s="187">
        <v>314924</v>
      </c>
      <c r="J120" s="187">
        <v>333624</v>
      </c>
      <c r="K120" s="187">
        <v>358720</v>
      </c>
      <c r="L120" s="187">
        <v>399719</v>
      </c>
      <c r="M120" s="187">
        <v>437446</v>
      </c>
      <c r="N120" s="187">
        <v>467973</v>
      </c>
      <c r="O120" s="187">
        <v>503294</v>
      </c>
      <c r="P120" s="187">
        <v>551013</v>
      </c>
      <c r="Q120" s="187">
        <v>596525</v>
      </c>
      <c r="R120" s="187">
        <v>630636</v>
      </c>
      <c r="S120" s="187">
        <v>672867</v>
      </c>
      <c r="T120" s="187">
        <v>727934</v>
      </c>
      <c r="U120" s="187">
        <v>706159</v>
      </c>
      <c r="V120" s="187">
        <v>867067</v>
      </c>
      <c r="W120" s="187">
        <v>1085690</v>
      </c>
      <c r="X120" s="188">
        <v>1202350</v>
      </c>
    </row>
    <row r="121" spans="1:25" x14ac:dyDescent="0.4">
      <c r="A121" s="189" t="s">
        <v>388</v>
      </c>
      <c r="B121" s="190"/>
      <c r="C121" s="191"/>
      <c r="D121" s="190"/>
      <c r="E121" s="192" t="s">
        <v>389</v>
      </c>
      <c r="F121" s="193">
        <v>228525</v>
      </c>
      <c r="G121" s="193">
        <v>256071</v>
      </c>
      <c r="H121" s="193">
        <v>286161</v>
      </c>
      <c r="I121" s="193">
        <v>313759</v>
      </c>
      <c r="J121" s="193">
        <v>332198</v>
      </c>
      <c r="K121" s="193">
        <v>357176</v>
      </c>
      <c r="L121" s="193">
        <v>397889</v>
      </c>
      <c r="M121" s="193">
        <v>435245</v>
      </c>
      <c r="N121" s="193">
        <v>465538</v>
      </c>
      <c r="O121" s="193">
        <v>500228</v>
      </c>
      <c r="P121" s="193">
        <v>547843</v>
      </c>
      <c r="Q121" s="193">
        <v>593017</v>
      </c>
      <c r="R121" s="193">
        <v>627075</v>
      </c>
      <c r="S121" s="194">
        <v>669031</v>
      </c>
      <c r="T121" s="194">
        <v>723792</v>
      </c>
      <c r="U121" s="194">
        <v>702156</v>
      </c>
      <c r="V121" s="194">
        <v>862500</v>
      </c>
      <c r="W121" s="194">
        <v>1080441</v>
      </c>
      <c r="X121" s="195">
        <v>1196277</v>
      </c>
    </row>
    <row r="122" spans="1:25" x14ac:dyDescent="0.4">
      <c r="A122" s="196" t="s">
        <v>390</v>
      </c>
      <c r="B122" s="197"/>
      <c r="C122" s="198"/>
      <c r="D122" s="197"/>
      <c r="E122" s="199" t="s">
        <v>391</v>
      </c>
      <c r="F122" s="175">
        <v>841</v>
      </c>
      <c r="G122" s="175">
        <v>995</v>
      </c>
      <c r="H122" s="175">
        <v>1145</v>
      </c>
      <c r="I122" s="175">
        <v>1165</v>
      </c>
      <c r="J122" s="175">
        <v>1426</v>
      </c>
      <c r="K122" s="175">
        <v>1544</v>
      </c>
      <c r="L122" s="175">
        <v>1830</v>
      </c>
      <c r="M122" s="175">
        <v>2201</v>
      </c>
      <c r="N122" s="175">
        <v>2435</v>
      </c>
      <c r="O122" s="175">
        <v>3066</v>
      </c>
      <c r="P122" s="175">
        <v>3170</v>
      </c>
      <c r="Q122" s="175">
        <v>3508</v>
      </c>
      <c r="R122" s="175">
        <v>3561</v>
      </c>
      <c r="S122" s="200">
        <v>3836</v>
      </c>
      <c r="T122" s="200">
        <v>4142</v>
      </c>
      <c r="U122" s="200">
        <v>4003</v>
      </c>
      <c r="V122" s="200">
        <v>4567</v>
      </c>
      <c r="W122" s="200">
        <v>5249</v>
      </c>
      <c r="X122" s="201">
        <v>6073</v>
      </c>
    </row>
    <row r="123" spans="1:25" x14ac:dyDescent="0.4">
      <c r="A123" s="202" t="s">
        <v>392</v>
      </c>
      <c r="B123" s="203"/>
      <c r="C123" s="204"/>
      <c r="D123" s="203"/>
      <c r="E123" s="205" t="s">
        <v>393</v>
      </c>
      <c r="F123" s="206">
        <v>47166</v>
      </c>
      <c r="G123" s="206">
        <v>52969</v>
      </c>
      <c r="H123" s="206">
        <v>58834</v>
      </c>
      <c r="I123" s="206">
        <v>62638</v>
      </c>
      <c r="J123" s="206">
        <v>69238</v>
      </c>
      <c r="K123" s="206">
        <v>74864</v>
      </c>
      <c r="L123" s="206">
        <v>82635</v>
      </c>
      <c r="M123" s="206">
        <v>89815</v>
      </c>
      <c r="N123" s="206">
        <v>100668</v>
      </c>
      <c r="O123" s="206">
        <v>108666</v>
      </c>
      <c r="P123" s="206">
        <v>119188</v>
      </c>
      <c r="Q123" s="206">
        <v>125605</v>
      </c>
      <c r="R123" s="206">
        <v>136972</v>
      </c>
      <c r="S123" s="206">
        <v>152332</v>
      </c>
      <c r="T123" s="206">
        <v>167207</v>
      </c>
      <c r="U123" s="206">
        <v>171326</v>
      </c>
      <c r="V123" s="206">
        <v>191374</v>
      </c>
      <c r="W123" s="206">
        <v>205744</v>
      </c>
      <c r="X123" s="207">
        <v>231997</v>
      </c>
    </row>
    <row r="124" spans="1:25" x14ac:dyDescent="0.4">
      <c r="A124" s="208"/>
      <c r="C124" s="197"/>
      <c r="D124" s="107"/>
      <c r="E124" s="209"/>
      <c r="F124" s="175"/>
      <c r="G124" s="175"/>
      <c r="H124" s="175"/>
      <c r="I124" s="175"/>
      <c r="J124" s="175"/>
      <c r="K124" s="175"/>
      <c r="L124" s="175"/>
      <c r="M124" s="175"/>
      <c r="N124" s="175"/>
      <c r="O124" s="175"/>
      <c r="P124" s="175"/>
      <c r="Q124" s="175"/>
      <c r="R124" s="175"/>
      <c r="S124" s="175"/>
      <c r="T124" s="175"/>
      <c r="U124" s="175"/>
      <c r="V124" s="175"/>
      <c r="W124" s="175"/>
      <c r="X124" s="181"/>
    </row>
    <row r="125" spans="1:25" x14ac:dyDescent="0.4">
      <c r="A125" s="160" t="s">
        <v>394</v>
      </c>
      <c r="B125" s="161"/>
      <c r="C125" s="161"/>
      <c r="D125" s="161"/>
      <c r="E125" s="182" t="s">
        <v>395</v>
      </c>
      <c r="F125" s="164">
        <v>73189</v>
      </c>
      <c r="G125" s="164">
        <v>87536</v>
      </c>
      <c r="H125" s="164">
        <v>100503</v>
      </c>
      <c r="I125" s="164">
        <v>113043</v>
      </c>
      <c r="J125" s="164">
        <v>110284</v>
      </c>
      <c r="K125" s="164">
        <v>119088</v>
      </c>
      <c r="L125" s="164">
        <v>142348</v>
      </c>
      <c r="M125" s="164">
        <v>147329</v>
      </c>
      <c r="N125" s="164">
        <v>158404</v>
      </c>
      <c r="O125" s="164">
        <v>183122</v>
      </c>
      <c r="P125" s="164">
        <v>191305</v>
      </c>
      <c r="Q125" s="164">
        <v>200116</v>
      </c>
      <c r="R125" s="164">
        <v>198816</v>
      </c>
      <c r="S125" s="164">
        <v>209367</v>
      </c>
      <c r="T125" s="164">
        <v>226649</v>
      </c>
      <c r="U125" s="164">
        <v>190989</v>
      </c>
      <c r="V125" s="164">
        <v>225610</v>
      </c>
      <c r="W125" s="164">
        <v>290196</v>
      </c>
      <c r="X125" s="165">
        <v>213891</v>
      </c>
    </row>
    <row r="126" spans="1:25" x14ac:dyDescent="0.4">
      <c r="A126" s="210" t="s">
        <v>396</v>
      </c>
      <c r="D126" s="107"/>
      <c r="E126" s="211" t="s">
        <v>397</v>
      </c>
      <c r="F126" s="175">
        <v>70823</v>
      </c>
      <c r="G126" s="175">
        <v>86157</v>
      </c>
      <c r="H126" s="175">
        <v>103173</v>
      </c>
      <c r="I126" s="175">
        <v>104431</v>
      </c>
      <c r="J126" s="175">
        <v>113590</v>
      </c>
      <c r="K126" s="175">
        <v>119927</v>
      </c>
      <c r="L126" s="175">
        <v>135664</v>
      </c>
      <c r="M126" s="175">
        <v>140801</v>
      </c>
      <c r="N126" s="175">
        <v>152376</v>
      </c>
      <c r="O126" s="175">
        <v>172954</v>
      </c>
      <c r="P126" s="175">
        <v>188095</v>
      </c>
      <c r="Q126" s="175">
        <v>191152</v>
      </c>
      <c r="R126" s="175">
        <v>199952</v>
      </c>
      <c r="S126" s="175">
        <v>209687</v>
      </c>
      <c r="T126" s="175">
        <v>225467</v>
      </c>
      <c r="U126" s="175">
        <v>183340</v>
      </c>
      <c r="V126" s="175">
        <v>226478</v>
      </c>
      <c r="W126" s="175">
        <v>279758</v>
      </c>
      <c r="X126" s="181">
        <v>273280</v>
      </c>
    </row>
    <row r="127" spans="1:25" outlineLevel="1" x14ac:dyDescent="0.4">
      <c r="A127" s="212" t="s">
        <v>398</v>
      </c>
      <c r="B127" s="163"/>
      <c r="C127" s="163"/>
      <c r="D127" s="163"/>
      <c r="E127" s="192" t="s">
        <v>399</v>
      </c>
      <c r="F127" s="193">
        <v>10460</v>
      </c>
      <c r="G127" s="193">
        <v>12458</v>
      </c>
      <c r="H127" s="193">
        <v>17072</v>
      </c>
      <c r="I127" s="193">
        <v>15636</v>
      </c>
      <c r="J127" s="193">
        <v>20129</v>
      </c>
      <c r="K127" s="193">
        <v>20268</v>
      </c>
      <c r="L127" s="193">
        <v>22677</v>
      </c>
      <c r="M127" s="193">
        <v>27925</v>
      </c>
      <c r="N127" s="193">
        <v>34679</v>
      </c>
      <c r="O127" s="193">
        <v>38266</v>
      </c>
      <c r="P127" s="193">
        <v>42804</v>
      </c>
      <c r="Q127" s="193">
        <v>45498</v>
      </c>
      <c r="R127" s="193">
        <v>46743</v>
      </c>
      <c r="S127" s="194">
        <v>49674</v>
      </c>
      <c r="T127" s="194">
        <v>47597</v>
      </c>
      <c r="U127" s="194">
        <v>33140</v>
      </c>
      <c r="V127" s="194">
        <v>49546</v>
      </c>
      <c r="W127" s="194">
        <v>55841</v>
      </c>
      <c r="X127" s="195">
        <v>61257</v>
      </c>
    </row>
    <row r="128" spans="1:25" outlineLevel="1" x14ac:dyDescent="0.4">
      <c r="A128" s="213" t="s">
        <v>400</v>
      </c>
      <c r="D128" s="107"/>
      <c r="E128" s="199" t="s">
        <v>401</v>
      </c>
      <c r="F128" s="175">
        <v>24766</v>
      </c>
      <c r="G128" s="175">
        <v>27963</v>
      </c>
      <c r="H128" s="175">
        <v>35394</v>
      </c>
      <c r="I128" s="175">
        <v>35756</v>
      </c>
      <c r="J128" s="175">
        <v>42495</v>
      </c>
      <c r="K128" s="175">
        <v>44815</v>
      </c>
      <c r="L128" s="175">
        <v>46484</v>
      </c>
      <c r="M128" s="175">
        <v>48192</v>
      </c>
      <c r="N128" s="175">
        <v>53368</v>
      </c>
      <c r="O128" s="175">
        <v>64363</v>
      </c>
      <c r="P128" s="175">
        <v>72608</v>
      </c>
      <c r="Q128" s="175">
        <v>75407</v>
      </c>
      <c r="R128" s="175">
        <v>80706</v>
      </c>
      <c r="S128" s="200">
        <v>82087</v>
      </c>
      <c r="T128" s="200">
        <v>86958</v>
      </c>
      <c r="U128" s="200">
        <v>63362</v>
      </c>
      <c r="V128" s="200">
        <v>65916</v>
      </c>
      <c r="W128" s="200">
        <v>68216</v>
      </c>
      <c r="X128" s="201">
        <v>72185</v>
      </c>
    </row>
    <row r="129" spans="1:24" outlineLevel="1" x14ac:dyDescent="0.4">
      <c r="A129" s="212" t="s">
        <v>402</v>
      </c>
      <c r="B129" s="163"/>
      <c r="C129" s="163"/>
      <c r="D129" s="163"/>
      <c r="E129" s="192" t="s">
        <v>403</v>
      </c>
      <c r="F129" s="193">
        <v>30148</v>
      </c>
      <c r="G129" s="193">
        <v>40261</v>
      </c>
      <c r="H129" s="193">
        <v>44490</v>
      </c>
      <c r="I129" s="193">
        <v>45399</v>
      </c>
      <c r="J129" s="193">
        <v>42500</v>
      </c>
      <c r="K129" s="193">
        <v>45884</v>
      </c>
      <c r="L129" s="193">
        <v>55758</v>
      </c>
      <c r="M129" s="193">
        <v>54539</v>
      </c>
      <c r="N129" s="193">
        <v>53649</v>
      </c>
      <c r="O129" s="193">
        <v>59476</v>
      </c>
      <c r="P129" s="193">
        <v>60748</v>
      </c>
      <c r="Q129" s="193">
        <v>57974</v>
      </c>
      <c r="R129" s="193">
        <v>58802</v>
      </c>
      <c r="S129" s="194">
        <v>64235</v>
      </c>
      <c r="T129" s="194">
        <v>75762</v>
      </c>
      <c r="U129" s="194">
        <v>70991</v>
      </c>
      <c r="V129" s="194">
        <v>92668</v>
      </c>
      <c r="W129" s="194">
        <v>132726</v>
      </c>
      <c r="X129" s="195">
        <v>113564</v>
      </c>
    </row>
    <row r="130" spans="1:24" outlineLevel="1" x14ac:dyDescent="0.4">
      <c r="A130" s="213" t="s">
        <v>404</v>
      </c>
      <c r="D130" s="107"/>
      <c r="E130" s="199" t="s">
        <v>405</v>
      </c>
      <c r="F130" s="175">
        <v>1738</v>
      </c>
      <c r="G130" s="175">
        <v>1826</v>
      </c>
      <c r="H130" s="175">
        <v>2023</v>
      </c>
      <c r="I130" s="175">
        <v>2421</v>
      </c>
      <c r="J130" s="175">
        <v>2930</v>
      </c>
      <c r="K130" s="175">
        <v>3086</v>
      </c>
      <c r="L130" s="175">
        <v>3397</v>
      </c>
      <c r="M130" s="175">
        <v>2908</v>
      </c>
      <c r="N130" s="175">
        <v>2823</v>
      </c>
      <c r="O130" s="175">
        <v>3023</v>
      </c>
      <c r="P130" s="175">
        <v>3530</v>
      </c>
      <c r="Q130" s="175">
        <v>4490</v>
      </c>
      <c r="R130" s="175">
        <v>5187</v>
      </c>
      <c r="S130" s="200">
        <v>4967</v>
      </c>
      <c r="T130" s="200">
        <v>5975</v>
      </c>
      <c r="U130" s="200">
        <v>6880</v>
      </c>
      <c r="V130" s="200">
        <v>8855</v>
      </c>
      <c r="W130" s="200">
        <v>10639</v>
      </c>
      <c r="X130" s="201">
        <v>12623</v>
      </c>
    </row>
    <row r="131" spans="1:24" outlineLevel="1" x14ac:dyDescent="0.4">
      <c r="A131" s="189" t="s">
        <v>406</v>
      </c>
      <c r="B131" s="163"/>
      <c r="C131" s="163"/>
      <c r="D131" s="163"/>
      <c r="E131" s="192" t="s">
        <v>407</v>
      </c>
      <c r="F131" s="193">
        <v>3711</v>
      </c>
      <c r="G131" s="193">
        <v>3649</v>
      </c>
      <c r="H131" s="193">
        <v>4194</v>
      </c>
      <c r="I131" s="193">
        <v>5219</v>
      </c>
      <c r="J131" s="193">
        <v>5536</v>
      </c>
      <c r="K131" s="193">
        <v>5874</v>
      </c>
      <c r="L131" s="193">
        <v>7348</v>
      </c>
      <c r="M131" s="193">
        <v>7237</v>
      </c>
      <c r="N131" s="193">
        <v>7857</v>
      </c>
      <c r="O131" s="193">
        <v>7826</v>
      </c>
      <c r="P131" s="193">
        <v>8405</v>
      </c>
      <c r="Q131" s="193">
        <v>7783</v>
      </c>
      <c r="R131" s="193">
        <v>8514</v>
      </c>
      <c r="S131" s="194">
        <v>8724</v>
      </c>
      <c r="T131" s="194">
        <v>9175</v>
      </c>
      <c r="U131" s="194">
        <v>8967</v>
      </c>
      <c r="V131" s="194">
        <v>9493</v>
      </c>
      <c r="W131" s="194">
        <v>12336</v>
      </c>
      <c r="X131" s="195">
        <v>13651</v>
      </c>
    </row>
    <row r="132" spans="1:24" x14ac:dyDescent="0.4">
      <c r="A132" s="210" t="s">
        <v>408</v>
      </c>
      <c r="D132" s="107"/>
      <c r="E132" s="211" t="s">
        <v>409</v>
      </c>
      <c r="F132" s="175">
        <v>2346</v>
      </c>
      <c r="G132" s="175">
        <v>1359</v>
      </c>
      <c r="H132" s="175">
        <v>-2691</v>
      </c>
      <c r="I132" s="175">
        <v>8592</v>
      </c>
      <c r="J132" s="175">
        <v>-3327</v>
      </c>
      <c r="K132" s="175">
        <v>-859</v>
      </c>
      <c r="L132" s="175">
        <v>6663</v>
      </c>
      <c r="M132" s="175">
        <v>6505</v>
      </c>
      <c r="N132" s="175">
        <v>6004</v>
      </c>
      <c r="O132" s="175">
        <v>10143</v>
      </c>
      <c r="P132" s="175">
        <v>3183</v>
      </c>
      <c r="Q132" s="175">
        <v>8936</v>
      </c>
      <c r="R132" s="175">
        <v>-1160</v>
      </c>
      <c r="S132" s="200">
        <v>-345</v>
      </c>
      <c r="T132" s="200">
        <v>1155</v>
      </c>
      <c r="U132" s="200">
        <v>7622</v>
      </c>
      <c r="V132" s="200">
        <v>-895</v>
      </c>
      <c r="W132" s="200">
        <v>10410</v>
      </c>
      <c r="X132" s="201">
        <v>-59417</v>
      </c>
    </row>
    <row r="133" spans="1:24" x14ac:dyDescent="0.4">
      <c r="A133" s="214" t="s">
        <v>410</v>
      </c>
      <c r="B133" s="163"/>
      <c r="C133" s="163"/>
      <c r="D133" s="163"/>
      <c r="E133" s="215" t="s">
        <v>411</v>
      </c>
      <c r="F133" s="193">
        <v>20</v>
      </c>
      <c r="G133" s="193">
        <v>20</v>
      </c>
      <c r="H133" s="193">
        <v>21</v>
      </c>
      <c r="I133" s="193">
        <v>20</v>
      </c>
      <c r="J133" s="193">
        <v>21</v>
      </c>
      <c r="K133" s="193">
        <v>20</v>
      </c>
      <c r="L133" s="193">
        <v>21</v>
      </c>
      <c r="M133" s="193">
        <v>23</v>
      </c>
      <c r="N133" s="193">
        <v>24</v>
      </c>
      <c r="O133" s="193">
        <v>25</v>
      </c>
      <c r="P133" s="193">
        <v>27</v>
      </c>
      <c r="Q133" s="193">
        <v>28</v>
      </c>
      <c r="R133" s="193">
        <v>24</v>
      </c>
      <c r="S133" s="194">
        <v>25</v>
      </c>
      <c r="T133" s="194">
        <v>27</v>
      </c>
      <c r="U133" s="194">
        <v>27</v>
      </c>
      <c r="V133" s="194">
        <v>27</v>
      </c>
      <c r="W133" s="194">
        <v>28</v>
      </c>
      <c r="X133" s="195">
        <v>28</v>
      </c>
    </row>
    <row r="134" spans="1:24" x14ac:dyDescent="0.4">
      <c r="A134" s="216" t="s">
        <v>412</v>
      </c>
      <c r="B134" s="217"/>
      <c r="C134" s="217"/>
      <c r="D134" s="217"/>
      <c r="E134" s="218" t="s">
        <v>413</v>
      </c>
      <c r="F134" s="219">
        <v>57355</v>
      </c>
      <c r="G134" s="219">
        <v>67653</v>
      </c>
      <c r="H134" s="219">
        <v>70417</v>
      </c>
      <c r="I134" s="219">
        <v>86302</v>
      </c>
      <c r="J134" s="219">
        <v>82381</v>
      </c>
      <c r="K134" s="219">
        <v>88904</v>
      </c>
      <c r="L134" s="219">
        <v>119326</v>
      </c>
      <c r="M134" s="219">
        <v>125378</v>
      </c>
      <c r="N134" s="219">
        <v>129154</v>
      </c>
      <c r="O134" s="219">
        <v>126907</v>
      </c>
      <c r="P134" s="219">
        <v>125936</v>
      </c>
      <c r="Q134" s="219">
        <v>127124</v>
      </c>
      <c r="R134" s="219">
        <v>139408</v>
      </c>
      <c r="S134" s="219">
        <v>157056</v>
      </c>
      <c r="T134" s="219">
        <v>168212</v>
      </c>
      <c r="U134" s="219">
        <v>135016</v>
      </c>
      <c r="V134" s="219">
        <v>193171</v>
      </c>
      <c r="W134" s="219">
        <v>297374</v>
      </c>
      <c r="X134" s="220">
        <v>280484</v>
      </c>
    </row>
    <row r="135" spans="1:24" x14ac:dyDescent="0.4">
      <c r="A135" s="160" t="s">
        <v>414</v>
      </c>
      <c r="B135" s="161"/>
      <c r="C135" s="161"/>
      <c r="D135" s="161"/>
      <c r="E135" s="182" t="s">
        <v>415</v>
      </c>
      <c r="F135" s="164">
        <v>69118</v>
      </c>
      <c r="G135" s="164">
        <v>83620</v>
      </c>
      <c r="H135" s="164">
        <v>88554</v>
      </c>
      <c r="I135" s="164">
        <v>100353</v>
      </c>
      <c r="J135" s="164">
        <v>93953</v>
      </c>
      <c r="K135" s="164">
        <v>97516</v>
      </c>
      <c r="L135" s="164">
        <v>125005</v>
      </c>
      <c r="M135" s="164">
        <v>133461</v>
      </c>
      <c r="N135" s="164">
        <v>142106</v>
      </c>
      <c r="O135" s="164">
        <v>159086</v>
      </c>
      <c r="P135" s="164">
        <v>182750</v>
      </c>
      <c r="Q135" s="164">
        <v>185588</v>
      </c>
      <c r="R135" s="164">
        <v>185361</v>
      </c>
      <c r="S135" s="164">
        <v>203831</v>
      </c>
      <c r="T135" s="164">
        <v>229934</v>
      </c>
      <c r="U135" s="164">
        <v>205019</v>
      </c>
      <c r="V135" s="164">
        <v>284588</v>
      </c>
      <c r="W135" s="164">
        <v>409213</v>
      </c>
      <c r="X135" s="165">
        <v>356264</v>
      </c>
    </row>
    <row r="136" spans="1:24" x14ac:dyDescent="0.4">
      <c r="A136" s="221" t="s">
        <v>378</v>
      </c>
      <c r="B136" s="222"/>
      <c r="C136" s="223"/>
      <c r="D136" s="222"/>
      <c r="E136" s="224" t="s">
        <v>382</v>
      </c>
      <c r="F136" s="225">
        <v>337958</v>
      </c>
      <c r="G136" s="225">
        <v>381604</v>
      </c>
      <c r="H136" s="225">
        <v>428506</v>
      </c>
      <c r="I136" s="225">
        <v>476554</v>
      </c>
      <c r="J136" s="225">
        <v>501574</v>
      </c>
      <c r="K136" s="225">
        <v>544060</v>
      </c>
      <c r="L136" s="225">
        <v>619023</v>
      </c>
      <c r="M136" s="225">
        <v>666507</v>
      </c>
      <c r="N136" s="225">
        <v>714093</v>
      </c>
      <c r="O136" s="225">
        <v>762903</v>
      </c>
      <c r="P136" s="225">
        <v>804692</v>
      </c>
      <c r="Q136" s="225">
        <v>863782</v>
      </c>
      <c r="R136" s="225">
        <v>920471</v>
      </c>
      <c r="S136" s="225">
        <v>987791</v>
      </c>
      <c r="T136" s="225">
        <v>1060068</v>
      </c>
      <c r="U136" s="225">
        <v>998471</v>
      </c>
      <c r="V136" s="225">
        <v>1192634</v>
      </c>
      <c r="W136" s="225">
        <v>1469791</v>
      </c>
      <c r="X136" s="226">
        <v>1572458</v>
      </c>
    </row>
    <row r="137" spans="1:24" x14ac:dyDescent="0.4">
      <c r="A137" s="210"/>
      <c r="C137" s="197"/>
      <c r="D137" s="107"/>
      <c r="F137" s="175"/>
      <c r="G137" s="175"/>
      <c r="H137" s="175"/>
      <c r="I137" s="175"/>
      <c r="J137" s="175"/>
      <c r="K137" s="175"/>
      <c r="L137" s="175"/>
      <c r="M137" s="175"/>
      <c r="N137" s="175"/>
      <c r="O137" s="175"/>
      <c r="P137" s="175"/>
      <c r="Q137" s="227"/>
      <c r="R137" s="227"/>
      <c r="S137" s="227"/>
      <c r="T137" s="227"/>
      <c r="U137" s="228"/>
      <c r="V137" s="228"/>
      <c r="W137" s="228"/>
      <c r="X137" s="229"/>
    </row>
    <row r="138" spans="1:24" s="115" customFormat="1" ht="16" x14ac:dyDescent="0.45">
      <c r="A138" s="1942" t="s">
        <v>416</v>
      </c>
      <c r="B138" s="1943"/>
      <c r="C138" s="1943"/>
      <c r="D138" s="1943"/>
      <c r="E138" s="1943"/>
      <c r="F138" s="179"/>
      <c r="G138" s="179"/>
      <c r="H138" s="179"/>
      <c r="I138" s="179"/>
      <c r="J138" s="179"/>
      <c r="K138" s="179"/>
      <c r="L138" s="179"/>
      <c r="M138" s="179"/>
      <c r="N138" s="179"/>
      <c r="O138" s="179"/>
      <c r="P138" s="179"/>
      <c r="Q138" s="179"/>
      <c r="R138" s="179"/>
      <c r="S138" s="179"/>
      <c r="T138" s="179"/>
      <c r="U138" s="179"/>
      <c r="V138" s="179"/>
      <c r="W138" s="179"/>
      <c r="X138" s="180"/>
    </row>
    <row r="139" spans="1:24" x14ac:dyDescent="0.4">
      <c r="A139" s="116"/>
      <c r="B139" s="117"/>
      <c r="C139" s="117"/>
      <c r="D139" s="117"/>
      <c r="E139" s="118"/>
      <c r="F139" s="175"/>
      <c r="G139" s="175"/>
      <c r="H139" s="175"/>
      <c r="I139" s="175"/>
      <c r="J139" s="175"/>
      <c r="K139" s="175"/>
      <c r="L139" s="175"/>
      <c r="M139" s="175"/>
      <c r="N139" s="175"/>
      <c r="O139" s="175"/>
      <c r="P139" s="175"/>
      <c r="Q139" s="175"/>
      <c r="R139" s="175"/>
      <c r="S139" s="175"/>
      <c r="T139" s="175"/>
      <c r="U139" s="175"/>
      <c r="V139" s="175"/>
      <c r="W139" s="175"/>
      <c r="X139" s="181"/>
    </row>
    <row r="140" spans="1:24" x14ac:dyDescent="0.4">
      <c r="A140" s="230" t="s">
        <v>417</v>
      </c>
      <c r="B140" s="163"/>
      <c r="C140" s="231"/>
      <c r="D140" s="163"/>
      <c r="E140" s="232" t="s">
        <v>418</v>
      </c>
      <c r="F140" s="193">
        <v>109918</v>
      </c>
      <c r="G140" s="193">
        <v>123755</v>
      </c>
      <c r="H140" s="193">
        <v>139696</v>
      </c>
      <c r="I140" s="193">
        <v>153281</v>
      </c>
      <c r="J140" s="193">
        <v>166961</v>
      </c>
      <c r="K140" s="193">
        <v>179636</v>
      </c>
      <c r="L140" s="193">
        <v>194443</v>
      </c>
      <c r="M140" s="193">
        <v>214608</v>
      </c>
      <c r="N140" s="193">
        <v>232284</v>
      </c>
      <c r="O140" s="193">
        <v>251074</v>
      </c>
      <c r="P140" s="193">
        <v>274307</v>
      </c>
      <c r="Q140" s="193">
        <v>291561</v>
      </c>
      <c r="R140" s="193">
        <v>312418</v>
      </c>
      <c r="S140" s="194">
        <v>336117</v>
      </c>
      <c r="T140" s="194">
        <v>365056</v>
      </c>
      <c r="U140" s="194">
        <v>372488</v>
      </c>
      <c r="V140" s="194">
        <v>405890</v>
      </c>
      <c r="W140" s="194">
        <v>458014</v>
      </c>
      <c r="X140" s="195">
        <v>518832</v>
      </c>
    </row>
    <row r="141" spans="1:24" ht="28" x14ac:dyDescent="0.4">
      <c r="A141" s="233" t="s">
        <v>419</v>
      </c>
      <c r="D141" s="107"/>
      <c r="E141" s="106" t="s">
        <v>420</v>
      </c>
      <c r="F141" s="175">
        <v>38568</v>
      </c>
      <c r="G141" s="175">
        <v>45826</v>
      </c>
      <c r="H141" s="175">
        <v>51817</v>
      </c>
      <c r="I141" s="175">
        <v>55875</v>
      </c>
      <c r="J141" s="175">
        <v>56357</v>
      </c>
      <c r="K141" s="175">
        <v>62675</v>
      </c>
      <c r="L141" s="175">
        <v>72579</v>
      </c>
      <c r="M141" s="175">
        <v>77252</v>
      </c>
      <c r="N141" s="175">
        <v>78088</v>
      </c>
      <c r="O141" s="175">
        <v>86709</v>
      </c>
      <c r="P141" s="175">
        <v>95633</v>
      </c>
      <c r="Q141" s="175">
        <v>98768</v>
      </c>
      <c r="R141" s="175">
        <v>109178</v>
      </c>
      <c r="S141" s="200">
        <v>118093</v>
      </c>
      <c r="T141" s="200">
        <v>129665</v>
      </c>
      <c r="U141" s="200">
        <v>112609</v>
      </c>
      <c r="V141" s="200">
        <v>144323</v>
      </c>
      <c r="W141" s="200">
        <v>186956</v>
      </c>
      <c r="X141" s="201">
        <v>201392</v>
      </c>
    </row>
    <row r="142" spans="1:24" x14ac:dyDescent="0.4">
      <c r="A142" s="230" t="s">
        <v>421</v>
      </c>
      <c r="B142" s="163"/>
      <c r="C142" s="231"/>
      <c r="D142" s="163"/>
      <c r="E142" s="232" t="s">
        <v>422</v>
      </c>
      <c r="F142" s="193">
        <v>189472</v>
      </c>
      <c r="G142" s="193">
        <v>212023</v>
      </c>
      <c r="H142" s="193">
        <v>236993</v>
      </c>
      <c r="I142" s="193">
        <v>267398</v>
      </c>
      <c r="J142" s="193">
        <v>278256</v>
      </c>
      <c r="K142" s="193">
        <v>301749</v>
      </c>
      <c r="L142" s="193">
        <v>352001</v>
      </c>
      <c r="M142" s="193">
        <v>374647</v>
      </c>
      <c r="N142" s="193">
        <v>403721</v>
      </c>
      <c r="O142" s="193">
        <v>425120</v>
      </c>
      <c r="P142" s="193">
        <v>434752</v>
      </c>
      <c r="Q142" s="193">
        <v>473453</v>
      </c>
      <c r="R142" s="193">
        <v>498875</v>
      </c>
      <c r="S142" s="194">
        <v>533581</v>
      </c>
      <c r="T142" s="194">
        <v>565347</v>
      </c>
      <c r="U142" s="194">
        <v>513374</v>
      </c>
      <c r="V142" s="194">
        <v>642421</v>
      </c>
      <c r="W142" s="194">
        <v>824821</v>
      </c>
      <c r="X142" s="195">
        <v>852234</v>
      </c>
    </row>
    <row r="143" spans="1:24" x14ac:dyDescent="0.4">
      <c r="A143" s="221" t="s">
        <v>378</v>
      </c>
      <c r="B143" s="222"/>
      <c r="C143" s="223"/>
      <c r="D143" s="222"/>
      <c r="E143" s="224" t="s">
        <v>382</v>
      </c>
      <c r="F143" s="225">
        <v>337958</v>
      </c>
      <c r="G143" s="225">
        <v>381604</v>
      </c>
      <c r="H143" s="225">
        <v>428506</v>
      </c>
      <c r="I143" s="225">
        <v>476554</v>
      </c>
      <c r="J143" s="225">
        <v>501574</v>
      </c>
      <c r="K143" s="225">
        <v>544060</v>
      </c>
      <c r="L143" s="225">
        <v>619023</v>
      </c>
      <c r="M143" s="225">
        <v>666507</v>
      </c>
      <c r="N143" s="225">
        <v>714093</v>
      </c>
      <c r="O143" s="225">
        <v>762903</v>
      </c>
      <c r="P143" s="225">
        <v>804692</v>
      </c>
      <c r="Q143" s="225">
        <v>863782</v>
      </c>
      <c r="R143" s="225">
        <v>920471</v>
      </c>
      <c r="S143" s="234">
        <v>987791</v>
      </c>
      <c r="T143" s="234">
        <v>1060068</v>
      </c>
      <c r="U143" s="234">
        <v>998471</v>
      </c>
      <c r="V143" s="234">
        <v>1192634</v>
      </c>
      <c r="W143" s="234">
        <v>1469791</v>
      </c>
      <c r="X143" s="235">
        <v>1572458</v>
      </c>
    </row>
    <row r="144" spans="1:24" x14ac:dyDescent="0.4">
      <c r="A144" s="111"/>
      <c r="D144" s="107"/>
      <c r="X144" s="112"/>
    </row>
    <row r="145" spans="1:24" s="115" customFormat="1" ht="16" x14ac:dyDescent="0.45">
      <c r="A145" s="1942" t="s">
        <v>423</v>
      </c>
      <c r="B145" s="1943"/>
      <c r="C145" s="1943"/>
      <c r="D145" s="1943"/>
      <c r="E145" s="1943"/>
      <c r="F145" s="113"/>
      <c r="G145" s="113"/>
      <c r="H145" s="113"/>
      <c r="I145" s="113"/>
      <c r="J145" s="113"/>
      <c r="K145" s="113"/>
      <c r="L145" s="113"/>
      <c r="M145" s="113"/>
      <c r="N145" s="113"/>
      <c r="O145" s="113"/>
      <c r="P145" s="113"/>
      <c r="Q145" s="113"/>
      <c r="R145" s="113"/>
      <c r="S145" s="113"/>
      <c r="T145" s="113"/>
      <c r="U145" s="113"/>
      <c r="V145" s="113"/>
      <c r="W145" s="113"/>
      <c r="X145" s="114"/>
    </row>
    <row r="146" spans="1:24" x14ac:dyDescent="0.4">
      <c r="A146" s="111"/>
      <c r="D146" s="107"/>
      <c r="E146" s="106" t="s">
        <v>424</v>
      </c>
      <c r="F146" s="175">
        <v>41671878</v>
      </c>
      <c r="G146" s="175">
        <v>42170126</v>
      </c>
      <c r="H146" s="175">
        <v>42658630</v>
      </c>
      <c r="I146" s="175">
        <v>43134017</v>
      </c>
      <c r="J146" s="175">
        <v>43608630</v>
      </c>
      <c r="K146" s="175">
        <v>44086292</v>
      </c>
      <c r="L146" s="175">
        <v>44553416</v>
      </c>
      <c r="M146" s="175">
        <v>45001571</v>
      </c>
      <c r="N146" s="175">
        <v>45434942</v>
      </c>
      <c r="O146" s="175">
        <v>45866010</v>
      </c>
      <c r="P146" s="175">
        <v>46313898</v>
      </c>
      <c r="Q146" s="175">
        <v>46830116</v>
      </c>
      <c r="R146" s="175">
        <v>47419200</v>
      </c>
      <c r="S146" s="175">
        <v>48258494</v>
      </c>
      <c r="T146" s="175">
        <v>49395678</v>
      </c>
      <c r="U146" s="175">
        <v>50407647</v>
      </c>
      <c r="V146" s="175">
        <v>51117378</v>
      </c>
      <c r="W146" s="175">
        <v>51682692</v>
      </c>
      <c r="X146" s="181">
        <v>52215503</v>
      </c>
    </row>
    <row r="147" spans="1:24" x14ac:dyDescent="0.4">
      <c r="A147" s="236"/>
      <c r="B147" s="237"/>
      <c r="C147" s="238"/>
      <c r="D147" s="237"/>
      <c r="E147" s="239" t="s">
        <v>425</v>
      </c>
      <c r="F147" s="240">
        <v>8109978</v>
      </c>
      <c r="G147" s="240">
        <v>9049155</v>
      </c>
      <c r="H147" s="240">
        <v>10045001</v>
      </c>
      <c r="I147" s="240">
        <v>11048217</v>
      </c>
      <c r="J147" s="240">
        <v>11501714</v>
      </c>
      <c r="K147" s="240">
        <v>12340797</v>
      </c>
      <c r="L147" s="240">
        <v>13893951</v>
      </c>
      <c r="M147" s="240">
        <v>14810750</v>
      </c>
      <c r="N147" s="240">
        <v>15716824</v>
      </c>
      <c r="O147" s="240">
        <v>16633298</v>
      </c>
      <c r="P147" s="240">
        <v>17374741</v>
      </c>
      <c r="Q147" s="240">
        <v>18445011</v>
      </c>
      <c r="R147" s="240">
        <v>19411357</v>
      </c>
      <c r="S147" s="240">
        <v>20468749</v>
      </c>
      <c r="T147" s="240">
        <v>21460744</v>
      </c>
      <c r="U147" s="240">
        <v>19807927</v>
      </c>
      <c r="V147" s="240">
        <v>23331283</v>
      </c>
      <c r="W147" s="240">
        <v>28438747</v>
      </c>
      <c r="X147" s="241">
        <v>30114773</v>
      </c>
    </row>
    <row r="148" spans="1:24" s="97" customFormat="1" x14ac:dyDescent="0.4">
      <c r="E148" s="242"/>
    </row>
    <row r="149" spans="1:24" s="248" customFormat="1" ht="16.5" customHeight="1" x14ac:dyDescent="0.35">
      <c r="A149" s="243" t="s">
        <v>426</v>
      </c>
      <c r="B149" s="244"/>
      <c r="C149" s="244"/>
      <c r="D149" s="244"/>
      <c r="E149" s="245"/>
      <c r="F149" s="244"/>
      <c r="G149" s="244"/>
      <c r="H149" s="246"/>
      <c r="I149" s="246"/>
      <c r="J149" s="246"/>
      <c r="K149" s="246"/>
      <c r="L149" s="246"/>
      <c r="M149" s="246"/>
      <c r="N149" s="246"/>
      <c r="O149" s="246"/>
      <c r="P149" s="246"/>
      <c r="Q149" s="246"/>
      <c r="R149" s="246"/>
      <c r="S149" s="246"/>
      <c r="T149" s="246"/>
      <c r="U149" s="246"/>
      <c r="V149" s="246"/>
      <c r="W149" s="246"/>
      <c r="X149" s="247"/>
    </row>
    <row r="150" spans="1:24" s="248" customFormat="1" ht="16.5" customHeight="1" x14ac:dyDescent="0.35">
      <c r="A150" s="249" t="s">
        <v>427</v>
      </c>
      <c r="B150" s="250"/>
      <c r="C150" s="250"/>
      <c r="D150" s="250"/>
      <c r="E150" s="250"/>
      <c r="F150" s="250"/>
      <c r="G150" s="250"/>
      <c r="X150" s="251"/>
    </row>
    <row r="151" spans="1:24" s="248" customFormat="1" ht="16.5" customHeight="1" x14ac:dyDescent="0.35">
      <c r="A151" s="249" t="s">
        <v>428</v>
      </c>
      <c r="B151" s="250"/>
      <c r="C151" s="250"/>
      <c r="D151" s="250"/>
      <c r="E151" s="250"/>
      <c r="F151" s="250"/>
      <c r="G151" s="250"/>
      <c r="X151" s="251"/>
    </row>
    <row r="152" spans="1:24" s="248" customFormat="1" ht="16.5" customHeight="1" x14ac:dyDescent="0.35">
      <c r="A152" s="249" t="s">
        <v>429</v>
      </c>
      <c r="B152" s="250"/>
      <c r="C152" s="250"/>
      <c r="D152" s="250"/>
      <c r="E152" s="250"/>
      <c r="F152" s="250"/>
      <c r="G152" s="250"/>
      <c r="X152" s="251"/>
    </row>
    <row r="153" spans="1:24" s="248" customFormat="1" ht="16.5" customHeight="1" x14ac:dyDescent="0.35">
      <c r="A153" s="252" t="s">
        <v>430</v>
      </c>
      <c r="B153" s="250"/>
      <c r="C153" s="250"/>
      <c r="D153" s="250"/>
      <c r="E153" s="250"/>
      <c r="F153" s="250"/>
      <c r="G153" s="250"/>
      <c r="X153" s="251"/>
    </row>
    <row r="154" spans="1:24" s="248" customFormat="1" ht="16.5" customHeight="1" x14ac:dyDescent="0.35">
      <c r="A154" s="253" t="s">
        <v>431</v>
      </c>
      <c r="B154" s="254"/>
      <c r="C154" s="254"/>
      <c r="D154" s="254"/>
      <c r="E154" s="255"/>
      <c r="F154" s="254"/>
      <c r="G154" s="254"/>
      <c r="H154" s="256"/>
      <c r="I154" s="256"/>
      <c r="J154" s="256"/>
      <c r="K154" s="256"/>
      <c r="L154" s="256"/>
      <c r="M154" s="256"/>
      <c r="N154" s="256"/>
      <c r="O154" s="256"/>
      <c r="P154" s="256"/>
      <c r="Q154" s="256"/>
      <c r="R154" s="256"/>
      <c r="S154" s="256"/>
      <c r="T154" s="256"/>
      <c r="U154" s="256"/>
      <c r="V154" s="256"/>
      <c r="W154" s="256"/>
      <c r="X154" s="257"/>
    </row>
    <row r="155" spans="1:24" x14ac:dyDescent="0.4">
      <c r="Q155" s="248"/>
      <c r="R155" s="248"/>
      <c r="S155" s="248"/>
      <c r="T155" s="248"/>
      <c r="U155" s="248"/>
      <c r="V155" s="248"/>
      <c r="W155" s="248"/>
      <c r="X155" s="248"/>
    </row>
    <row r="158" spans="1:24" s="97" customFormat="1" ht="13.5" customHeight="1" x14ac:dyDescent="0.4">
      <c r="A158" s="1945" t="s">
        <v>190</v>
      </c>
      <c r="B158" s="1946"/>
      <c r="C158" s="1946"/>
      <c r="D158" s="1946"/>
      <c r="E158" s="1946"/>
      <c r="F158" s="1946"/>
      <c r="G158" s="1947"/>
    </row>
    <row r="159" spans="1:24" s="97" customFormat="1" ht="17.149999999999999" customHeight="1" x14ac:dyDescent="0.4">
      <c r="A159" s="1945"/>
      <c r="B159" s="1946"/>
      <c r="C159" s="1946"/>
      <c r="D159" s="1946"/>
      <c r="E159" s="1946"/>
      <c r="F159" s="1946"/>
      <c r="G159" s="1947"/>
    </row>
    <row r="160" spans="1:24" s="97" customFormat="1" x14ac:dyDescent="0.4">
      <c r="A160" s="98" t="s">
        <v>432</v>
      </c>
      <c r="B160" s="99"/>
      <c r="C160" s="99"/>
      <c r="D160" s="99"/>
      <c r="E160" s="99"/>
      <c r="F160" s="99"/>
      <c r="G160" s="100"/>
    </row>
    <row r="161" spans="1:24" s="97" customFormat="1" x14ac:dyDescent="0.4">
      <c r="A161" s="98" t="s">
        <v>193</v>
      </c>
      <c r="B161" s="99"/>
      <c r="C161" s="99"/>
      <c r="D161" s="99"/>
      <c r="E161" s="99"/>
      <c r="F161" s="99"/>
      <c r="G161" s="100"/>
    </row>
    <row r="162" spans="1:24" s="97" customFormat="1" ht="14.5" x14ac:dyDescent="0.4">
      <c r="A162" s="101" t="s">
        <v>433</v>
      </c>
      <c r="B162" s="102"/>
      <c r="C162" s="102"/>
      <c r="D162" s="102"/>
      <c r="E162" s="102"/>
      <c r="F162" s="102"/>
      <c r="G162" s="103"/>
    </row>
    <row r="164" spans="1:24" ht="64" x14ac:dyDescent="0.4">
      <c r="A164" s="108" t="s">
        <v>196</v>
      </c>
      <c r="B164" s="109" t="s">
        <v>197</v>
      </c>
      <c r="C164" s="109" t="s">
        <v>198</v>
      </c>
      <c r="D164" s="109" t="s">
        <v>199</v>
      </c>
      <c r="E164" s="109" t="s">
        <v>200</v>
      </c>
      <c r="F164" s="109">
        <v>2005</v>
      </c>
      <c r="G164" s="109">
        <v>2006</v>
      </c>
      <c r="H164" s="109">
        <v>2007</v>
      </c>
      <c r="I164" s="109">
        <v>2008</v>
      </c>
      <c r="J164" s="109">
        <v>2009</v>
      </c>
      <c r="K164" s="109">
        <v>2010</v>
      </c>
      <c r="L164" s="109">
        <v>2011</v>
      </c>
      <c r="M164" s="109">
        <v>2012</v>
      </c>
      <c r="N164" s="109">
        <v>2013</v>
      </c>
      <c r="O164" s="109">
        <v>2014</v>
      </c>
      <c r="P164" s="109">
        <v>2015</v>
      </c>
      <c r="Q164" s="109">
        <v>2016</v>
      </c>
      <c r="R164" s="109">
        <v>2017</v>
      </c>
      <c r="S164" s="109">
        <v>2018</v>
      </c>
      <c r="T164" s="109">
        <v>2019</v>
      </c>
      <c r="U164" s="109">
        <v>2020</v>
      </c>
      <c r="V164" s="109" t="s">
        <v>201</v>
      </c>
      <c r="W164" s="109" t="s">
        <v>202</v>
      </c>
      <c r="X164" s="110" t="s">
        <v>203</v>
      </c>
    </row>
    <row r="165" spans="1:24" x14ac:dyDescent="0.4">
      <c r="A165" s="111"/>
      <c r="D165" s="107"/>
      <c r="X165" s="112"/>
    </row>
    <row r="166" spans="1:24" s="115" customFormat="1" ht="16" x14ac:dyDescent="0.45">
      <c r="A166" s="1942" t="s">
        <v>204</v>
      </c>
      <c r="B166" s="1943"/>
      <c r="C166" s="1943"/>
      <c r="D166" s="1943"/>
      <c r="E166" s="1943"/>
      <c r="F166" s="113"/>
      <c r="G166" s="113"/>
      <c r="H166" s="113"/>
      <c r="I166" s="113"/>
      <c r="J166" s="113"/>
      <c r="K166" s="113"/>
      <c r="L166" s="113"/>
      <c r="M166" s="113"/>
      <c r="N166" s="113"/>
      <c r="O166" s="113"/>
      <c r="P166" s="113"/>
      <c r="Q166" s="113"/>
      <c r="R166" s="113"/>
      <c r="S166" s="113"/>
      <c r="T166" s="113"/>
      <c r="U166" s="113"/>
      <c r="V166" s="113"/>
      <c r="W166" s="113"/>
      <c r="X166" s="114"/>
    </row>
    <row r="167" spans="1:24" x14ac:dyDescent="0.4">
      <c r="A167" s="116"/>
      <c r="B167" s="117"/>
      <c r="C167" s="117"/>
      <c r="D167" s="117"/>
      <c r="E167" s="118"/>
      <c r="X167" s="112"/>
    </row>
    <row r="168" spans="1:24" x14ac:dyDescent="0.4">
      <c r="A168" s="119"/>
      <c r="B168" s="120" t="s">
        <v>205</v>
      </c>
      <c r="C168" s="120"/>
      <c r="D168" s="120"/>
      <c r="E168" s="121" t="s">
        <v>206</v>
      </c>
      <c r="F168" s="122"/>
      <c r="G168" s="259">
        <v>7.8069106490034983</v>
      </c>
      <c r="H168" s="259">
        <v>8.3500455788514216</v>
      </c>
      <c r="I168" s="259">
        <v>7.2488642099949487</v>
      </c>
      <c r="J168" s="259">
        <v>5.287269760582376</v>
      </c>
      <c r="K168" s="259">
        <v>2.5540919115455694</v>
      </c>
      <c r="L168" s="259">
        <v>9.5841446049228551</v>
      </c>
      <c r="M168" s="259">
        <v>-1.3259434087353128</v>
      </c>
      <c r="N168" s="259">
        <v>3.4937783869494012</v>
      </c>
      <c r="O168" s="259">
        <v>7.9098392583552055</v>
      </c>
      <c r="P168" s="259">
        <v>15.80796534713032</v>
      </c>
      <c r="Q168" s="259">
        <v>18.57908735765939</v>
      </c>
      <c r="R168" s="259">
        <v>3.06667834925085</v>
      </c>
      <c r="S168" s="259">
        <v>4.5600612088752825</v>
      </c>
      <c r="T168" s="259">
        <v>10.506203554644927</v>
      </c>
      <c r="U168" s="259">
        <v>10.318137673268794</v>
      </c>
      <c r="V168" s="259">
        <v>23.621448579431785</v>
      </c>
      <c r="W168" s="259">
        <v>40.742778838787643</v>
      </c>
      <c r="X168" s="260">
        <v>5.1671662616242173</v>
      </c>
    </row>
    <row r="169" spans="1:24" hidden="1" outlineLevel="1" x14ac:dyDescent="0.4">
      <c r="A169" s="124"/>
      <c r="B169" s="125"/>
      <c r="C169" s="126" t="s">
        <v>205</v>
      </c>
      <c r="D169" s="125"/>
      <c r="E169" s="127" t="s">
        <v>206</v>
      </c>
      <c r="F169" s="128"/>
      <c r="G169" s="261">
        <v>7.8069106490034983</v>
      </c>
      <c r="H169" s="261">
        <v>8.3500455788514216</v>
      </c>
      <c r="I169" s="261">
        <v>7.2488642099949487</v>
      </c>
      <c r="J169" s="261">
        <v>5.287269760582376</v>
      </c>
      <c r="K169" s="261">
        <v>2.5540919115455694</v>
      </c>
      <c r="L169" s="261">
        <v>9.5841446049228551</v>
      </c>
      <c r="M169" s="261">
        <v>-1.3259434087353128</v>
      </c>
      <c r="N169" s="261">
        <v>3.4937783869494012</v>
      </c>
      <c r="O169" s="261">
        <v>7.9098392583552055</v>
      </c>
      <c r="P169" s="261">
        <v>15.80796534713032</v>
      </c>
      <c r="Q169" s="261">
        <v>18.57908735765939</v>
      </c>
      <c r="R169" s="261">
        <v>3.06667834925085</v>
      </c>
      <c r="S169" s="261">
        <v>4.5600612088752825</v>
      </c>
      <c r="T169" s="261">
        <v>10.506203554644927</v>
      </c>
      <c r="U169" s="261">
        <v>10.318137673268794</v>
      </c>
      <c r="V169" s="261">
        <v>23.621448579431785</v>
      </c>
      <c r="W169" s="261">
        <v>40.742778838787643</v>
      </c>
      <c r="X169" s="262">
        <v>5.1671662616242173</v>
      </c>
    </row>
    <row r="170" spans="1:24" ht="84" hidden="1" outlineLevel="1" x14ac:dyDescent="0.4">
      <c r="A170" s="130"/>
      <c r="B170" s="131"/>
      <c r="C170" s="132"/>
      <c r="D170" s="133" t="s">
        <v>207</v>
      </c>
      <c r="E170" s="134" t="s">
        <v>208</v>
      </c>
      <c r="F170" s="135"/>
      <c r="G170" s="263">
        <v>8.8491586538461462</v>
      </c>
      <c r="H170" s="263">
        <v>8.1780538302277392</v>
      </c>
      <c r="I170" s="263">
        <v>8.7336523125996877</v>
      </c>
      <c r="J170" s="263">
        <v>8.6716733161229769</v>
      </c>
      <c r="K170" s="263">
        <v>0.70726703379764899</v>
      </c>
      <c r="L170" s="263">
        <v>11.295770117407386</v>
      </c>
      <c r="M170" s="263">
        <v>-1.0693641618497054</v>
      </c>
      <c r="N170" s="263">
        <v>0.90076930567728652</v>
      </c>
      <c r="O170" s="263">
        <v>6.8040341649375051</v>
      </c>
      <c r="P170" s="263">
        <v>23.521438575882158</v>
      </c>
      <c r="Q170" s="263">
        <v>20.827389443651924</v>
      </c>
      <c r="R170" s="263">
        <v>2.8638028638028601</v>
      </c>
      <c r="S170" s="264">
        <v>6.289178610318146</v>
      </c>
      <c r="T170" s="264">
        <v>12.789345442463173</v>
      </c>
      <c r="U170" s="264">
        <v>10.020866576653972</v>
      </c>
      <c r="V170" s="264">
        <v>18.651404600932693</v>
      </c>
      <c r="W170" s="264">
        <v>52.448472995336232</v>
      </c>
      <c r="X170" s="265">
        <v>6.7697925147410842</v>
      </c>
    </row>
    <row r="171" spans="1:24" hidden="1" outlineLevel="2" x14ac:dyDescent="0.4">
      <c r="A171" s="124"/>
      <c r="B171" s="125"/>
      <c r="C171" s="126"/>
      <c r="D171" s="138" t="s">
        <v>209</v>
      </c>
      <c r="E171" s="139" t="s">
        <v>210</v>
      </c>
      <c r="F171" s="140"/>
      <c r="G171" s="266">
        <v>9.9891422366992515</v>
      </c>
      <c r="H171" s="266">
        <v>5.1332675222112556</v>
      </c>
      <c r="I171" s="266">
        <v>-1.7214397496087628</v>
      </c>
      <c r="J171" s="266">
        <v>-4.9044585987261087</v>
      </c>
      <c r="K171" s="266">
        <v>27.595445411922313</v>
      </c>
      <c r="L171" s="266">
        <v>16.876640419947492</v>
      </c>
      <c r="M171" s="266">
        <v>-26.925668088928816</v>
      </c>
      <c r="N171" s="266">
        <v>24.984634296250775</v>
      </c>
      <c r="O171" s="266">
        <v>14.556183919350872</v>
      </c>
      <c r="P171" s="266">
        <v>13.736853402017601</v>
      </c>
      <c r="Q171" s="266">
        <v>18.871485185884126</v>
      </c>
      <c r="R171" s="266">
        <v>2.9052230512779857</v>
      </c>
      <c r="S171" s="266">
        <v>-4.7670472076519701</v>
      </c>
      <c r="T171" s="266">
        <v>18.418921108051194</v>
      </c>
      <c r="U171" s="266">
        <v>10.875512995896045</v>
      </c>
      <c r="V171" s="266">
        <v>39.086983343615032</v>
      </c>
      <c r="W171" s="266">
        <v>27.95174310298944</v>
      </c>
      <c r="X171" s="267">
        <v>-15.002773155851358</v>
      </c>
    </row>
    <row r="172" spans="1:24" hidden="1" outlineLevel="2" x14ac:dyDescent="0.4">
      <c r="A172" s="130"/>
      <c r="B172" s="131"/>
      <c r="C172" s="132"/>
      <c r="D172" s="142" t="s">
        <v>211</v>
      </c>
      <c r="E172" s="134" t="s">
        <v>212</v>
      </c>
      <c r="F172" s="135"/>
      <c r="G172" s="263">
        <v>4.8450847889837974</v>
      </c>
      <c r="H172" s="263">
        <v>9.9720296728687856</v>
      </c>
      <c r="I172" s="263">
        <v>8.5369899369678279</v>
      </c>
      <c r="J172" s="263">
        <v>2.3229750382068204</v>
      </c>
      <c r="K172" s="263">
        <v>-1.1152046201334258</v>
      </c>
      <c r="L172" s="263">
        <v>4.642030007048632</v>
      </c>
      <c r="M172" s="263">
        <v>6.7263279445727449</v>
      </c>
      <c r="N172" s="263">
        <v>1.3253989721395669</v>
      </c>
      <c r="O172" s="263">
        <v>5.9797116924719802</v>
      </c>
      <c r="P172" s="263">
        <v>2.9806884970612941</v>
      </c>
      <c r="Q172" s="263">
        <v>14.944965348552785</v>
      </c>
      <c r="R172" s="263">
        <v>3.8374237480493605</v>
      </c>
      <c r="S172" s="263">
        <v>3.9961746020902922</v>
      </c>
      <c r="T172" s="263">
        <v>3.3565423016290055</v>
      </c>
      <c r="U172" s="263">
        <v>7.9122974261201193</v>
      </c>
      <c r="V172" s="263">
        <v>29.181389870435822</v>
      </c>
      <c r="W172" s="263">
        <v>24.303624344654651</v>
      </c>
      <c r="X172" s="268">
        <v>9.9464534585197697</v>
      </c>
    </row>
    <row r="173" spans="1:24" hidden="1" outlineLevel="2" x14ac:dyDescent="0.4">
      <c r="A173" s="124"/>
      <c r="B173" s="125"/>
      <c r="C173" s="126"/>
      <c r="D173" s="125" t="s">
        <v>213</v>
      </c>
      <c r="E173" s="139" t="s">
        <v>214</v>
      </c>
      <c r="F173" s="140"/>
      <c r="G173" s="266">
        <v>7.1428571428571388</v>
      </c>
      <c r="H173" s="266">
        <v>7.5409836065573757</v>
      </c>
      <c r="I173" s="266">
        <v>2.7439024390243816</v>
      </c>
      <c r="J173" s="266">
        <v>9.6933728981206713</v>
      </c>
      <c r="K173" s="266">
        <v>1.6230838593327377</v>
      </c>
      <c r="L173" s="266">
        <v>6.2111801242235885</v>
      </c>
      <c r="M173" s="266">
        <v>12.949039264828727</v>
      </c>
      <c r="N173" s="266">
        <v>10.428994082840234</v>
      </c>
      <c r="O173" s="266">
        <v>8.3054253181513786</v>
      </c>
      <c r="P173" s="266">
        <v>11.069882498453936</v>
      </c>
      <c r="Q173" s="266">
        <v>9.2984409799554442</v>
      </c>
      <c r="R173" s="266">
        <v>4.2791645440652104</v>
      </c>
      <c r="S173" s="266">
        <v>1.3678553981436323</v>
      </c>
      <c r="T173" s="266">
        <v>6.0722891566264963</v>
      </c>
      <c r="U173" s="266">
        <v>5.9518400726942247</v>
      </c>
      <c r="V173" s="266">
        <v>28.044596912521428</v>
      </c>
      <c r="W173" s="266">
        <v>11.48693904889484</v>
      </c>
      <c r="X173" s="267">
        <v>11.384800240312416</v>
      </c>
    </row>
    <row r="174" spans="1:24" hidden="1" outlineLevel="2" x14ac:dyDescent="0.4">
      <c r="A174" s="130"/>
      <c r="B174" s="131"/>
      <c r="C174" s="132"/>
      <c r="D174" s="133" t="s">
        <v>215</v>
      </c>
      <c r="E174" s="134" t="s">
        <v>216</v>
      </c>
      <c r="F174" s="135"/>
      <c r="G174" s="263">
        <v>13.643178410794604</v>
      </c>
      <c r="H174" s="263">
        <v>7.9155672823219021</v>
      </c>
      <c r="I174" s="263">
        <v>5.012224938875292</v>
      </c>
      <c r="J174" s="263">
        <v>4.0745052386495786</v>
      </c>
      <c r="K174" s="263">
        <v>-0.44742729306487661</v>
      </c>
      <c r="L174" s="263">
        <v>1.9101123595505669</v>
      </c>
      <c r="M174" s="263">
        <v>7.386990077177515</v>
      </c>
      <c r="N174" s="263">
        <v>1.4373716632443632</v>
      </c>
      <c r="O174" s="263">
        <v>25.101214574898776</v>
      </c>
      <c r="P174" s="263">
        <v>15.291262135922338</v>
      </c>
      <c r="Q174" s="263">
        <v>17.333333333333329</v>
      </c>
      <c r="R174" s="263">
        <v>-0.23923444976075814</v>
      </c>
      <c r="S174" s="263">
        <v>14.448441247002393</v>
      </c>
      <c r="T174" s="263">
        <v>3.562074384494494</v>
      </c>
      <c r="U174" s="263">
        <v>38.391502276176027</v>
      </c>
      <c r="V174" s="263">
        <v>20.942982456140342</v>
      </c>
      <c r="W174" s="263">
        <v>31.580537926866128</v>
      </c>
      <c r="X174" s="268">
        <v>7.4873679375287168</v>
      </c>
    </row>
    <row r="175" spans="1:24" collapsed="1" x14ac:dyDescent="0.4">
      <c r="A175" s="144"/>
      <c r="B175" s="145" t="s">
        <v>217</v>
      </c>
      <c r="C175" s="145"/>
      <c r="D175" s="145"/>
      <c r="E175" s="146" t="s">
        <v>218</v>
      </c>
      <c r="F175" s="147"/>
      <c r="G175" s="269">
        <v>18.377055865162433</v>
      </c>
      <c r="H175" s="269">
        <v>1.209476786466098</v>
      </c>
      <c r="I175" s="269">
        <v>46.257988881745632</v>
      </c>
      <c r="J175" s="269">
        <v>-3.7259211376858445</v>
      </c>
      <c r="K175" s="269">
        <v>26.510716012246888</v>
      </c>
      <c r="L175" s="269">
        <v>49.76754060078548</v>
      </c>
      <c r="M175" s="269">
        <v>5.6826557804615163</v>
      </c>
      <c r="N175" s="269">
        <v>-1.6323081669058581</v>
      </c>
      <c r="O175" s="269">
        <v>-12.361603490591762</v>
      </c>
      <c r="P175" s="269">
        <v>-25.900052898528187</v>
      </c>
      <c r="Q175" s="269">
        <v>-13.916475948516592</v>
      </c>
      <c r="R175" s="269">
        <v>15.949169491938832</v>
      </c>
      <c r="S175" s="269">
        <v>21.561698010013046</v>
      </c>
      <c r="T175" s="269">
        <v>0.91541496504463282</v>
      </c>
      <c r="U175" s="269">
        <v>-30.227892381295334</v>
      </c>
      <c r="V175" s="269">
        <v>57.868219912015547</v>
      </c>
      <c r="W175" s="269">
        <v>65.251031369191253</v>
      </c>
      <c r="X175" s="270">
        <v>-18.46555313757078</v>
      </c>
    </row>
    <row r="176" spans="1:24" hidden="1" outlineLevel="1" x14ac:dyDescent="0.4">
      <c r="A176" s="149"/>
      <c r="B176" s="132"/>
      <c r="C176" s="132" t="s">
        <v>217</v>
      </c>
      <c r="D176" s="132"/>
      <c r="E176" s="150" t="s">
        <v>218</v>
      </c>
      <c r="F176" s="136"/>
      <c r="G176" s="264">
        <v>18.377055865162433</v>
      </c>
      <c r="H176" s="264">
        <v>1.209476786466098</v>
      </c>
      <c r="I176" s="264">
        <v>46.257988881745632</v>
      </c>
      <c r="J176" s="264">
        <v>-3.7259211376858445</v>
      </c>
      <c r="K176" s="264">
        <v>26.510716012246888</v>
      </c>
      <c r="L176" s="264">
        <v>49.76754060078548</v>
      </c>
      <c r="M176" s="264">
        <v>5.6826557804615163</v>
      </c>
      <c r="N176" s="264">
        <v>-1.6323081669058581</v>
      </c>
      <c r="O176" s="264">
        <v>-12.361603490591762</v>
      </c>
      <c r="P176" s="264">
        <v>-25.900052898528187</v>
      </c>
      <c r="Q176" s="264">
        <v>-13.916475948516592</v>
      </c>
      <c r="R176" s="264">
        <v>15.949169491938832</v>
      </c>
      <c r="S176" s="264">
        <v>21.561698010013046</v>
      </c>
      <c r="T176" s="264">
        <v>0.91541496504463282</v>
      </c>
      <c r="U176" s="264">
        <v>-30.227892381295334</v>
      </c>
      <c r="V176" s="264">
        <v>57.868219912015547</v>
      </c>
      <c r="W176" s="264">
        <v>65.251031369191253</v>
      </c>
      <c r="X176" s="265">
        <v>-18.46555313757078</v>
      </c>
    </row>
    <row r="177" spans="1:24" hidden="1" outlineLevel="2" x14ac:dyDescent="0.4">
      <c r="A177" s="124"/>
      <c r="B177" s="125"/>
      <c r="C177" s="125"/>
      <c r="D177" s="125" t="s">
        <v>219</v>
      </c>
      <c r="E177" s="139" t="s">
        <v>220</v>
      </c>
      <c r="F177" s="140"/>
      <c r="G177" s="266">
        <v>16.073245167853514</v>
      </c>
      <c r="H177" s="266">
        <v>-2.2436459246275291</v>
      </c>
      <c r="I177" s="266">
        <v>53.164783934014679</v>
      </c>
      <c r="J177" s="266">
        <v>0.7960664949660412</v>
      </c>
      <c r="K177" s="266">
        <v>0.12775842044135288</v>
      </c>
      <c r="L177" s="266">
        <v>30.564899663612124</v>
      </c>
      <c r="M177" s="266">
        <v>-2.514214641080315</v>
      </c>
      <c r="N177" s="266">
        <v>-15.219174337009022</v>
      </c>
      <c r="O177" s="266">
        <v>-9.6635493926690401</v>
      </c>
      <c r="P177" s="266">
        <v>5.1047120418848095</v>
      </c>
      <c r="Q177" s="266">
        <v>24.838673157477629</v>
      </c>
      <c r="R177" s="266">
        <v>23.641969710710072</v>
      </c>
      <c r="S177" s="266">
        <v>11.243948951151523</v>
      </c>
      <c r="T177" s="266">
        <v>-19.390782620162199</v>
      </c>
      <c r="U177" s="266">
        <v>-39.236054310485848</v>
      </c>
      <c r="V177" s="266">
        <v>103.87669942118723</v>
      </c>
      <c r="W177" s="266">
        <v>134.8408820810775</v>
      </c>
      <c r="X177" s="267">
        <v>-33.262110264556213</v>
      </c>
    </row>
    <row r="178" spans="1:24" ht="28" hidden="1" outlineLevel="2" x14ac:dyDescent="0.4">
      <c r="A178" s="130"/>
      <c r="B178" s="131"/>
      <c r="C178" s="131"/>
      <c r="D178" s="131" t="s">
        <v>221</v>
      </c>
      <c r="E178" s="134" t="s">
        <v>222</v>
      </c>
      <c r="F178" s="135"/>
      <c r="G178" s="263">
        <v>13.755520729448634</v>
      </c>
      <c r="H178" s="263">
        <v>-2.7741248669296681</v>
      </c>
      <c r="I178" s="263">
        <v>66.913564343681571</v>
      </c>
      <c r="J178" s="263">
        <v>-7.1657341308122682</v>
      </c>
      <c r="K178" s="263">
        <v>37.463629561892077</v>
      </c>
      <c r="L178" s="263">
        <v>60.602945178555217</v>
      </c>
      <c r="M178" s="263">
        <v>7.2844689624009078</v>
      </c>
      <c r="N178" s="263">
        <v>3.0395563511284251</v>
      </c>
      <c r="O178" s="263">
        <v>-13.994958612937296</v>
      </c>
      <c r="P178" s="263">
        <v>-34.942669861575936</v>
      </c>
      <c r="Q178" s="263">
        <v>-32.153293558991848</v>
      </c>
      <c r="R178" s="263">
        <v>24.823904167975243</v>
      </c>
      <c r="S178" s="263">
        <v>32.524620803680534</v>
      </c>
      <c r="T178" s="263">
        <v>6.118629817471728</v>
      </c>
      <c r="U178" s="263">
        <v>-37.84343292355662</v>
      </c>
      <c r="V178" s="263">
        <v>58.01398026315789</v>
      </c>
      <c r="W178" s="263">
        <v>51.997189622420564</v>
      </c>
      <c r="X178" s="268">
        <v>-15.584393350567524</v>
      </c>
    </row>
    <row r="179" spans="1:24" hidden="1" outlineLevel="2" x14ac:dyDescent="0.4">
      <c r="A179" s="124"/>
      <c r="B179" s="125"/>
      <c r="C179" s="125"/>
      <c r="D179" s="125" t="s">
        <v>223</v>
      </c>
      <c r="E179" s="139" t="s">
        <v>224</v>
      </c>
      <c r="F179" s="140"/>
      <c r="G179" s="266">
        <v>52.823145123658435</v>
      </c>
      <c r="H179" s="266">
        <v>22.10687022900764</v>
      </c>
      <c r="I179" s="266">
        <v>-32.33308327081771</v>
      </c>
      <c r="J179" s="266">
        <v>10.643015521064299</v>
      </c>
      <c r="K179" s="266">
        <v>30.828323313293254</v>
      </c>
      <c r="L179" s="266">
        <v>13.55629308143989</v>
      </c>
      <c r="M179" s="266">
        <v>6.8794964028777059</v>
      </c>
      <c r="N179" s="266">
        <v>-30.311316785864534</v>
      </c>
      <c r="O179" s="266">
        <v>-5.4935104135224861</v>
      </c>
      <c r="P179" s="266">
        <v>14.72373043755988</v>
      </c>
      <c r="Q179" s="266">
        <v>39.226057906458777</v>
      </c>
      <c r="R179" s="266">
        <v>-30.573885222955411</v>
      </c>
      <c r="S179" s="266">
        <v>-10.36866359447005</v>
      </c>
      <c r="T179" s="266">
        <v>33.772493573264768</v>
      </c>
      <c r="U179" s="266">
        <v>64.520778284890724</v>
      </c>
      <c r="V179" s="266">
        <v>18.630457001022037</v>
      </c>
      <c r="W179" s="266">
        <v>13.390769230769223</v>
      </c>
      <c r="X179" s="267">
        <v>12.970802127428627</v>
      </c>
    </row>
    <row r="180" spans="1:24" hidden="1" outlineLevel="2" x14ac:dyDescent="0.4">
      <c r="A180" s="130"/>
      <c r="B180" s="131"/>
      <c r="C180" s="131"/>
      <c r="D180" s="131" t="s">
        <v>225</v>
      </c>
      <c r="E180" s="134" t="s">
        <v>226</v>
      </c>
      <c r="F180" s="135"/>
      <c r="G180" s="263">
        <v>20.924855491329481</v>
      </c>
      <c r="H180" s="263">
        <v>14.435946462715108</v>
      </c>
      <c r="I180" s="263">
        <v>12.949039264828727</v>
      </c>
      <c r="J180" s="263">
        <v>3.9940828402366719</v>
      </c>
      <c r="K180" s="263">
        <v>-6.3300142247510678</v>
      </c>
      <c r="L180" s="263">
        <v>14.730447987851164</v>
      </c>
      <c r="M180" s="263">
        <v>7.5446724023825311</v>
      </c>
      <c r="N180" s="263">
        <v>12.307692307692307</v>
      </c>
      <c r="O180" s="263">
        <v>13.260273972602747</v>
      </c>
      <c r="P180" s="263">
        <v>4.3057571359458109</v>
      </c>
      <c r="Q180" s="263">
        <v>12.94063079777365</v>
      </c>
      <c r="R180" s="263">
        <v>-0.57494866529773958</v>
      </c>
      <c r="S180" s="263">
        <v>0.66088393225940933</v>
      </c>
      <c r="T180" s="263">
        <v>7.8375051292572948</v>
      </c>
      <c r="U180" s="263">
        <v>-26.484018264840188</v>
      </c>
      <c r="V180" s="263">
        <v>18.633540372670794</v>
      </c>
      <c r="W180" s="263">
        <v>10.427574171029661</v>
      </c>
      <c r="X180" s="268">
        <v>8.5736862900039483</v>
      </c>
    </row>
    <row r="181" spans="1:24" ht="28" hidden="1" outlineLevel="2" x14ac:dyDescent="0.4">
      <c r="A181" s="124"/>
      <c r="B181" s="125"/>
      <c r="C181" s="125"/>
      <c r="D181" s="125" t="s">
        <v>227</v>
      </c>
      <c r="E181" s="139" t="s">
        <v>228</v>
      </c>
      <c r="F181" s="140"/>
      <c r="G181" s="266">
        <v>20</v>
      </c>
      <c r="H181" s="266">
        <v>9.0909090909090793</v>
      </c>
      <c r="I181" s="266">
        <v>11.111111111111114</v>
      </c>
      <c r="J181" s="266">
        <v>3.7500000000000142</v>
      </c>
      <c r="K181" s="266">
        <v>7.8313253012048278</v>
      </c>
      <c r="L181" s="266">
        <v>22.905027932960891</v>
      </c>
      <c r="M181" s="266">
        <v>1.363636363636374</v>
      </c>
      <c r="N181" s="266">
        <v>-17.040358744394624</v>
      </c>
      <c r="O181" s="266">
        <v>-5.4054054054054035</v>
      </c>
      <c r="P181" s="266">
        <v>10.857142857142861</v>
      </c>
      <c r="Q181" s="266">
        <v>27.319587628865975</v>
      </c>
      <c r="R181" s="266">
        <v>-23.481781376518214</v>
      </c>
      <c r="S181" s="266">
        <v>6.3492063492063551</v>
      </c>
      <c r="T181" s="266">
        <v>-13.930348258706474</v>
      </c>
      <c r="U181" s="266">
        <v>-8.0924855491329453</v>
      </c>
      <c r="V181" s="266">
        <v>52.830188679245282</v>
      </c>
      <c r="W181" s="266">
        <v>74.89711934156378</v>
      </c>
      <c r="X181" s="267">
        <v>-18.82352941176471</v>
      </c>
    </row>
    <row r="182" spans="1:24" collapsed="1" x14ac:dyDescent="0.4">
      <c r="A182" s="119"/>
      <c r="B182" s="120" t="s">
        <v>229</v>
      </c>
      <c r="C182" s="120"/>
      <c r="D182" s="120"/>
      <c r="E182" s="121" t="s">
        <v>230</v>
      </c>
      <c r="F182" s="122"/>
      <c r="G182" s="259">
        <v>12.826823085320953</v>
      </c>
      <c r="H182" s="259">
        <v>13.525215252152506</v>
      </c>
      <c r="I182" s="259">
        <v>5.8391840744272088</v>
      </c>
      <c r="J182" s="259">
        <v>1.1861214238916773</v>
      </c>
      <c r="K182" s="259">
        <v>2.5036083795340716</v>
      </c>
      <c r="L182" s="259">
        <v>7.6734790561791897</v>
      </c>
      <c r="M182" s="259">
        <v>6.6255194329014842</v>
      </c>
      <c r="N182" s="259">
        <v>3.6450751366903233</v>
      </c>
      <c r="O182" s="259">
        <v>3.5190940157706621</v>
      </c>
      <c r="P182" s="259">
        <v>6.6087625396621803</v>
      </c>
      <c r="Q182" s="259">
        <v>6.4506107887642941</v>
      </c>
      <c r="R182" s="259">
        <v>-1.1334324929866568</v>
      </c>
      <c r="S182" s="259">
        <v>4.8894517339224137</v>
      </c>
      <c r="T182" s="259">
        <v>5.1499223835071746</v>
      </c>
      <c r="U182" s="259">
        <v>-7.5274108607441974</v>
      </c>
      <c r="V182" s="259">
        <v>24.711747626294226</v>
      </c>
      <c r="W182" s="259">
        <v>23.747567001048054</v>
      </c>
      <c r="X182" s="260">
        <v>3.7295374526623988</v>
      </c>
    </row>
    <row r="183" spans="1:24" ht="28" hidden="1" outlineLevel="1" x14ac:dyDescent="0.4">
      <c r="A183" s="151"/>
      <c r="B183" s="125"/>
      <c r="C183" s="126" t="s">
        <v>231</v>
      </c>
      <c r="D183" s="126"/>
      <c r="E183" s="127" t="s">
        <v>232</v>
      </c>
      <c r="F183" s="128"/>
      <c r="G183" s="261">
        <v>7.9203196755531735</v>
      </c>
      <c r="H183" s="261">
        <v>12.019894998618398</v>
      </c>
      <c r="I183" s="261">
        <v>11.139615194869251</v>
      </c>
      <c r="J183" s="261">
        <v>6.8492542613636402</v>
      </c>
      <c r="K183" s="261">
        <v>-4.1793028956005145</v>
      </c>
      <c r="L183" s="261">
        <v>4.1361370041187939</v>
      </c>
      <c r="M183" s="261">
        <v>3.1516715933219501</v>
      </c>
      <c r="N183" s="261">
        <v>2.6719405876654889</v>
      </c>
      <c r="O183" s="261">
        <v>2.8500668291532349</v>
      </c>
      <c r="P183" s="261">
        <v>4.0362343767916542</v>
      </c>
      <c r="Q183" s="261">
        <v>10.724126529262648</v>
      </c>
      <c r="R183" s="261">
        <v>1.5429026478200285</v>
      </c>
      <c r="S183" s="261">
        <v>2.2938927556122053</v>
      </c>
      <c r="T183" s="261">
        <v>1.2042804663791742</v>
      </c>
      <c r="U183" s="261">
        <v>1.6507796224985753</v>
      </c>
      <c r="V183" s="261">
        <v>22.241887905604727</v>
      </c>
      <c r="W183" s="261">
        <v>24.928876244665716</v>
      </c>
      <c r="X183" s="262">
        <v>6.7972022284575644</v>
      </c>
    </row>
    <row r="184" spans="1:24" ht="70" hidden="1" outlineLevel="2" x14ac:dyDescent="0.4">
      <c r="A184" s="130"/>
      <c r="B184" s="131"/>
      <c r="C184" s="131"/>
      <c r="D184" s="131" t="s">
        <v>233</v>
      </c>
      <c r="E184" s="134" t="s">
        <v>234</v>
      </c>
      <c r="F184" s="135"/>
      <c r="G184" s="263">
        <v>3.8175046554934795</v>
      </c>
      <c r="H184" s="263">
        <v>17.189835575485787</v>
      </c>
      <c r="I184" s="263">
        <v>16.530612244897952</v>
      </c>
      <c r="J184" s="263">
        <v>5.8450087565674096</v>
      </c>
      <c r="K184" s="263">
        <v>-5.5635987590486025</v>
      </c>
      <c r="L184" s="263">
        <v>5.7818659658344274</v>
      </c>
      <c r="M184" s="263">
        <v>3.4575569358177916</v>
      </c>
      <c r="N184" s="263">
        <v>4.7028216930158067</v>
      </c>
      <c r="O184" s="263">
        <v>4.6444954128440372</v>
      </c>
      <c r="P184" s="263">
        <v>7.6894977168949765</v>
      </c>
      <c r="Q184" s="263">
        <v>10.973541383989144</v>
      </c>
      <c r="R184" s="263">
        <v>0.55020632737277708</v>
      </c>
      <c r="S184" s="263">
        <v>5.2439580483356139</v>
      </c>
      <c r="T184" s="263">
        <v>2.7151935297515877</v>
      </c>
      <c r="U184" s="263">
        <v>6.7913385826771702</v>
      </c>
      <c r="V184" s="263">
        <v>34.667544437129692</v>
      </c>
      <c r="W184" s="263">
        <v>27.190066484161136</v>
      </c>
      <c r="X184" s="268">
        <v>9.9162118533323138</v>
      </c>
    </row>
    <row r="185" spans="1:24" hidden="1" outlineLevel="2" x14ac:dyDescent="0.4">
      <c r="A185" s="124"/>
      <c r="B185" s="125"/>
      <c r="C185" s="125"/>
      <c r="D185" s="125" t="s">
        <v>235</v>
      </c>
      <c r="E185" s="139" t="s">
        <v>236</v>
      </c>
      <c r="F185" s="140"/>
      <c r="G185" s="266">
        <v>-7.1713147410358573</v>
      </c>
      <c r="H185" s="266">
        <v>10.214592274678111</v>
      </c>
      <c r="I185" s="266">
        <v>13.395638629283482</v>
      </c>
      <c r="J185" s="266">
        <v>0.75549450549449659</v>
      </c>
      <c r="K185" s="266">
        <v>-3.2038173142467627</v>
      </c>
      <c r="L185" s="266">
        <v>4.4366197183098706</v>
      </c>
      <c r="M185" s="266">
        <v>-14.29534726904923</v>
      </c>
      <c r="N185" s="266">
        <v>-14.00472069236821</v>
      </c>
      <c r="O185" s="266">
        <v>25.617566331198532</v>
      </c>
      <c r="P185" s="266">
        <v>9.6868171886380168</v>
      </c>
      <c r="Q185" s="266">
        <v>31.872509960159363</v>
      </c>
      <c r="R185" s="266">
        <v>-5.1359516616314238</v>
      </c>
      <c r="S185" s="266">
        <v>-8.9702760084925757</v>
      </c>
      <c r="T185" s="266">
        <v>-8.4548104956268162</v>
      </c>
      <c r="U185" s="266">
        <v>-8.0891719745222872</v>
      </c>
      <c r="V185" s="266">
        <v>97.366597366597375</v>
      </c>
      <c r="W185" s="266">
        <v>26.228932584269657</v>
      </c>
      <c r="X185" s="267">
        <v>-17.329624478442284</v>
      </c>
    </row>
    <row r="186" spans="1:24" hidden="1" outlineLevel="2" x14ac:dyDescent="0.4">
      <c r="A186" s="130"/>
      <c r="B186" s="131"/>
      <c r="C186" s="131"/>
      <c r="D186" s="131" t="s">
        <v>237</v>
      </c>
      <c r="E186" s="134" t="s">
        <v>238</v>
      </c>
      <c r="F186" s="135"/>
      <c r="G186" s="263">
        <v>3.8100208768267123</v>
      </c>
      <c r="H186" s="263">
        <v>10.005027652086483</v>
      </c>
      <c r="I186" s="263">
        <v>12.431444241316285</v>
      </c>
      <c r="J186" s="263">
        <v>0.1626016260162686</v>
      </c>
      <c r="K186" s="263">
        <v>2.5974025974025921</v>
      </c>
      <c r="L186" s="263">
        <v>7.6740506329114027</v>
      </c>
      <c r="M186" s="263">
        <v>8.817046289493021</v>
      </c>
      <c r="N186" s="263">
        <v>4.4902093180283487</v>
      </c>
      <c r="O186" s="263">
        <v>1.163166397415182</v>
      </c>
      <c r="P186" s="263">
        <v>2.7467262855317927</v>
      </c>
      <c r="Q186" s="263">
        <v>6.3413117811625739</v>
      </c>
      <c r="R186" s="263">
        <v>3.858520900321551</v>
      </c>
      <c r="S186" s="263">
        <v>1.5761328454826753</v>
      </c>
      <c r="T186" s="263">
        <v>0.96979772790245988</v>
      </c>
      <c r="U186" s="263">
        <v>6.0098792535675045</v>
      </c>
      <c r="V186" s="263">
        <v>2.3556821123479068</v>
      </c>
      <c r="W186" s="263">
        <v>22.736469398077901</v>
      </c>
      <c r="X186" s="268">
        <v>11.024108798681226</v>
      </c>
    </row>
    <row r="187" spans="1:24" ht="70" hidden="1" outlineLevel="2" x14ac:dyDescent="0.4">
      <c r="A187" s="124"/>
      <c r="B187" s="125"/>
      <c r="C187" s="125"/>
      <c r="D187" s="125" t="s">
        <v>239</v>
      </c>
      <c r="E187" s="139" t="s">
        <v>240</v>
      </c>
      <c r="F187" s="140"/>
      <c r="G187" s="266">
        <v>1.7337258750408751</v>
      </c>
      <c r="H187" s="266">
        <v>15.144694533762063</v>
      </c>
      <c r="I187" s="266">
        <v>18.346830494275352</v>
      </c>
      <c r="J187" s="266">
        <v>1.2269938650306642</v>
      </c>
      <c r="K187" s="266">
        <v>-9.2540792540792438</v>
      </c>
      <c r="L187" s="266">
        <v>1.7467248908296966</v>
      </c>
      <c r="M187" s="266">
        <v>4.4938146932592673</v>
      </c>
      <c r="N187" s="266">
        <v>2.1744382701135407</v>
      </c>
      <c r="O187" s="266">
        <v>-6.1243792858831796</v>
      </c>
      <c r="P187" s="266">
        <v>-1.2090680100755691</v>
      </c>
      <c r="Q187" s="266">
        <v>20.78021417644058</v>
      </c>
      <c r="R187" s="266">
        <v>-3.7365421152628215</v>
      </c>
      <c r="S187" s="266">
        <v>2.6754385964912188</v>
      </c>
      <c r="T187" s="266">
        <v>10.123878684322946</v>
      </c>
      <c r="U187" s="266">
        <v>16.77657098525988</v>
      </c>
      <c r="V187" s="266">
        <v>8.0219232685600446</v>
      </c>
      <c r="W187" s="266">
        <v>31.38068880688806</v>
      </c>
      <c r="X187" s="267">
        <v>5.8045640725570564</v>
      </c>
    </row>
    <row r="188" spans="1:24" hidden="1" outlineLevel="2" x14ac:dyDescent="0.4">
      <c r="A188" s="130"/>
      <c r="B188" s="131"/>
      <c r="C188" s="131"/>
      <c r="D188" s="131" t="s">
        <v>241</v>
      </c>
      <c r="E188" s="134" t="s">
        <v>242</v>
      </c>
      <c r="F188" s="135"/>
      <c r="G188" s="263">
        <v>-11.073825503355707</v>
      </c>
      <c r="H188" s="263">
        <v>-19.874213836477978</v>
      </c>
      <c r="I188" s="263">
        <v>-7.8492935635792804</v>
      </c>
      <c r="J188" s="263">
        <v>-14.310051107325378</v>
      </c>
      <c r="K188" s="263">
        <v>-7.5546719681908456</v>
      </c>
      <c r="L188" s="263">
        <v>-19.784946236559136</v>
      </c>
      <c r="M188" s="263">
        <v>7.7747989276139435</v>
      </c>
      <c r="N188" s="263">
        <v>24.626865671641781</v>
      </c>
      <c r="O188" s="263">
        <v>3.1936127744510969</v>
      </c>
      <c r="P188" s="263">
        <v>35.783365570599614</v>
      </c>
      <c r="Q188" s="263">
        <v>-10.96866096866097</v>
      </c>
      <c r="R188" s="263">
        <v>12.319999999999993</v>
      </c>
      <c r="S188" s="263">
        <v>-7.2649572649572605</v>
      </c>
      <c r="T188" s="263">
        <v>10.906298003072195</v>
      </c>
      <c r="U188" s="263">
        <v>-60.94182825484765</v>
      </c>
      <c r="V188" s="263">
        <v>36.879432624113491</v>
      </c>
      <c r="W188" s="263">
        <v>26.424870466321252</v>
      </c>
      <c r="X188" s="268">
        <v>-4.508196721311478</v>
      </c>
    </row>
    <row r="189" spans="1:24" hidden="1" outlineLevel="2" x14ac:dyDescent="0.4">
      <c r="A189" s="124"/>
      <c r="B189" s="125"/>
      <c r="C189" s="125"/>
      <c r="D189" s="125" t="s">
        <v>243</v>
      </c>
      <c r="E189" s="139" t="s">
        <v>244</v>
      </c>
      <c r="F189" s="140"/>
      <c r="G189" s="266">
        <v>47.11729622266401</v>
      </c>
      <c r="H189" s="266">
        <v>-5.0900900900900865</v>
      </c>
      <c r="I189" s="266">
        <v>2.3255813953488484</v>
      </c>
      <c r="J189" s="266">
        <v>27.179962894248604</v>
      </c>
      <c r="K189" s="266">
        <v>7.4033552151714161</v>
      </c>
      <c r="L189" s="266">
        <v>13.37860780984721</v>
      </c>
      <c r="M189" s="266">
        <v>-18.778077268643315</v>
      </c>
      <c r="N189" s="266">
        <v>-12.020648967551622</v>
      </c>
      <c r="O189" s="266">
        <v>5.4484492875104706</v>
      </c>
      <c r="P189" s="266">
        <v>4.0540540540540633</v>
      </c>
      <c r="Q189" s="266">
        <v>6.6844919786096284</v>
      </c>
      <c r="R189" s="266">
        <v>9.7744360902255636</v>
      </c>
      <c r="S189" s="266">
        <v>-0.1956947162426701</v>
      </c>
      <c r="T189" s="266">
        <v>-13.202614379084963</v>
      </c>
      <c r="U189" s="266">
        <v>14.420180722891573</v>
      </c>
      <c r="V189" s="266">
        <v>15.235274761434695</v>
      </c>
      <c r="W189" s="266">
        <v>17.104511707595663</v>
      </c>
      <c r="X189" s="267">
        <v>5.7059253840526765</v>
      </c>
    </row>
    <row r="190" spans="1:24" hidden="1" outlineLevel="2" x14ac:dyDescent="0.4">
      <c r="A190" s="130"/>
      <c r="B190" s="131"/>
      <c r="C190" s="131"/>
      <c r="D190" s="131" t="s">
        <v>245</v>
      </c>
      <c r="E190" s="134" t="s">
        <v>246</v>
      </c>
      <c r="F190" s="135"/>
      <c r="G190" s="263">
        <v>3.3870967741935516</v>
      </c>
      <c r="H190" s="263">
        <v>5.3042121684867283</v>
      </c>
      <c r="I190" s="263">
        <v>10.370370370370367</v>
      </c>
      <c r="J190" s="263">
        <v>0.40268456375838468</v>
      </c>
      <c r="K190" s="263">
        <v>-9.4919786096256757</v>
      </c>
      <c r="L190" s="263">
        <v>6.4992614475627875</v>
      </c>
      <c r="M190" s="263">
        <v>9.5700416088765508</v>
      </c>
      <c r="N190" s="263">
        <v>-3.7974683544303787</v>
      </c>
      <c r="O190" s="263">
        <v>-1.7105263157894797</v>
      </c>
      <c r="P190" s="263">
        <v>-7.8982597054886128</v>
      </c>
      <c r="Q190" s="263">
        <v>-7.7034883720930196</v>
      </c>
      <c r="R190" s="263">
        <v>4.7244094488188892</v>
      </c>
      <c r="S190" s="263">
        <v>5.5639097744360839</v>
      </c>
      <c r="T190" s="263">
        <v>7.6923076923076934</v>
      </c>
      <c r="U190" s="263">
        <v>-3.9682539682539613</v>
      </c>
      <c r="V190" s="263">
        <v>18.319559228650135</v>
      </c>
      <c r="W190" s="263">
        <v>23.981373690337591</v>
      </c>
      <c r="X190" s="268">
        <v>8.8262910798122078</v>
      </c>
    </row>
    <row r="191" spans="1:24" ht="70" hidden="1" outlineLevel="2" x14ac:dyDescent="0.4">
      <c r="A191" s="124"/>
      <c r="B191" s="125"/>
      <c r="C191" s="125"/>
      <c r="D191" s="125" t="s">
        <v>247</v>
      </c>
      <c r="E191" s="139" t="s">
        <v>248</v>
      </c>
      <c r="F191" s="140"/>
      <c r="G191" s="266">
        <v>10.80827067669172</v>
      </c>
      <c r="H191" s="266">
        <v>18.490245971161997</v>
      </c>
      <c r="I191" s="266">
        <v>9.5919828203292639</v>
      </c>
      <c r="J191" s="266">
        <v>8.2299150881776484</v>
      </c>
      <c r="K191" s="266">
        <v>-6.5781532890766528</v>
      </c>
      <c r="L191" s="266">
        <v>-4.1989664082687312</v>
      </c>
      <c r="M191" s="266">
        <v>21.0384356035064</v>
      </c>
      <c r="N191" s="266">
        <v>11.253481894150411</v>
      </c>
      <c r="O191" s="266">
        <v>-0.55082623935903996</v>
      </c>
      <c r="P191" s="266">
        <v>14.602215508559908</v>
      </c>
      <c r="Q191" s="266">
        <v>2.5043936731107266</v>
      </c>
      <c r="R191" s="266">
        <v>2.7861123017573988</v>
      </c>
      <c r="S191" s="266">
        <v>2.2935779816513673</v>
      </c>
      <c r="T191" s="266">
        <v>2.7313493681206751</v>
      </c>
      <c r="U191" s="266">
        <v>4.7619047619047734</v>
      </c>
      <c r="V191" s="266">
        <v>13.068181818181813</v>
      </c>
      <c r="W191" s="266">
        <v>22.345058626465658</v>
      </c>
      <c r="X191" s="267">
        <v>5.6407447973713118</v>
      </c>
    </row>
    <row r="192" spans="1:24" ht="28" hidden="1" outlineLevel="2" x14ac:dyDescent="0.4">
      <c r="A192" s="130"/>
      <c r="B192" s="131"/>
      <c r="C192" s="131"/>
      <c r="D192" s="131" t="s">
        <v>249</v>
      </c>
      <c r="E192" s="134" t="s">
        <v>250</v>
      </c>
      <c r="F192" s="135"/>
      <c r="G192" s="263">
        <v>13.03405572755419</v>
      </c>
      <c r="H192" s="263">
        <v>22.733497671870722</v>
      </c>
      <c r="I192" s="263">
        <v>6.8288328498103112</v>
      </c>
      <c r="J192" s="263">
        <v>12.074368080217241</v>
      </c>
      <c r="K192" s="263">
        <v>-6.3746505125815531</v>
      </c>
      <c r="L192" s="263">
        <v>1.6723073860242863</v>
      </c>
      <c r="M192" s="263">
        <v>11.768161347170562</v>
      </c>
      <c r="N192" s="263">
        <v>7.6559215136650351</v>
      </c>
      <c r="O192" s="263">
        <v>4.9308380797396154</v>
      </c>
      <c r="P192" s="263">
        <v>-0.83746898263026992</v>
      </c>
      <c r="Q192" s="263">
        <v>10.494213324992188</v>
      </c>
      <c r="R192" s="263">
        <v>1.854210898796893</v>
      </c>
      <c r="S192" s="263">
        <v>4.3496386881600984</v>
      </c>
      <c r="T192" s="263">
        <v>0.49274204288187207</v>
      </c>
      <c r="U192" s="263">
        <v>-12.589451364961562</v>
      </c>
      <c r="V192" s="263">
        <v>22.832019405700436</v>
      </c>
      <c r="W192" s="263">
        <v>21.871142927672182</v>
      </c>
      <c r="X192" s="268">
        <v>11.484707312132869</v>
      </c>
    </row>
    <row r="193" spans="1:24" ht="70" hidden="1" outlineLevel="1" collapsed="1" x14ac:dyDescent="0.4">
      <c r="A193" s="151"/>
      <c r="B193" s="125"/>
      <c r="C193" s="126" t="s">
        <v>251</v>
      </c>
      <c r="D193" s="126"/>
      <c r="E193" s="127" t="s">
        <v>252</v>
      </c>
      <c r="F193" s="128"/>
      <c r="G193" s="261">
        <v>12.973610496830304</v>
      </c>
      <c r="H193" s="261">
        <v>19.522380268824222</v>
      </c>
      <c r="I193" s="261">
        <v>2.1727262801615836</v>
      </c>
      <c r="J193" s="261">
        <v>-13.015601624278688</v>
      </c>
      <c r="K193" s="261">
        <v>1.5110565110565233</v>
      </c>
      <c r="L193" s="261">
        <v>9.8632457945056444</v>
      </c>
      <c r="M193" s="261">
        <v>6.532275831680991</v>
      </c>
      <c r="N193" s="261">
        <v>3.0296763519801431</v>
      </c>
      <c r="O193" s="261">
        <v>0.32115616218386833</v>
      </c>
      <c r="P193" s="261">
        <v>3.4713885554221662</v>
      </c>
      <c r="Q193" s="261">
        <v>4.4764575074929951</v>
      </c>
      <c r="R193" s="261">
        <v>-3.6738848787710481</v>
      </c>
      <c r="S193" s="261">
        <v>2.8821212412339037E-2</v>
      </c>
      <c r="T193" s="261">
        <v>7.3184786784479456</v>
      </c>
      <c r="U193" s="261">
        <v>-25.093968140325757</v>
      </c>
      <c r="V193" s="261">
        <v>47.037037037037038</v>
      </c>
      <c r="W193" s="261">
        <v>22.288128707239778</v>
      </c>
      <c r="X193" s="262">
        <v>-8.2192691029900402</v>
      </c>
    </row>
    <row r="194" spans="1:24" ht="42" hidden="1" outlineLevel="2" x14ac:dyDescent="0.4">
      <c r="A194" s="130"/>
      <c r="B194" s="131"/>
      <c r="C194" s="131"/>
      <c r="D194" s="131" t="s">
        <v>253</v>
      </c>
      <c r="E194" s="134" t="s">
        <v>254</v>
      </c>
      <c r="F194" s="135"/>
      <c r="G194" s="263">
        <v>14.025370734321953</v>
      </c>
      <c r="H194" s="263">
        <v>18.348480100282046</v>
      </c>
      <c r="I194" s="263">
        <v>-0.55607043558850933</v>
      </c>
      <c r="J194" s="263">
        <v>-11.889229130608442</v>
      </c>
      <c r="K194" s="263">
        <v>2.7349652462979748</v>
      </c>
      <c r="L194" s="263">
        <v>9.6484777173113656</v>
      </c>
      <c r="M194" s="263">
        <v>6.7471495640509858</v>
      </c>
      <c r="N194" s="263">
        <v>3.581301834631816</v>
      </c>
      <c r="O194" s="263">
        <v>0.44886570423389571</v>
      </c>
      <c r="P194" s="263">
        <v>3.6714975845410578</v>
      </c>
      <c r="Q194" s="263">
        <v>4.753028890959925</v>
      </c>
      <c r="R194" s="263">
        <v>-2.4577402135231239</v>
      </c>
      <c r="S194" s="263">
        <v>1.6075704024626702</v>
      </c>
      <c r="T194" s="263">
        <v>9.0439856373428995</v>
      </c>
      <c r="U194" s="263">
        <v>-22.267956369623377</v>
      </c>
      <c r="V194" s="263">
        <v>47.127349748477627</v>
      </c>
      <c r="W194" s="263">
        <v>22.440165556955179</v>
      </c>
      <c r="X194" s="268">
        <v>-9.0241034685479207</v>
      </c>
    </row>
    <row r="195" spans="1:24" ht="56" hidden="1" outlineLevel="2" x14ac:dyDescent="0.4">
      <c r="A195" s="124"/>
      <c r="B195" s="125"/>
      <c r="C195" s="125"/>
      <c r="D195" s="125" t="s">
        <v>255</v>
      </c>
      <c r="E195" s="139" t="s">
        <v>256</v>
      </c>
      <c r="F195" s="140"/>
      <c r="G195" s="266">
        <v>8.0101180438448552</v>
      </c>
      <c r="H195" s="266">
        <v>25.370804059328663</v>
      </c>
      <c r="I195" s="266">
        <v>15.00622665006226</v>
      </c>
      <c r="J195" s="266">
        <v>-17.596101786681103</v>
      </c>
      <c r="K195" s="266">
        <v>-3.8107752956636034</v>
      </c>
      <c r="L195" s="266">
        <v>10.860655737704917</v>
      </c>
      <c r="M195" s="266">
        <v>5.5452865064695089</v>
      </c>
      <c r="N195" s="266">
        <v>0.46701692936368033</v>
      </c>
      <c r="O195" s="266">
        <v>-0.29052876234747771</v>
      </c>
      <c r="P195" s="266">
        <v>2.5058275058275115</v>
      </c>
      <c r="Q195" s="266">
        <v>3.1267765776009213</v>
      </c>
      <c r="R195" s="266">
        <v>-9.7023153252480654</v>
      </c>
      <c r="S195" s="266">
        <v>-8.4249084249084234</v>
      </c>
      <c r="T195" s="266">
        <v>-2.9333333333333371</v>
      </c>
      <c r="U195" s="266">
        <v>-43.956043956043956</v>
      </c>
      <c r="V195" s="266">
        <v>46.20098039215685</v>
      </c>
      <c r="W195" s="266">
        <v>20.871751886001675</v>
      </c>
      <c r="X195" s="267">
        <v>-0.62413314840499368</v>
      </c>
    </row>
    <row r="196" spans="1:24" ht="70" hidden="1" outlineLevel="1" collapsed="1" x14ac:dyDescent="0.4">
      <c r="A196" s="149"/>
      <c r="B196" s="131"/>
      <c r="C196" s="132" t="s">
        <v>257</v>
      </c>
      <c r="D196" s="132"/>
      <c r="E196" s="150" t="s">
        <v>258</v>
      </c>
      <c r="F196" s="136"/>
      <c r="G196" s="264">
        <v>12.966774478094663</v>
      </c>
      <c r="H196" s="264">
        <v>12.909942738157227</v>
      </c>
      <c r="I196" s="264">
        <v>6.4084831719686548</v>
      </c>
      <c r="J196" s="264">
        <v>5.9792027729636033</v>
      </c>
      <c r="K196" s="264">
        <v>-4.7015535568274771</v>
      </c>
      <c r="L196" s="264">
        <v>2.3809523809523796</v>
      </c>
      <c r="M196" s="264">
        <v>7.3329143096585057</v>
      </c>
      <c r="N196" s="264">
        <v>2.927971891469852</v>
      </c>
      <c r="O196" s="264">
        <v>2.465389721221328</v>
      </c>
      <c r="P196" s="264">
        <v>12.104386451971124</v>
      </c>
      <c r="Q196" s="264">
        <v>-2.0802377414561732</v>
      </c>
      <c r="R196" s="264">
        <v>-2.2424548979935963</v>
      </c>
      <c r="S196" s="264">
        <v>2.8113142462918148</v>
      </c>
      <c r="T196" s="264">
        <v>5.5695353128669751</v>
      </c>
      <c r="U196" s="264">
        <v>-2.6855235976481708</v>
      </c>
      <c r="V196" s="264">
        <v>9.7485303723056802</v>
      </c>
      <c r="W196" s="264">
        <v>32.733224222585932</v>
      </c>
      <c r="X196" s="265">
        <v>0.6725703396480327</v>
      </c>
    </row>
    <row r="197" spans="1:24" ht="42" hidden="1" outlineLevel="2" x14ac:dyDescent="0.4">
      <c r="A197" s="124"/>
      <c r="B197" s="125"/>
      <c r="C197" s="125"/>
      <c r="D197" s="125" t="s">
        <v>259</v>
      </c>
      <c r="E197" s="139" t="s">
        <v>260</v>
      </c>
      <c r="F197" s="140"/>
      <c r="G197" s="266">
        <v>21.468926553672318</v>
      </c>
      <c r="H197" s="266">
        <v>29.302325581395337</v>
      </c>
      <c r="I197" s="266">
        <v>8.8729016786570583</v>
      </c>
      <c r="J197" s="266">
        <v>-0.5506607929515468</v>
      </c>
      <c r="K197" s="266">
        <v>3.8759689922480618</v>
      </c>
      <c r="L197" s="266">
        <v>2.4520255863539404</v>
      </c>
      <c r="M197" s="266">
        <v>3.6420395421435927</v>
      </c>
      <c r="N197" s="266">
        <v>4.3172690763052231</v>
      </c>
      <c r="O197" s="266">
        <v>5.2935514918190449</v>
      </c>
      <c r="P197" s="266">
        <v>3.9305301645338204</v>
      </c>
      <c r="Q197" s="266">
        <v>2.9023746701846989</v>
      </c>
      <c r="R197" s="266">
        <v>-6.6666666666666714</v>
      </c>
      <c r="S197" s="266">
        <v>-5.1282051282051384</v>
      </c>
      <c r="T197" s="266">
        <v>-2.5096525096525113</v>
      </c>
      <c r="U197" s="266">
        <v>-3.6633663366336719</v>
      </c>
      <c r="V197" s="266">
        <v>-3.9054470709146898</v>
      </c>
      <c r="W197" s="266">
        <v>32.085561497326211</v>
      </c>
      <c r="X197" s="267">
        <v>-5.1821862348178058</v>
      </c>
    </row>
    <row r="198" spans="1:24" hidden="1" outlineLevel="2" x14ac:dyDescent="0.4">
      <c r="A198" s="130"/>
      <c r="B198" s="131"/>
      <c r="C198" s="131"/>
      <c r="D198" s="131" t="s">
        <v>261</v>
      </c>
      <c r="E198" s="134" t="s">
        <v>262</v>
      </c>
      <c r="F198" s="135"/>
      <c r="G198" s="263">
        <v>10.622154779969662</v>
      </c>
      <c r="H198" s="263">
        <v>7.7274805669867277</v>
      </c>
      <c r="I198" s="263">
        <v>5.1782682512733373</v>
      </c>
      <c r="J198" s="263">
        <v>7.0621468926553632</v>
      </c>
      <c r="K198" s="263">
        <v>-11.421032793064455</v>
      </c>
      <c r="L198" s="263">
        <v>-1.3617021276595693</v>
      </c>
      <c r="M198" s="263">
        <v>8.8438308886971555</v>
      </c>
      <c r="N198" s="263">
        <v>2.2988505747126453</v>
      </c>
      <c r="O198" s="263">
        <v>2.8671057729562079</v>
      </c>
      <c r="P198" s="263">
        <v>21.242937853107335</v>
      </c>
      <c r="Q198" s="263">
        <v>-3.2308170239204799</v>
      </c>
      <c r="R198" s="263">
        <v>4.9438202247191043</v>
      </c>
      <c r="S198" s="263">
        <v>6.4239828693790173</v>
      </c>
      <c r="T198" s="263">
        <v>9.7441793618856138</v>
      </c>
      <c r="U198" s="263">
        <v>-1.4143530644316371</v>
      </c>
      <c r="V198" s="263">
        <v>12.752391073326237</v>
      </c>
      <c r="W198" s="263">
        <v>33.741753063147968</v>
      </c>
      <c r="X198" s="268">
        <v>1.7794221282593412</v>
      </c>
    </row>
    <row r="199" spans="1:24" ht="42" hidden="1" outlineLevel="2" x14ac:dyDescent="0.4">
      <c r="A199" s="124"/>
      <c r="B199" s="125"/>
      <c r="C199" s="125"/>
      <c r="D199" s="125" t="s">
        <v>263</v>
      </c>
      <c r="E199" s="139" t="s">
        <v>264</v>
      </c>
      <c r="F199" s="140"/>
      <c r="G199" s="266">
        <v>13.101903695408737</v>
      </c>
      <c r="H199" s="266">
        <v>13.663366336633658</v>
      </c>
      <c r="I199" s="266">
        <v>7.1428571428571388</v>
      </c>
      <c r="J199" s="266">
        <v>8.6178861788617951</v>
      </c>
      <c r="K199" s="266">
        <v>2.8443113772455035</v>
      </c>
      <c r="L199" s="266">
        <v>8.7336244541484689</v>
      </c>
      <c r="M199" s="266">
        <v>7.3627844712182053</v>
      </c>
      <c r="N199" s="266">
        <v>3.05486284289276</v>
      </c>
      <c r="O199" s="266">
        <v>6.0496067755593685E-2</v>
      </c>
      <c r="P199" s="266">
        <v>2.8415961305924924</v>
      </c>
      <c r="Q199" s="266">
        <v>-3.2333921222810034</v>
      </c>
      <c r="R199" s="266">
        <v>-12.697448359659774</v>
      </c>
      <c r="S199" s="266">
        <v>0.62630480167014468</v>
      </c>
      <c r="T199" s="266">
        <v>1.3139695712309845</v>
      </c>
      <c r="U199" s="266">
        <v>-5.3242320819112621</v>
      </c>
      <c r="V199" s="266">
        <v>11.175198269646728</v>
      </c>
      <c r="W199" s="266">
        <v>30.350194552529189</v>
      </c>
      <c r="X199" s="267">
        <v>1.1442786069651731</v>
      </c>
    </row>
    <row r="200" spans="1:24" ht="98" hidden="1" outlineLevel="1" collapsed="1" x14ac:dyDescent="0.4">
      <c r="A200" s="149"/>
      <c r="B200" s="131"/>
      <c r="C200" s="132" t="s">
        <v>265</v>
      </c>
      <c r="D200" s="132"/>
      <c r="E200" s="150" t="s">
        <v>266</v>
      </c>
      <c r="F200" s="136"/>
      <c r="G200" s="264">
        <v>15.978267984551934</v>
      </c>
      <c r="H200" s="264">
        <v>12.95857320239304</v>
      </c>
      <c r="I200" s="264">
        <v>8.1293094833616522</v>
      </c>
      <c r="J200" s="264">
        <v>1.4740538792107571</v>
      </c>
      <c r="K200" s="264">
        <v>7.0537340619307969</v>
      </c>
      <c r="L200" s="264">
        <v>12.795099749032275</v>
      </c>
      <c r="M200" s="264">
        <v>6.8522080174982136</v>
      </c>
      <c r="N200" s="264">
        <v>7.0163054986941376</v>
      </c>
      <c r="O200" s="264">
        <v>6.3089505969263371</v>
      </c>
      <c r="P200" s="264">
        <v>10.299364045292393</v>
      </c>
      <c r="Q200" s="264">
        <v>7.1888623259738438</v>
      </c>
      <c r="R200" s="264">
        <v>2.5189577812180204</v>
      </c>
      <c r="S200" s="264">
        <v>7.7653502597834603</v>
      </c>
      <c r="T200" s="264">
        <v>6.23678897993112</v>
      </c>
      <c r="U200" s="264">
        <v>-10.487134202231118</v>
      </c>
      <c r="V200" s="264">
        <v>26.835664335664333</v>
      </c>
      <c r="W200" s="264">
        <v>23.432115782219157</v>
      </c>
      <c r="X200" s="265">
        <v>7.1851320092526123</v>
      </c>
    </row>
    <row r="201" spans="1:24" ht="28" hidden="1" outlineLevel="2" x14ac:dyDescent="0.4">
      <c r="A201" s="124"/>
      <c r="B201" s="125"/>
      <c r="C201" s="125"/>
      <c r="D201" s="125" t="s">
        <v>267</v>
      </c>
      <c r="E201" s="139" t="s">
        <v>268</v>
      </c>
      <c r="F201" s="140"/>
      <c r="G201" s="266">
        <v>21.443888491779845</v>
      </c>
      <c r="H201" s="266">
        <v>17.804590935844615</v>
      </c>
      <c r="I201" s="266">
        <v>14.414189357981513</v>
      </c>
      <c r="J201" s="266">
        <v>-14.301310043668124</v>
      </c>
      <c r="K201" s="266">
        <v>26.955414012738842</v>
      </c>
      <c r="L201" s="266">
        <v>28.878185831828205</v>
      </c>
      <c r="M201" s="266">
        <v>3.2700093428838386</v>
      </c>
      <c r="N201" s="266">
        <v>4.4179734620024078</v>
      </c>
      <c r="O201" s="266">
        <v>6.2382671480144296</v>
      </c>
      <c r="P201" s="266">
        <v>5.4913687644420293</v>
      </c>
      <c r="Q201" s="266">
        <v>9.3286947558304263</v>
      </c>
      <c r="R201" s="266">
        <v>25.739540365350621</v>
      </c>
      <c r="S201" s="266">
        <v>21.76398912737838</v>
      </c>
      <c r="T201" s="266">
        <v>10.538064814102071</v>
      </c>
      <c r="U201" s="266">
        <v>-28.398328690807801</v>
      </c>
      <c r="V201" s="266">
        <v>46.819684886208904</v>
      </c>
      <c r="W201" s="266">
        <v>32.14096449390567</v>
      </c>
      <c r="X201" s="267">
        <v>17.981752556647294</v>
      </c>
    </row>
    <row r="202" spans="1:24" ht="84" hidden="1" outlineLevel="2" x14ac:dyDescent="0.4">
      <c r="A202" s="130"/>
      <c r="B202" s="131"/>
      <c r="C202" s="131"/>
      <c r="D202" s="131" t="s">
        <v>269</v>
      </c>
      <c r="E202" s="134" t="s">
        <v>270</v>
      </c>
      <c r="F202" s="135"/>
      <c r="G202" s="263">
        <v>12.725069252077574</v>
      </c>
      <c r="H202" s="263">
        <v>9.0769467055751676</v>
      </c>
      <c r="I202" s="263">
        <v>8.4764854970431003</v>
      </c>
      <c r="J202" s="263">
        <v>9.4755970924195196</v>
      </c>
      <c r="K202" s="263">
        <v>6.9124970358074478</v>
      </c>
      <c r="L202" s="263">
        <v>2.9056227126538658</v>
      </c>
      <c r="M202" s="263">
        <v>3.1684448755253953</v>
      </c>
      <c r="N202" s="263">
        <v>8.6597722761934506</v>
      </c>
      <c r="O202" s="263">
        <v>1.6246875600846096</v>
      </c>
      <c r="P202" s="263">
        <v>11.758584807492184</v>
      </c>
      <c r="Q202" s="263">
        <v>13.898764178093785</v>
      </c>
      <c r="R202" s="263">
        <v>1.0478596908442483</v>
      </c>
      <c r="S202" s="263">
        <v>4.6775023902331441</v>
      </c>
      <c r="T202" s="263">
        <v>5.9860886671819173</v>
      </c>
      <c r="U202" s="263">
        <v>6.5893271461716836</v>
      </c>
      <c r="V202" s="263">
        <v>25.785185645873511</v>
      </c>
      <c r="W202" s="263">
        <v>20.301606922126084</v>
      </c>
      <c r="X202" s="268">
        <v>0.85898647815542972</v>
      </c>
    </row>
    <row r="203" spans="1:24" hidden="1" outlineLevel="2" x14ac:dyDescent="0.4">
      <c r="A203" s="124"/>
      <c r="B203" s="125"/>
      <c r="C203" s="125"/>
      <c r="D203" s="125" t="s">
        <v>271</v>
      </c>
      <c r="E203" s="139" t="s">
        <v>272</v>
      </c>
      <c r="F203" s="140"/>
      <c r="G203" s="266">
        <v>8.6977186311787023</v>
      </c>
      <c r="H203" s="266">
        <v>7.4333187581985101</v>
      </c>
      <c r="I203" s="266">
        <v>2.93040293040292</v>
      </c>
      <c r="J203" s="266">
        <v>-1.3839462238038749</v>
      </c>
      <c r="K203" s="266">
        <v>-3.7690457097032919</v>
      </c>
      <c r="L203" s="266">
        <v>3.4583333333333428</v>
      </c>
      <c r="M203" s="266">
        <v>10.430930326218288</v>
      </c>
      <c r="N203" s="266">
        <v>-2.4070021881838102</v>
      </c>
      <c r="O203" s="266">
        <v>-6.9133034379671159</v>
      </c>
      <c r="P203" s="266">
        <v>12.043356081894814</v>
      </c>
      <c r="Q203" s="266">
        <v>2.7946972411322122</v>
      </c>
      <c r="R203" s="266">
        <v>-4.6706169397002384</v>
      </c>
      <c r="S203" s="266">
        <v>8.3363802559415063</v>
      </c>
      <c r="T203" s="266">
        <v>7.8636517043536998</v>
      </c>
      <c r="U203" s="266">
        <v>-0.71964956195243701</v>
      </c>
      <c r="V203" s="266">
        <v>2.3006618342262755</v>
      </c>
      <c r="W203" s="266">
        <v>17.344423906346279</v>
      </c>
      <c r="X203" s="267">
        <v>-4.2268311892885322</v>
      </c>
    </row>
    <row r="204" spans="1:24" hidden="1" outlineLevel="2" x14ac:dyDescent="0.4">
      <c r="A204" s="130"/>
      <c r="B204" s="131"/>
      <c r="C204" s="131"/>
      <c r="D204" s="131" t="s">
        <v>273</v>
      </c>
      <c r="E204" s="134" t="s">
        <v>274</v>
      </c>
      <c r="F204" s="135"/>
      <c r="G204" s="263">
        <v>20.069580343552957</v>
      </c>
      <c r="H204" s="263">
        <v>16.841724013038757</v>
      </c>
      <c r="I204" s="263">
        <v>5.8276503409795453</v>
      </c>
      <c r="J204" s="263">
        <v>4.0861159929701358</v>
      </c>
      <c r="K204" s="263">
        <v>2.8141269171229055E-2</v>
      </c>
      <c r="L204" s="263">
        <v>17.217611478407662</v>
      </c>
      <c r="M204" s="263">
        <v>12.648505940237612</v>
      </c>
      <c r="N204" s="263">
        <v>9.9286246937253679</v>
      </c>
      <c r="O204" s="263">
        <v>14.507219691830599</v>
      </c>
      <c r="P204" s="263">
        <v>11.619837508463092</v>
      </c>
      <c r="Q204" s="263">
        <v>0.84919250890894205</v>
      </c>
      <c r="R204" s="263">
        <v>-9.2549432373505738</v>
      </c>
      <c r="S204" s="263">
        <v>-1.2593206296603086</v>
      </c>
      <c r="T204" s="263">
        <v>1.4431951669743341</v>
      </c>
      <c r="U204" s="263">
        <v>-13.101736972704714</v>
      </c>
      <c r="V204" s="263">
        <v>16.295450218922511</v>
      </c>
      <c r="W204" s="263">
        <v>19.471271893926996</v>
      </c>
      <c r="X204" s="268">
        <v>5.9601287935877139</v>
      </c>
    </row>
    <row r="205" spans="1:24" ht="112" hidden="1" outlineLevel="1" collapsed="1" x14ac:dyDescent="0.4">
      <c r="A205" s="151"/>
      <c r="B205" s="125"/>
      <c r="C205" s="126" t="s">
        <v>275</v>
      </c>
      <c r="D205" s="126"/>
      <c r="E205" s="127" t="s">
        <v>276</v>
      </c>
      <c r="F205" s="128"/>
      <c r="G205" s="261">
        <v>16.806433084434232</v>
      </c>
      <c r="H205" s="261">
        <v>14.673485444531863</v>
      </c>
      <c r="I205" s="261">
        <v>-4.4253859348198858</v>
      </c>
      <c r="J205" s="261">
        <v>-1.1396267049533293</v>
      </c>
      <c r="K205" s="261">
        <v>11.509485340836889</v>
      </c>
      <c r="L205" s="261">
        <v>6.1945461945462057</v>
      </c>
      <c r="M205" s="261">
        <v>12.187643722213707</v>
      </c>
      <c r="N205" s="261">
        <v>-1.1068597977589576</v>
      </c>
      <c r="O205" s="261">
        <v>1.291971811524121</v>
      </c>
      <c r="P205" s="261">
        <v>2.3395402769251774</v>
      </c>
      <c r="Q205" s="261">
        <v>4.31218341775525</v>
      </c>
      <c r="R205" s="261">
        <v>-12.587055140246633</v>
      </c>
      <c r="S205" s="261">
        <v>6.9146992178934283</v>
      </c>
      <c r="T205" s="261">
        <v>10.590004785670331</v>
      </c>
      <c r="U205" s="261">
        <v>-7.1154797230464908</v>
      </c>
      <c r="V205" s="261">
        <v>17.870216306156422</v>
      </c>
      <c r="W205" s="261">
        <v>20.801806888763409</v>
      </c>
      <c r="X205" s="262">
        <v>-3.0242123959988874</v>
      </c>
    </row>
    <row r="206" spans="1:24" ht="28" hidden="1" outlineLevel="2" x14ac:dyDescent="0.4">
      <c r="A206" s="130"/>
      <c r="B206" s="131"/>
      <c r="C206" s="131"/>
      <c r="D206" s="131" t="s">
        <v>277</v>
      </c>
      <c r="E206" s="134" t="s">
        <v>278</v>
      </c>
      <c r="F206" s="135"/>
      <c r="G206" s="263">
        <v>23.457901846015304</v>
      </c>
      <c r="H206" s="263">
        <v>12.107950401167031</v>
      </c>
      <c r="I206" s="263">
        <v>15.582303188028618</v>
      </c>
      <c r="J206" s="263">
        <v>4.1654939487756764</v>
      </c>
      <c r="K206" s="263">
        <v>16.698189678465283</v>
      </c>
      <c r="L206" s="263">
        <v>20.050937717064144</v>
      </c>
      <c r="M206" s="263">
        <v>10.684667309546782</v>
      </c>
      <c r="N206" s="263">
        <v>-6.3425683917058677</v>
      </c>
      <c r="O206" s="263">
        <v>6.1023255813953341</v>
      </c>
      <c r="P206" s="263">
        <v>4.2609153077327875</v>
      </c>
      <c r="Q206" s="263">
        <v>6.4413050790447528</v>
      </c>
      <c r="R206" s="263">
        <v>-1.9118344130194345</v>
      </c>
      <c r="S206" s="263">
        <v>7.7319587628865918</v>
      </c>
      <c r="T206" s="263">
        <v>14.697966507177028</v>
      </c>
      <c r="U206" s="263">
        <v>6.6744883326815341</v>
      </c>
      <c r="V206" s="263">
        <v>20.237076866674812</v>
      </c>
      <c r="W206" s="263">
        <v>16.566724260595606</v>
      </c>
      <c r="X206" s="268">
        <v>-5.8156770424622835</v>
      </c>
    </row>
    <row r="207" spans="1:24" ht="28" hidden="1" outlineLevel="2" x14ac:dyDescent="0.4">
      <c r="A207" s="124"/>
      <c r="B207" s="125"/>
      <c r="C207" s="125"/>
      <c r="D207" s="125" t="s">
        <v>279</v>
      </c>
      <c r="E207" s="139" t="s">
        <v>280</v>
      </c>
      <c r="F207" s="140"/>
      <c r="G207" s="266">
        <v>20.585906571654803</v>
      </c>
      <c r="H207" s="266">
        <v>16.611950098489814</v>
      </c>
      <c r="I207" s="266">
        <v>5.6306306306311171E-2</v>
      </c>
      <c r="J207" s="266">
        <v>-2.8137310073156954</v>
      </c>
      <c r="K207" s="266">
        <v>5.7903879559930544</v>
      </c>
      <c r="L207" s="266">
        <v>-6.0207991242474037</v>
      </c>
      <c r="M207" s="266">
        <v>5.8241118229474864E-2</v>
      </c>
      <c r="N207" s="266">
        <v>4.3073341094295614</v>
      </c>
      <c r="O207" s="266">
        <v>-3.515625</v>
      </c>
      <c r="P207" s="266">
        <v>11.046847888953153</v>
      </c>
      <c r="Q207" s="266">
        <v>10.520833333333329</v>
      </c>
      <c r="R207" s="266">
        <v>-7.6343072573044282</v>
      </c>
      <c r="S207" s="266">
        <v>7.7040816326530575</v>
      </c>
      <c r="T207" s="266">
        <v>5.4950260540028495</v>
      </c>
      <c r="U207" s="266">
        <v>-2.3798832510103267</v>
      </c>
      <c r="V207" s="266">
        <v>9.2916283348666013</v>
      </c>
      <c r="W207" s="266">
        <v>25.547138047138034</v>
      </c>
      <c r="X207" s="267">
        <v>5.7660073751257102</v>
      </c>
    </row>
    <row r="208" spans="1:24" ht="28" hidden="1" outlineLevel="2" x14ac:dyDescent="0.4">
      <c r="A208" s="130"/>
      <c r="B208" s="131"/>
      <c r="C208" s="131"/>
      <c r="D208" s="131" t="s">
        <v>281</v>
      </c>
      <c r="E208" s="134" t="s">
        <v>282</v>
      </c>
      <c r="F208" s="135"/>
      <c r="G208" s="263">
        <v>10.449129239230075</v>
      </c>
      <c r="H208" s="263">
        <v>10.705394190871374</v>
      </c>
      <c r="I208" s="263">
        <v>1.0244877561219425</v>
      </c>
      <c r="J208" s="263">
        <v>-0.4452139500371004</v>
      </c>
      <c r="K208" s="263">
        <v>-3.2795031055900665</v>
      </c>
      <c r="L208" s="263">
        <v>3.9815052658618129</v>
      </c>
      <c r="M208" s="263">
        <v>9.6590909090909207</v>
      </c>
      <c r="N208" s="263">
        <v>5.6769542689795003</v>
      </c>
      <c r="O208" s="263">
        <v>-3.9863568535493386</v>
      </c>
      <c r="P208" s="263">
        <v>2.9085257548845362</v>
      </c>
      <c r="Q208" s="263">
        <v>0.73354908306365019</v>
      </c>
      <c r="R208" s="263">
        <v>-30.670379096166201</v>
      </c>
      <c r="S208" s="263">
        <v>3.5217794253938877</v>
      </c>
      <c r="T208" s="263">
        <v>6.2369441957624616</v>
      </c>
      <c r="U208" s="263">
        <v>-13.286516853932582</v>
      </c>
      <c r="V208" s="263">
        <v>5.9604794298671919</v>
      </c>
      <c r="W208" s="263">
        <v>18.190155915622142</v>
      </c>
      <c r="X208" s="268">
        <v>10.993274702534933</v>
      </c>
    </row>
    <row r="209" spans="1:24" ht="42" hidden="1" outlineLevel="2" x14ac:dyDescent="0.4">
      <c r="A209" s="124"/>
      <c r="B209" s="125"/>
      <c r="C209" s="125"/>
      <c r="D209" s="125" t="s">
        <v>283</v>
      </c>
      <c r="E209" s="139" t="s">
        <v>284</v>
      </c>
      <c r="F209" s="140"/>
      <c r="G209" s="266">
        <v>17.453798767967157</v>
      </c>
      <c r="H209" s="266">
        <v>22.727272727272734</v>
      </c>
      <c r="I209" s="266">
        <v>-36.93019943019943</v>
      </c>
      <c r="J209" s="266">
        <v>-11.688311688311686</v>
      </c>
      <c r="K209" s="266">
        <v>43.606138107416882</v>
      </c>
      <c r="L209" s="266">
        <v>-6.6785396260017791</v>
      </c>
      <c r="M209" s="266">
        <v>30.725190839694648</v>
      </c>
      <c r="N209" s="266">
        <v>-4.5255474452554694</v>
      </c>
      <c r="O209" s="266">
        <v>4.1666666666666714</v>
      </c>
      <c r="P209" s="266">
        <v>-8.1467889908256979</v>
      </c>
      <c r="Q209" s="266">
        <v>1.1186576108669612</v>
      </c>
      <c r="R209" s="266">
        <v>-10.075069142631378</v>
      </c>
      <c r="S209" s="266">
        <v>8.8312829525483352</v>
      </c>
      <c r="T209" s="266">
        <v>9.7295115058538642</v>
      </c>
      <c r="U209" s="266">
        <v>-41.832229580573951</v>
      </c>
      <c r="V209" s="266">
        <v>40.670461733080344</v>
      </c>
      <c r="W209" s="266">
        <v>38.309352517985616</v>
      </c>
      <c r="X209" s="267">
        <v>-18.758127438231469</v>
      </c>
    </row>
    <row r="210" spans="1:24" ht="28" hidden="1" outlineLevel="1" collapsed="1" x14ac:dyDescent="0.4">
      <c r="A210" s="149"/>
      <c r="B210" s="131"/>
      <c r="C210" s="132" t="s">
        <v>285</v>
      </c>
      <c r="D210" s="132"/>
      <c r="E210" s="150" t="s">
        <v>286</v>
      </c>
      <c r="F210" s="136"/>
      <c r="G210" s="264">
        <v>12.186495176848865</v>
      </c>
      <c r="H210" s="264">
        <v>8.3691602178274564</v>
      </c>
      <c r="I210" s="264">
        <v>5.1838138058714662</v>
      </c>
      <c r="J210" s="264">
        <v>1.9109881820467791</v>
      </c>
      <c r="K210" s="264">
        <v>3.7503084135208411</v>
      </c>
      <c r="L210" s="264">
        <v>4.3281807372175933</v>
      </c>
      <c r="M210" s="264">
        <v>7.1575108274447103</v>
      </c>
      <c r="N210" s="264">
        <v>5.2967453733248249</v>
      </c>
      <c r="O210" s="264">
        <v>3.9393939393939377</v>
      </c>
      <c r="P210" s="264">
        <v>9.057337220602534</v>
      </c>
      <c r="Q210" s="264">
        <v>-0.39208697201924281</v>
      </c>
      <c r="R210" s="264">
        <v>-2.3081052066559238</v>
      </c>
      <c r="S210" s="264">
        <v>5.2564102564102626</v>
      </c>
      <c r="T210" s="264">
        <v>0.46981033582737552</v>
      </c>
      <c r="U210" s="264">
        <v>-7.3952199515067605</v>
      </c>
      <c r="V210" s="264">
        <v>25.098185898634753</v>
      </c>
      <c r="W210" s="264">
        <v>20.645836447899541</v>
      </c>
      <c r="X210" s="265">
        <v>1.7596034696406377</v>
      </c>
    </row>
    <row r="211" spans="1:24" hidden="1" outlineLevel="2" x14ac:dyDescent="0.4">
      <c r="A211" s="124"/>
      <c r="B211" s="125"/>
      <c r="C211" s="125"/>
      <c r="D211" s="125" t="s">
        <v>287</v>
      </c>
      <c r="E211" s="152" t="s">
        <v>288</v>
      </c>
      <c r="F211" s="140"/>
      <c r="G211" s="266">
        <v>9.5312499999999858</v>
      </c>
      <c r="H211" s="266">
        <v>12.410841654778878</v>
      </c>
      <c r="I211" s="266">
        <v>5.2030456852791787</v>
      </c>
      <c r="J211" s="266">
        <v>7.4185765983112191</v>
      </c>
      <c r="K211" s="266">
        <v>-2.2459292532285247</v>
      </c>
      <c r="L211" s="266">
        <v>5.5140723721998768</v>
      </c>
      <c r="M211" s="266">
        <v>8.1110506260206847</v>
      </c>
      <c r="N211" s="266">
        <v>7.351460221550866</v>
      </c>
      <c r="O211" s="266">
        <v>3.6116322701688546</v>
      </c>
      <c r="P211" s="266">
        <v>4.3911272068809524</v>
      </c>
      <c r="Q211" s="266">
        <v>0.65047701647876011</v>
      </c>
      <c r="R211" s="266">
        <v>-5.4286945282205892</v>
      </c>
      <c r="S211" s="266">
        <v>2.9157175398633228</v>
      </c>
      <c r="T211" s="266">
        <v>1.5936254980079667</v>
      </c>
      <c r="U211" s="266">
        <v>-11.328976034858385</v>
      </c>
      <c r="V211" s="266">
        <v>34.152334152334163</v>
      </c>
      <c r="W211" s="266">
        <v>13.186813186813183</v>
      </c>
      <c r="X211" s="267">
        <v>-4.3042071197410934</v>
      </c>
    </row>
    <row r="212" spans="1:24" hidden="1" outlineLevel="2" x14ac:dyDescent="0.4">
      <c r="A212" s="130"/>
      <c r="B212" s="131"/>
      <c r="C212" s="131"/>
      <c r="D212" s="131" t="s">
        <v>289</v>
      </c>
      <c r="E212" s="153" t="s">
        <v>290</v>
      </c>
      <c r="F212" s="135"/>
      <c r="G212" s="263">
        <v>14.04371584699453</v>
      </c>
      <c r="H212" s="263">
        <v>5.6540488739817931</v>
      </c>
      <c r="I212" s="263">
        <v>5.1700680272108883</v>
      </c>
      <c r="J212" s="263">
        <v>-2.0267356619232402</v>
      </c>
      <c r="K212" s="263">
        <v>8.4507042253521263</v>
      </c>
      <c r="L212" s="263">
        <v>3.4902597402597451</v>
      </c>
      <c r="M212" s="263">
        <v>6.470588235294116</v>
      </c>
      <c r="N212" s="263">
        <v>3.7937384898710746</v>
      </c>
      <c r="O212" s="263">
        <v>4.1873669268985196</v>
      </c>
      <c r="P212" s="263">
        <v>12.568119891008166</v>
      </c>
      <c r="Q212" s="263">
        <v>-1.1195158850226932</v>
      </c>
      <c r="R212" s="263">
        <v>-9.1799265605871483E-2</v>
      </c>
      <c r="S212" s="263">
        <v>6.8300153139356752</v>
      </c>
      <c r="T212" s="263">
        <v>-0.25802752293577669</v>
      </c>
      <c r="U212" s="263">
        <v>-4.8002299511353783</v>
      </c>
      <c r="V212" s="263">
        <v>19.535024154589365</v>
      </c>
      <c r="W212" s="263">
        <v>25.78934074261177</v>
      </c>
      <c r="X212" s="268">
        <v>5.5220883534136505</v>
      </c>
    </row>
    <row r="213" spans="1:24" ht="56" collapsed="1" x14ac:dyDescent="0.4">
      <c r="A213" s="144"/>
      <c r="B213" s="145" t="s">
        <v>291</v>
      </c>
      <c r="C213" s="145"/>
      <c r="D213" s="145"/>
      <c r="E213" s="146" t="s">
        <v>292</v>
      </c>
      <c r="F213" s="147"/>
      <c r="G213" s="269">
        <v>10.427918570835075</v>
      </c>
      <c r="H213" s="269">
        <v>11.038374717832951</v>
      </c>
      <c r="I213" s="269">
        <v>7.7115944975266046</v>
      </c>
      <c r="J213" s="269">
        <v>2.805913809374033</v>
      </c>
      <c r="K213" s="269">
        <v>8.9835383391469321</v>
      </c>
      <c r="L213" s="269">
        <v>8.4732438654612849</v>
      </c>
      <c r="M213" s="269">
        <v>5.9478206853711697</v>
      </c>
      <c r="N213" s="269">
        <v>6.351688083255965</v>
      </c>
      <c r="O213" s="269">
        <v>5.4210502136261312</v>
      </c>
      <c r="P213" s="269">
        <v>7.1991981522639037</v>
      </c>
      <c r="Q213" s="269">
        <v>12.297247855603885</v>
      </c>
      <c r="R213" s="269">
        <v>7.8373877787431212</v>
      </c>
      <c r="S213" s="269">
        <v>9.4900802309577443</v>
      </c>
      <c r="T213" s="269">
        <v>10.755457444199166</v>
      </c>
      <c r="U213" s="269">
        <v>7.546229653416006</v>
      </c>
      <c r="V213" s="269">
        <v>15.366795366795373</v>
      </c>
      <c r="W213" s="269">
        <v>22.690763052208823</v>
      </c>
      <c r="X213" s="270">
        <v>20.274595380978354</v>
      </c>
    </row>
    <row r="214" spans="1:24" hidden="1" outlineLevel="1" x14ac:dyDescent="0.4">
      <c r="A214" s="149"/>
      <c r="B214" s="132"/>
      <c r="C214" s="132" t="s">
        <v>293</v>
      </c>
      <c r="D214" s="132"/>
      <c r="E214" s="150" t="s">
        <v>294</v>
      </c>
      <c r="F214" s="136"/>
      <c r="G214" s="264">
        <v>10.784446551957743</v>
      </c>
      <c r="H214" s="264">
        <v>12.3639476580653</v>
      </c>
      <c r="I214" s="264">
        <v>10.350457117979971</v>
      </c>
      <c r="J214" s="264">
        <v>2.1501134234145383</v>
      </c>
      <c r="K214" s="264">
        <v>10.205658009075975</v>
      </c>
      <c r="L214" s="264">
        <v>9.9614508498335255</v>
      </c>
      <c r="M214" s="264">
        <v>8.1905824237112625</v>
      </c>
      <c r="N214" s="264">
        <v>7.6809779807055065</v>
      </c>
      <c r="O214" s="264">
        <v>6.7637806045684528</v>
      </c>
      <c r="P214" s="264">
        <v>7.8854653769777627</v>
      </c>
      <c r="Q214" s="264">
        <v>16.274789217432613</v>
      </c>
      <c r="R214" s="264">
        <v>5.5252004289434637</v>
      </c>
      <c r="S214" s="264">
        <v>9.3394628599080534</v>
      </c>
      <c r="T214" s="264">
        <v>11.250276609869431</v>
      </c>
      <c r="U214" s="264">
        <v>10.967895930301935</v>
      </c>
      <c r="V214" s="264">
        <v>13.46526134652612</v>
      </c>
      <c r="W214" s="264">
        <v>25.756714060031598</v>
      </c>
      <c r="X214" s="265">
        <v>24.591729058841267</v>
      </c>
    </row>
    <row r="215" spans="1:24" ht="28" hidden="1" outlineLevel="2" x14ac:dyDescent="0.4">
      <c r="A215" s="124"/>
      <c r="B215" s="125"/>
      <c r="C215" s="125"/>
      <c r="D215" s="125" t="s">
        <v>295</v>
      </c>
      <c r="E215" s="139" t="s">
        <v>296</v>
      </c>
      <c r="F215" s="140"/>
      <c r="G215" s="266">
        <v>8.0565707929445551</v>
      </c>
      <c r="H215" s="266">
        <v>10.117647058823522</v>
      </c>
      <c r="I215" s="266">
        <v>8.4001068376068417</v>
      </c>
      <c r="J215" s="266">
        <v>10.44720956018233</v>
      </c>
      <c r="K215" s="266">
        <v>10.38482989403235</v>
      </c>
      <c r="L215" s="266">
        <v>9.9333063864187636</v>
      </c>
      <c r="M215" s="266">
        <v>7.1881606765327604</v>
      </c>
      <c r="N215" s="266">
        <v>7.3664351256324494</v>
      </c>
      <c r="O215" s="266">
        <v>7.3402555910543157</v>
      </c>
      <c r="P215" s="266">
        <v>4.3009152466701295</v>
      </c>
      <c r="Q215" s="266">
        <v>14.75351359063994</v>
      </c>
      <c r="R215" s="266">
        <v>4.4140503574759009</v>
      </c>
      <c r="S215" s="266">
        <v>9.9196189342066106</v>
      </c>
      <c r="T215" s="266">
        <v>11.797844103786375</v>
      </c>
      <c r="U215" s="266">
        <v>10.858084209506274</v>
      </c>
      <c r="V215" s="266">
        <v>13.666958041958026</v>
      </c>
      <c r="W215" s="266">
        <v>27.18498865690006</v>
      </c>
      <c r="X215" s="267">
        <v>27.608307887656068</v>
      </c>
    </row>
    <row r="216" spans="1:24" ht="28" hidden="1" outlineLevel="2" x14ac:dyDescent="0.4">
      <c r="A216" s="130"/>
      <c r="B216" s="131"/>
      <c r="C216" s="131"/>
      <c r="D216" s="131" t="s">
        <v>297</v>
      </c>
      <c r="E216" s="134" t="s">
        <v>298</v>
      </c>
      <c r="F216" s="135"/>
      <c r="G216" s="263">
        <v>26.5625</v>
      </c>
      <c r="H216" s="263">
        <v>23.456790123456784</v>
      </c>
      <c r="I216" s="263">
        <v>18.941176470588232</v>
      </c>
      <c r="J216" s="263">
        <v>-31.157270029673583</v>
      </c>
      <c r="K216" s="263">
        <v>9.051724137931032</v>
      </c>
      <c r="L216" s="263">
        <v>10.14492753623189</v>
      </c>
      <c r="M216" s="263">
        <v>14.712918660287073</v>
      </c>
      <c r="N216" s="263">
        <v>9.5933263816475574</v>
      </c>
      <c r="O216" s="263">
        <v>3.3301617507136143</v>
      </c>
      <c r="P216" s="263">
        <v>30.064456721915292</v>
      </c>
      <c r="Q216" s="263">
        <v>23.823008849557525</v>
      </c>
      <c r="R216" s="263">
        <v>10.63464837049743</v>
      </c>
      <c r="S216" s="263">
        <v>6.8217054263565871</v>
      </c>
      <c r="T216" s="263">
        <v>8.8050314465408803</v>
      </c>
      <c r="U216" s="263">
        <v>11.471765228990677</v>
      </c>
      <c r="V216" s="263">
        <v>12.544874351814926</v>
      </c>
      <c r="W216" s="263">
        <v>19.174198121566533</v>
      </c>
      <c r="X216" s="268">
        <v>9.7397769516728516</v>
      </c>
    </row>
    <row r="217" spans="1:24" ht="42" hidden="1" outlineLevel="1" collapsed="1" x14ac:dyDescent="0.4">
      <c r="A217" s="151"/>
      <c r="B217" s="126"/>
      <c r="C217" s="126" t="s">
        <v>299</v>
      </c>
      <c r="D217" s="126"/>
      <c r="E217" s="127" t="s">
        <v>300</v>
      </c>
      <c r="F217" s="128"/>
      <c r="G217" s="261">
        <v>9.8624838848302687</v>
      </c>
      <c r="H217" s="261">
        <v>8.9184431840406688</v>
      </c>
      <c r="I217" s="261">
        <v>3.3578739450529866</v>
      </c>
      <c r="J217" s="261">
        <v>3.9610840861709562</v>
      </c>
      <c r="K217" s="261">
        <v>6.8683155080213822</v>
      </c>
      <c r="L217" s="261">
        <v>5.8170445660672385</v>
      </c>
      <c r="M217" s="261">
        <v>1.7880892566868596</v>
      </c>
      <c r="N217" s="261">
        <v>3.7311265969802463</v>
      </c>
      <c r="O217" s="261">
        <v>2.6731980405878346</v>
      </c>
      <c r="P217" s="261">
        <v>5.7388222464558396</v>
      </c>
      <c r="Q217" s="261">
        <v>3.6612092303725632</v>
      </c>
      <c r="R217" s="261">
        <v>13.468474070389249</v>
      </c>
      <c r="S217" s="261">
        <v>9.8312143796580358</v>
      </c>
      <c r="T217" s="261">
        <v>9.639756511326226</v>
      </c>
      <c r="U217" s="261">
        <v>-0.2821516337489669</v>
      </c>
      <c r="V217" s="261">
        <v>20.208105147864174</v>
      </c>
      <c r="W217" s="261">
        <v>15.322703113135901</v>
      </c>
      <c r="X217" s="262">
        <v>8.9676060047405741</v>
      </c>
    </row>
    <row r="218" spans="1:24" hidden="1" outlineLevel="2" x14ac:dyDescent="0.4">
      <c r="A218" s="130"/>
      <c r="B218" s="131"/>
      <c r="C218" s="131"/>
      <c r="D218" s="131" t="s">
        <v>301</v>
      </c>
      <c r="E218" s="134" t="s">
        <v>302</v>
      </c>
      <c r="F218" s="135"/>
      <c r="G218" s="263">
        <v>1.7088174982911966</v>
      </c>
      <c r="H218" s="263">
        <v>6.0483870967742064</v>
      </c>
      <c r="I218" s="263">
        <v>10.0126742712294</v>
      </c>
      <c r="J218" s="263">
        <v>2.8225806451612954</v>
      </c>
      <c r="K218" s="263">
        <v>3.8655462184874096</v>
      </c>
      <c r="L218" s="263">
        <v>5.8252427184466029</v>
      </c>
      <c r="M218" s="263">
        <v>5.963302752293572</v>
      </c>
      <c r="N218" s="263">
        <v>4.7619047619047734</v>
      </c>
      <c r="O218" s="263">
        <v>4.1322314049586879</v>
      </c>
      <c r="P218" s="263">
        <v>4.7619047619047734</v>
      </c>
      <c r="Q218" s="263">
        <v>5.3030303030302974</v>
      </c>
      <c r="R218" s="263">
        <v>8.0335731414868121</v>
      </c>
      <c r="S218" s="263">
        <v>11.431742508324078</v>
      </c>
      <c r="T218" s="263">
        <v>8.3333333333333286</v>
      </c>
      <c r="U218" s="263">
        <v>3.3404842169782398</v>
      </c>
      <c r="V218" s="263">
        <v>6.3167259786476961</v>
      </c>
      <c r="W218" s="263">
        <v>8.7029288702928937</v>
      </c>
      <c r="X218" s="268">
        <v>14.60097510905824</v>
      </c>
    </row>
    <row r="219" spans="1:24" ht="42" hidden="1" outlineLevel="2" x14ac:dyDescent="0.4">
      <c r="A219" s="124"/>
      <c r="B219" s="125"/>
      <c r="C219" s="125"/>
      <c r="D219" s="125" t="s">
        <v>303</v>
      </c>
      <c r="E219" s="139" t="s">
        <v>304</v>
      </c>
      <c r="F219" s="140"/>
      <c r="G219" s="266">
        <v>14.997754827121696</v>
      </c>
      <c r="H219" s="266">
        <v>10.54275673565013</v>
      </c>
      <c r="I219" s="266">
        <v>5.2631578947368354</v>
      </c>
      <c r="J219" s="266">
        <v>6.5436241610738364</v>
      </c>
      <c r="K219" s="266">
        <v>6.8031496062992147</v>
      </c>
      <c r="L219" s="266">
        <v>3.8041875552934101</v>
      </c>
      <c r="M219" s="266">
        <v>2.2727272727272663</v>
      </c>
      <c r="N219" s="266">
        <v>3.8611111111111143</v>
      </c>
      <c r="O219" s="266">
        <v>4.6536507087456584</v>
      </c>
      <c r="P219" s="266">
        <v>3.9611551239458151</v>
      </c>
      <c r="Q219" s="266">
        <v>3.8102261553589045</v>
      </c>
      <c r="R219" s="266">
        <v>17.002131186360401</v>
      </c>
      <c r="S219" s="266">
        <v>10.261080752884027</v>
      </c>
      <c r="T219" s="266">
        <v>13.050660792951547</v>
      </c>
      <c r="U219" s="266">
        <v>-2.8576067543432373</v>
      </c>
      <c r="V219" s="266">
        <v>9.5437071703158978</v>
      </c>
      <c r="W219" s="266">
        <v>13.899908452853225</v>
      </c>
      <c r="X219" s="267">
        <v>14.601473543201607</v>
      </c>
    </row>
    <row r="220" spans="1:24" hidden="1" outlineLevel="2" x14ac:dyDescent="0.4">
      <c r="A220" s="130"/>
      <c r="B220" s="131"/>
      <c r="C220" s="131"/>
      <c r="D220" s="131" t="s">
        <v>305</v>
      </c>
      <c r="E220" s="134" t="s">
        <v>306</v>
      </c>
      <c r="F220" s="135"/>
      <c r="G220" s="263">
        <v>10.373443983402495</v>
      </c>
      <c r="H220" s="263">
        <v>9.0225563909774422</v>
      </c>
      <c r="I220" s="263">
        <v>-10.34482758620689</v>
      </c>
      <c r="J220" s="263">
        <v>-1.538461538461533</v>
      </c>
      <c r="K220" s="263">
        <v>12.3046875</v>
      </c>
      <c r="L220" s="263">
        <v>11.739130434782609</v>
      </c>
      <c r="M220" s="263">
        <v>-5.9143968871595405</v>
      </c>
      <c r="N220" s="263">
        <v>1.5715467328370636</v>
      </c>
      <c r="O220" s="263">
        <v>-5.9446254071661286</v>
      </c>
      <c r="P220" s="263">
        <v>13.679653679653669</v>
      </c>
      <c r="Q220" s="263">
        <v>0.22848438690022022</v>
      </c>
      <c r="R220" s="263">
        <v>12.462006079027361</v>
      </c>
      <c r="S220" s="263">
        <v>5.4729729729729826</v>
      </c>
      <c r="T220" s="263">
        <v>0.25624599615629506</v>
      </c>
      <c r="U220" s="263">
        <v>2.3003194888178768</v>
      </c>
      <c r="V220" s="263">
        <v>89.319175515302931</v>
      </c>
      <c r="W220" s="263">
        <v>26.228967337512358</v>
      </c>
      <c r="X220" s="268">
        <v>-7.7888133821223136</v>
      </c>
    </row>
    <row r="221" spans="1:24" collapsed="1" x14ac:dyDescent="0.4">
      <c r="A221" s="144"/>
      <c r="B221" s="145" t="s">
        <v>307</v>
      </c>
      <c r="C221" s="145"/>
      <c r="D221" s="145"/>
      <c r="E221" s="146" t="s">
        <v>308</v>
      </c>
      <c r="F221" s="147"/>
      <c r="G221" s="269">
        <v>21.921609434616713</v>
      </c>
      <c r="H221" s="269">
        <v>17.274537695590325</v>
      </c>
      <c r="I221" s="269">
        <v>22.691766532434144</v>
      </c>
      <c r="J221" s="269">
        <v>14.754033533691867</v>
      </c>
      <c r="K221" s="269">
        <v>2.6086357214238944</v>
      </c>
      <c r="L221" s="269">
        <v>15.737506716818899</v>
      </c>
      <c r="M221" s="269">
        <v>17.187046602054437</v>
      </c>
      <c r="N221" s="269">
        <v>19.648384301101899</v>
      </c>
      <c r="O221" s="269">
        <v>14.999999999999986</v>
      </c>
      <c r="P221" s="269">
        <v>4.4522027065937237</v>
      </c>
      <c r="Q221" s="269">
        <v>10.824919885600082</v>
      </c>
      <c r="R221" s="269">
        <v>0.2316362223085946</v>
      </c>
      <c r="S221" s="269">
        <v>0.9864441480286672</v>
      </c>
      <c r="T221" s="269">
        <v>0.25648901858392037</v>
      </c>
      <c r="U221" s="269">
        <v>-27.410879789206007</v>
      </c>
      <c r="V221" s="269">
        <v>6.0167989194664955</v>
      </c>
      <c r="W221" s="269">
        <v>15.204538668259175</v>
      </c>
      <c r="X221" s="270">
        <v>7.0499196516510239</v>
      </c>
    </row>
    <row r="222" spans="1:24" hidden="1" outlineLevel="1" x14ac:dyDescent="0.4">
      <c r="A222" s="149"/>
      <c r="B222" s="132"/>
      <c r="C222" s="132" t="s">
        <v>309</v>
      </c>
      <c r="D222" s="132"/>
      <c r="E222" s="150" t="s">
        <v>310</v>
      </c>
      <c r="F222" s="136"/>
      <c r="G222" s="264">
        <v>20.380827314510825</v>
      </c>
      <c r="H222" s="264">
        <v>13.515872150103633</v>
      </c>
      <c r="I222" s="264">
        <v>26.234864501249277</v>
      </c>
      <c r="J222" s="264">
        <v>10.604445797807543</v>
      </c>
      <c r="K222" s="264">
        <v>4.4806937848441066</v>
      </c>
      <c r="L222" s="264">
        <v>13.254281949934125</v>
      </c>
      <c r="M222" s="264">
        <v>19.90460679385761</v>
      </c>
      <c r="N222" s="264">
        <v>21.213738236150178</v>
      </c>
      <c r="O222" s="264">
        <v>14.215392003841984</v>
      </c>
      <c r="P222" s="264">
        <v>5.5082518658677628</v>
      </c>
      <c r="Q222" s="264">
        <v>12.480488857892453</v>
      </c>
      <c r="R222" s="264">
        <v>-6.4277067524875235</v>
      </c>
      <c r="S222" s="264">
        <v>1.3347216963271507</v>
      </c>
      <c r="T222" s="264">
        <v>-6.5390004670714603</v>
      </c>
      <c r="U222" s="264">
        <v>-27.912710311510907</v>
      </c>
      <c r="V222" s="264">
        <v>9.9413042473540685</v>
      </c>
      <c r="W222" s="264">
        <v>22.578611064402224</v>
      </c>
      <c r="X222" s="265">
        <v>11.540176274906557</v>
      </c>
    </row>
    <row r="223" spans="1:24" hidden="1" outlineLevel="2" x14ac:dyDescent="0.4">
      <c r="A223" s="124"/>
      <c r="B223" s="125"/>
      <c r="C223" s="125"/>
      <c r="D223" s="125" t="s">
        <v>311</v>
      </c>
      <c r="E223" s="139" t="s">
        <v>310</v>
      </c>
      <c r="F223" s="140"/>
      <c r="G223" s="266">
        <v>20.380827314510825</v>
      </c>
      <c r="H223" s="266">
        <v>13.515872150103633</v>
      </c>
      <c r="I223" s="266">
        <v>26.234864501249277</v>
      </c>
      <c r="J223" s="266">
        <v>10.604445797807543</v>
      </c>
      <c r="K223" s="266">
        <v>4.4806937848441066</v>
      </c>
      <c r="L223" s="266">
        <v>13.254281949934125</v>
      </c>
      <c r="M223" s="266">
        <v>19.90460679385761</v>
      </c>
      <c r="N223" s="266">
        <v>21.213738236150178</v>
      </c>
      <c r="O223" s="266">
        <v>14.215392003841984</v>
      </c>
      <c r="P223" s="266">
        <v>5.5082518658677628</v>
      </c>
      <c r="Q223" s="266">
        <v>12.480488857892453</v>
      </c>
      <c r="R223" s="266">
        <v>-6.4277067524875235</v>
      </c>
      <c r="S223" s="266">
        <v>1.3347216963271507</v>
      </c>
      <c r="T223" s="266">
        <v>-6.5390004670714603</v>
      </c>
      <c r="U223" s="266">
        <v>-27.912710311510907</v>
      </c>
      <c r="V223" s="266">
        <v>9.9413042473540685</v>
      </c>
      <c r="W223" s="266">
        <v>22.578611064402224</v>
      </c>
      <c r="X223" s="267">
        <v>11.540176274906557</v>
      </c>
    </row>
    <row r="224" spans="1:24" ht="28" hidden="1" outlineLevel="1" x14ac:dyDescent="0.4">
      <c r="A224" s="149"/>
      <c r="B224" s="132"/>
      <c r="C224" s="132" t="s">
        <v>312</v>
      </c>
      <c r="D224" s="132"/>
      <c r="E224" s="150" t="s">
        <v>313</v>
      </c>
      <c r="F224" s="136"/>
      <c r="G224" s="264">
        <v>23.21221939365887</v>
      </c>
      <c r="H224" s="264">
        <v>24.2862509391435</v>
      </c>
      <c r="I224" s="264">
        <v>12.98171376756838</v>
      </c>
      <c r="J224" s="264">
        <v>23.50187265917603</v>
      </c>
      <c r="K224" s="264">
        <v>-2.3719267843604399</v>
      </c>
      <c r="L224" s="264">
        <v>20.301752828932763</v>
      </c>
      <c r="M224" s="264">
        <v>8.8989302840280402</v>
      </c>
      <c r="N224" s="264">
        <v>13.845372173765782</v>
      </c>
      <c r="O224" s="264">
        <v>14.913716155905973</v>
      </c>
      <c r="P224" s="264">
        <v>2.9581202666839204</v>
      </c>
      <c r="Q224" s="264">
        <v>-1.0310574625927273</v>
      </c>
      <c r="R224" s="264">
        <v>8.5376699275822716</v>
      </c>
      <c r="S224" s="264">
        <v>-0.81938429123258061</v>
      </c>
      <c r="T224" s="264">
        <v>18.293402572878549</v>
      </c>
      <c r="U224" s="264">
        <v>-23.381223186670653</v>
      </c>
      <c r="V224" s="264">
        <v>-3.3986587668467934</v>
      </c>
      <c r="W224" s="264">
        <v>5.6547819640089045</v>
      </c>
      <c r="X224" s="265">
        <v>-1.8946159734626207</v>
      </c>
    </row>
    <row r="225" spans="1:24" ht="28" hidden="1" outlineLevel="2" x14ac:dyDescent="0.4">
      <c r="A225" s="124"/>
      <c r="B225" s="125"/>
      <c r="C225" s="125"/>
      <c r="D225" s="125" t="s">
        <v>314</v>
      </c>
      <c r="E225" s="139" t="s">
        <v>313</v>
      </c>
      <c r="F225" s="140"/>
      <c r="G225" s="266">
        <v>23.21221939365887</v>
      </c>
      <c r="H225" s="266">
        <v>24.2862509391435</v>
      </c>
      <c r="I225" s="266">
        <v>12.98171376756838</v>
      </c>
      <c r="J225" s="266">
        <v>23.50187265917603</v>
      </c>
      <c r="K225" s="266">
        <v>-2.3719267843604399</v>
      </c>
      <c r="L225" s="266">
        <v>20.301752828932763</v>
      </c>
      <c r="M225" s="266">
        <v>8.8989302840280402</v>
      </c>
      <c r="N225" s="266">
        <v>13.845372173765782</v>
      </c>
      <c r="O225" s="266">
        <v>14.913716155905973</v>
      </c>
      <c r="P225" s="266">
        <v>2.9581202666839204</v>
      </c>
      <c r="Q225" s="266">
        <v>-1.0310574625927273</v>
      </c>
      <c r="R225" s="266">
        <v>8.5376699275822716</v>
      </c>
      <c r="S225" s="266">
        <v>-0.81938429123258061</v>
      </c>
      <c r="T225" s="266">
        <v>18.293402572878549</v>
      </c>
      <c r="U225" s="266">
        <v>-23.381223186670653</v>
      </c>
      <c r="V225" s="266">
        <v>-3.3986587668467934</v>
      </c>
      <c r="W225" s="266">
        <v>5.6547819640089045</v>
      </c>
      <c r="X225" s="267">
        <v>-1.8946159734626207</v>
      </c>
    </row>
    <row r="226" spans="1:24" ht="42" hidden="1" outlineLevel="1" collapsed="1" x14ac:dyDescent="0.4">
      <c r="A226" s="149"/>
      <c r="B226" s="132"/>
      <c r="C226" s="132" t="s">
        <v>315</v>
      </c>
      <c r="D226" s="132"/>
      <c r="E226" s="150" t="s">
        <v>316</v>
      </c>
      <c r="F226" s="136"/>
      <c r="G226" s="264">
        <v>24.405002016942319</v>
      </c>
      <c r="H226" s="264">
        <v>16.342412451361881</v>
      </c>
      <c r="I226" s="264">
        <v>30.323299888517283</v>
      </c>
      <c r="J226" s="264">
        <v>12.425149700598809</v>
      </c>
      <c r="K226" s="264">
        <v>6.182233212859046</v>
      </c>
      <c r="L226" s="264">
        <v>15.120028663561456</v>
      </c>
      <c r="M226" s="264">
        <v>23.902894491129786</v>
      </c>
      <c r="N226" s="264">
        <v>24.20246169304194</v>
      </c>
      <c r="O226" s="264">
        <v>17.099807867327343</v>
      </c>
      <c r="P226" s="264">
        <v>3.8428324697754874</v>
      </c>
      <c r="Q226" s="264">
        <v>22.36174636174637</v>
      </c>
      <c r="R226" s="264">
        <v>6.673915998368912</v>
      </c>
      <c r="S226" s="264">
        <v>2.2489806320081556</v>
      </c>
      <c r="T226" s="264">
        <v>-5.1903545392236339</v>
      </c>
      <c r="U226" s="264">
        <v>-31.72975814931651</v>
      </c>
      <c r="V226" s="264">
        <v>11.763573353869859</v>
      </c>
      <c r="W226" s="264">
        <v>12.299741602067201</v>
      </c>
      <c r="X226" s="265">
        <v>7.7695965638901612</v>
      </c>
    </row>
    <row r="227" spans="1:24" ht="42" hidden="1" outlineLevel="2" x14ac:dyDescent="0.4">
      <c r="A227" s="124"/>
      <c r="B227" s="125"/>
      <c r="C227" s="125"/>
      <c r="D227" s="125" t="s">
        <v>317</v>
      </c>
      <c r="E227" s="139" t="s">
        <v>316</v>
      </c>
      <c r="F227" s="140"/>
      <c r="G227" s="266">
        <v>24.405002016942319</v>
      </c>
      <c r="H227" s="266">
        <v>16.342412451361881</v>
      </c>
      <c r="I227" s="266">
        <v>30.323299888517283</v>
      </c>
      <c r="J227" s="266">
        <v>12.425149700598809</v>
      </c>
      <c r="K227" s="266">
        <v>6.182233212859046</v>
      </c>
      <c r="L227" s="266">
        <v>15.120028663561456</v>
      </c>
      <c r="M227" s="266">
        <v>23.902894491129786</v>
      </c>
      <c r="N227" s="266">
        <v>24.20246169304194</v>
      </c>
      <c r="O227" s="266">
        <v>17.099807867327343</v>
      </c>
      <c r="P227" s="266">
        <v>3.8428324697754874</v>
      </c>
      <c r="Q227" s="266">
        <v>22.36174636174637</v>
      </c>
      <c r="R227" s="266">
        <v>6.673915998368912</v>
      </c>
      <c r="S227" s="266">
        <v>2.2489806320081556</v>
      </c>
      <c r="T227" s="266">
        <v>-5.1903545392236339</v>
      </c>
      <c r="U227" s="266">
        <v>-31.72975814931651</v>
      </c>
      <c r="V227" s="266">
        <v>11.763573353869859</v>
      </c>
      <c r="W227" s="266">
        <v>12.299741602067201</v>
      </c>
      <c r="X227" s="267">
        <v>7.7695965638901612</v>
      </c>
    </row>
    <row r="228" spans="1:24" ht="42" collapsed="1" x14ac:dyDescent="0.4">
      <c r="A228" s="119"/>
      <c r="B228" s="120" t="s">
        <v>318</v>
      </c>
      <c r="C228" s="120"/>
      <c r="D228" s="120"/>
      <c r="E228" s="121" t="s">
        <v>319</v>
      </c>
      <c r="F228" s="122"/>
      <c r="G228" s="259">
        <v>13.172366073054363</v>
      </c>
      <c r="H228" s="259">
        <v>14.866778221135291</v>
      </c>
      <c r="I228" s="259">
        <v>5.9446436575526747</v>
      </c>
      <c r="J228" s="259">
        <v>5.3770691205246237</v>
      </c>
      <c r="K228" s="259">
        <v>6.5530783032006497</v>
      </c>
      <c r="L228" s="259">
        <v>9.5353601959352829</v>
      </c>
      <c r="M228" s="259">
        <v>5.8952528379772957</v>
      </c>
      <c r="N228" s="259">
        <v>11.470134405327485</v>
      </c>
      <c r="O228" s="259">
        <v>9.8991867549427752</v>
      </c>
      <c r="P228" s="259">
        <v>12.224367526537776</v>
      </c>
      <c r="Q228" s="259">
        <v>12.740993435674781</v>
      </c>
      <c r="R228" s="259">
        <v>6.7904954022687463</v>
      </c>
      <c r="S228" s="259">
        <v>6.5353384196452708</v>
      </c>
      <c r="T228" s="259">
        <v>8.3807308817095389</v>
      </c>
      <c r="U228" s="259">
        <v>-9.6639860622735938</v>
      </c>
      <c r="V228" s="259">
        <v>27.378992426736914</v>
      </c>
      <c r="W228" s="259">
        <v>25.012001698701965</v>
      </c>
      <c r="X228" s="260">
        <v>9.1905723706802576</v>
      </c>
    </row>
    <row r="229" spans="1:24" ht="28" hidden="1" outlineLevel="1" x14ac:dyDescent="0.4">
      <c r="A229" s="151"/>
      <c r="B229" s="126"/>
      <c r="C229" s="126" t="s">
        <v>320</v>
      </c>
      <c r="D229" s="126"/>
      <c r="E229" s="127" t="s">
        <v>321</v>
      </c>
      <c r="F229" s="128"/>
      <c r="G229" s="261">
        <v>11.909193644884681</v>
      </c>
      <c r="H229" s="261">
        <v>11.90115536546972</v>
      </c>
      <c r="I229" s="261">
        <v>5.5446438050748412</v>
      </c>
      <c r="J229" s="261">
        <v>1.5113793537030062</v>
      </c>
      <c r="K229" s="261">
        <v>5.7077738690977498</v>
      </c>
      <c r="L229" s="261">
        <v>11.685024607452533</v>
      </c>
      <c r="M229" s="261">
        <v>3.5987074030552293</v>
      </c>
      <c r="N229" s="261">
        <v>7.5996030058131225</v>
      </c>
      <c r="O229" s="261">
        <v>7.2059183404551703</v>
      </c>
      <c r="P229" s="261">
        <v>13.897912240346955</v>
      </c>
      <c r="Q229" s="261">
        <v>16.244257392162311</v>
      </c>
      <c r="R229" s="261">
        <v>7.6190602495921951</v>
      </c>
      <c r="S229" s="261">
        <v>6.8492137822250783</v>
      </c>
      <c r="T229" s="261">
        <v>11.232209997001362</v>
      </c>
      <c r="U229" s="261">
        <v>1.397687801337554</v>
      </c>
      <c r="V229" s="261">
        <v>25.657255631793689</v>
      </c>
      <c r="W229" s="261">
        <v>22.618078838579464</v>
      </c>
      <c r="X229" s="262">
        <v>8.7278833008136587</v>
      </c>
    </row>
    <row r="230" spans="1:24" ht="56" hidden="1" outlineLevel="2" x14ac:dyDescent="0.4">
      <c r="A230" s="130"/>
      <c r="B230" s="131"/>
      <c r="C230" s="131"/>
      <c r="D230" s="131" t="s">
        <v>322</v>
      </c>
      <c r="E230" s="134" t="s">
        <v>323</v>
      </c>
      <c r="F230" s="135"/>
      <c r="G230" s="263">
        <v>12.114331026528262</v>
      </c>
      <c r="H230" s="263">
        <v>11.994856132454586</v>
      </c>
      <c r="I230" s="263">
        <v>5.5000574118727883</v>
      </c>
      <c r="J230" s="263">
        <v>0.35100130605137281</v>
      </c>
      <c r="K230" s="263">
        <v>5.2981209837043508</v>
      </c>
      <c r="L230" s="263">
        <v>12.35998455001932</v>
      </c>
      <c r="M230" s="263">
        <v>2.7867537527214381</v>
      </c>
      <c r="N230" s="263">
        <v>7.6787585561079936</v>
      </c>
      <c r="O230" s="263">
        <v>7.1104669220416241</v>
      </c>
      <c r="P230" s="263">
        <v>14.827272903013778</v>
      </c>
      <c r="Q230" s="263">
        <v>16.862236737992234</v>
      </c>
      <c r="R230" s="263">
        <v>7.2952531873514488</v>
      </c>
      <c r="S230" s="263">
        <v>6.8153439224479371</v>
      </c>
      <c r="T230" s="263">
        <v>11.754132361259508</v>
      </c>
      <c r="U230" s="263">
        <v>2.6994803500326299</v>
      </c>
      <c r="V230" s="263">
        <v>25.781438240641364</v>
      </c>
      <c r="W230" s="263">
        <v>22.987304738519398</v>
      </c>
      <c r="X230" s="268">
        <v>8.9298104017104833</v>
      </c>
    </row>
    <row r="231" spans="1:24" ht="28" hidden="1" outlineLevel="2" x14ac:dyDescent="0.4">
      <c r="A231" s="124"/>
      <c r="B231" s="125"/>
      <c r="C231" s="125"/>
      <c r="D231" s="125" t="s">
        <v>324</v>
      </c>
      <c r="E231" s="139" t="s">
        <v>325</v>
      </c>
      <c r="F231" s="140"/>
      <c r="G231" s="266">
        <v>9.4790777113578031</v>
      </c>
      <c r="H231" s="266">
        <v>10.764430577223095</v>
      </c>
      <c r="I231" s="266">
        <v>6.0915492957746409</v>
      </c>
      <c r="J231" s="266">
        <v>15.665449717889146</v>
      </c>
      <c r="K231" s="266">
        <v>10.043041606886646</v>
      </c>
      <c r="L231" s="266">
        <v>4.8500651890482516</v>
      </c>
      <c r="M231" s="266">
        <v>12.40984829644367</v>
      </c>
      <c r="N231" s="266">
        <v>6.8141592920353986</v>
      </c>
      <c r="O231" s="266">
        <v>8.1607290803645327</v>
      </c>
      <c r="P231" s="266">
        <v>4.6916890080428857</v>
      </c>
      <c r="Q231" s="266">
        <v>9.5299067130053032</v>
      </c>
      <c r="R231" s="266">
        <v>11.37274549098197</v>
      </c>
      <c r="S231" s="266">
        <v>7.2274703853651374</v>
      </c>
      <c r="T231" s="266">
        <v>5.4258145713886279</v>
      </c>
      <c r="U231" s="266">
        <v>-13.954105319007823</v>
      </c>
      <c r="V231" s="266">
        <v>23.90935717589025</v>
      </c>
      <c r="W231" s="266">
        <v>17.34262254292112</v>
      </c>
      <c r="X231" s="267">
        <v>5.7039864291772631</v>
      </c>
    </row>
    <row r="232" spans="1:24" hidden="1" outlineLevel="1" collapsed="1" x14ac:dyDescent="0.4">
      <c r="A232" s="149"/>
      <c r="B232" s="132"/>
      <c r="C232" s="132" t="s">
        <v>326</v>
      </c>
      <c r="D232" s="132"/>
      <c r="E232" s="150" t="s">
        <v>327</v>
      </c>
      <c r="F232" s="136"/>
      <c r="G232" s="264">
        <v>14.388489208633089</v>
      </c>
      <c r="H232" s="264">
        <v>17.181499415595255</v>
      </c>
      <c r="I232" s="264">
        <v>3.0493017953833004</v>
      </c>
      <c r="J232" s="264">
        <v>8.743547197640126</v>
      </c>
      <c r="K232" s="264">
        <v>3.1534777264442795</v>
      </c>
      <c r="L232" s="264">
        <v>5.2389365985947336</v>
      </c>
      <c r="M232" s="264">
        <v>4.080118694362028</v>
      </c>
      <c r="N232" s="264">
        <v>18.400420152305202</v>
      </c>
      <c r="O232" s="264">
        <v>13.959825106140286</v>
      </c>
      <c r="P232" s="264">
        <v>13.164479537366546</v>
      </c>
      <c r="Q232" s="264">
        <v>8.2180674643146574</v>
      </c>
      <c r="R232" s="264">
        <v>2.9672175808209289</v>
      </c>
      <c r="S232" s="264">
        <v>7.4677543820967855</v>
      </c>
      <c r="T232" s="264">
        <v>5.6952935866398491</v>
      </c>
      <c r="U232" s="264">
        <v>-17.298808183547493</v>
      </c>
      <c r="V232" s="264">
        <v>20.865605783223032</v>
      </c>
      <c r="W232" s="264">
        <v>31.328646885194956</v>
      </c>
      <c r="X232" s="265">
        <v>7.8886276597317675</v>
      </c>
    </row>
    <row r="233" spans="1:24" hidden="1" outlineLevel="2" x14ac:dyDescent="0.4">
      <c r="A233" s="124"/>
      <c r="B233" s="125"/>
      <c r="C233" s="125"/>
      <c r="D233" s="125" t="s">
        <v>328</v>
      </c>
      <c r="E233" s="139" t="s">
        <v>329</v>
      </c>
      <c r="F233" s="140"/>
      <c r="G233" s="266">
        <v>11.839341967098349</v>
      </c>
      <c r="H233" s="266">
        <v>18.895235114623276</v>
      </c>
      <c r="I233" s="266">
        <v>1.1055540931824197</v>
      </c>
      <c r="J233" s="266">
        <v>10.374902369174691</v>
      </c>
      <c r="K233" s="266">
        <v>3.314070055431074</v>
      </c>
      <c r="L233" s="266">
        <v>2.0947488584474883</v>
      </c>
      <c r="M233" s="266">
        <v>2.3536646726673069</v>
      </c>
      <c r="N233" s="266">
        <v>20.226130653266324</v>
      </c>
      <c r="O233" s="266">
        <v>15.001590114033903</v>
      </c>
      <c r="P233" s="266">
        <v>10.093627780192008</v>
      </c>
      <c r="Q233" s="266">
        <v>9.7925936558059306</v>
      </c>
      <c r="R233" s="266">
        <v>3.0362453835343359</v>
      </c>
      <c r="S233" s="266">
        <v>6.3915498318847881</v>
      </c>
      <c r="T233" s="266">
        <v>4.3558629736740073</v>
      </c>
      <c r="U233" s="266">
        <v>-11.956459630878243</v>
      </c>
      <c r="V233" s="266">
        <v>16.380569166369213</v>
      </c>
      <c r="W233" s="266">
        <v>26.557925554161429</v>
      </c>
      <c r="X233" s="267">
        <v>8.6913417052214186</v>
      </c>
    </row>
    <row r="234" spans="1:24" hidden="1" outlineLevel="2" x14ac:dyDescent="0.4">
      <c r="A234" s="130"/>
      <c r="B234" s="131"/>
      <c r="C234" s="131"/>
      <c r="D234" s="131" t="s">
        <v>330</v>
      </c>
      <c r="E234" s="134" t="s">
        <v>331</v>
      </c>
      <c r="F234" s="135"/>
      <c r="G234" s="263">
        <v>8.2901554404145088</v>
      </c>
      <c r="H234" s="263">
        <v>20.574162679425839</v>
      </c>
      <c r="I234" s="263">
        <v>14.682539682539669</v>
      </c>
      <c r="J234" s="263">
        <v>-1.0380622837370339</v>
      </c>
      <c r="K234" s="263">
        <v>-15.034965034965026</v>
      </c>
      <c r="L234" s="263">
        <v>-20.164609053497941</v>
      </c>
      <c r="M234" s="263">
        <v>-14.432989690721655</v>
      </c>
      <c r="N234" s="263">
        <v>12.048192771084331</v>
      </c>
      <c r="O234" s="263">
        <v>18.27956989247312</v>
      </c>
      <c r="P234" s="263">
        <v>5</v>
      </c>
      <c r="Q234" s="263">
        <v>23.80952380952381</v>
      </c>
      <c r="R234" s="263">
        <v>8.0419580419580399</v>
      </c>
      <c r="S234" s="263">
        <v>3.8834951456310591</v>
      </c>
      <c r="T234" s="263">
        <v>3.7383177570093409</v>
      </c>
      <c r="U234" s="263">
        <v>-12.612612612612622</v>
      </c>
      <c r="V234" s="263">
        <v>4.4673539518900469</v>
      </c>
      <c r="W234" s="263">
        <v>17.10526315789474</v>
      </c>
      <c r="X234" s="268">
        <v>11.516853932584254</v>
      </c>
    </row>
    <row r="235" spans="1:24" hidden="1" outlineLevel="2" x14ac:dyDescent="0.4">
      <c r="A235" s="124"/>
      <c r="B235" s="125"/>
      <c r="C235" s="125"/>
      <c r="D235" s="125" t="s">
        <v>332</v>
      </c>
      <c r="E235" s="139" t="s">
        <v>333</v>
      </c>
      <c r="F235" s="140"/>
      <c r="G235" s="266">
        <v>24.982053122756625</v>
      </c>
      <c r="H235" s="266">
        <v>14.704192992533024</v>
      </c>
      <c r="I235" s="266">
        <v>6.9103655483224884</v>
      </c>
      <c r="J235" s="266">
        <v>7.3536299765808053</v>
      </c>
      <c r="K235" s="266">
        <v>3.0104712041884909</v>
      </c>
      <c r="L235" s="266">
        <v>10.038119440914855</v>
      </c>
      <c r="M235" s="266">
        <v>6.851424172440332</v>
      </c>
      <c r="N235" s="266">
        <v>20.317002881844374</v>
      </c>
      <c r="O235" s="266">
        <v>13.47305389221556</v>
      </c>
      <c r="P235" s="266">
        <v>22.612137203166213</v>
      </c>
      <c r="Q235" s="266">
        <v>-3.2063697008822913</v>
      </c>
      <c r="R235" s="266">
        <v>-5.9359715429079642</v>
      </c>
      <c r="S235" s="266">
        <v>15.220987946112047</v>
      </c>
      <c r="T235" s="266">
        <v>8.7794871794871767</v>
      </c>
      <c r="U235" s="266">
        <v>-51.518008674335277</v>
      </c>
      <c r="V235" s="266">
        <v>32.127576818358591</v>
      </c>
      <c r="W235" s="266">
        <v>91.227553723874024</v>
      </c>
      <c r="X235" s="267">
        <v>16.948891625615772</v>
      </c>
    </row>
    <row r="236" spans="1:24" hidden="1" outlineLevel="2" x14ac:dyDescent="0.4">
      <c r="A236" s="130"/>
      <c r="B236" s="131"/>
      <c r="C236" s="131"/>
      <c r="D236" s="131" t="s">
        <v>334</v>
      </c>
      <c r="E236" s="134" t="s">
        <v>335</v>
      </c>
      <c r="F236" s="135"/>
      <c r="G236" s="263">
        <v>21.38649750792932</v>
      </c>
      <c r="H236" s="263">
        <v>11.160880925718544</v>
      </c>
      <c r="I236" s="263">
        <v>8.7978509066487476</v>
      </c>
      <c r="J236" s="263">
        <v>4.5370370370370239</v>
      </c>
      <c r="K236" s="263">
        <v>3.7201062887510972</v>
      </c>
      <c r="L236" s="263">
        <v>19.726729291204094</v>
      </c>
      <c r="M236" s="263">
        <v>10.556348074179738</v>
      </c>
      <c r="N236" s="263">
        <v>12.150537634408607</v>
      </c>
      <c r="O236" s="263">
        <v>11.294343240651969</v>
      </c>
      <c r="P236" s="263">
        <v>21.554100620261892</v>
      </c>
      <c r="Q236" s="263">
        <v>9.525159461374912</v>
      </c>
      <c r="R236" s="263">
        <v>7.4673223760838567</v>
      </c>
      <c r="S236" s="263">
        <v>7.5024084778420104</v>
      </c>
      <c r="T236" s="263">
        <v>8.367872745603222</v>
      </c>
      <c r="U236" s="263">
        <v>-20.756667355799053</v>
      </c>
      <c r="V236" s="263">
        <v>36.590138272893313</v>
      </c>
      <c r="W236" s="263">
        <v>31.315060643682557</v>
      </c>
      <c r="X236" s="268">
        <v>1.6072727272727292</v>
      </c>
    </row>
    <row r="237" spans="1:24" hidden="1" outlineLevel="2" x14ac:dyDescent="0.4">
      <c r="A237" s="124"/>
      <c r="B237" s="125"/>
      <c r="C237" s="125"/>
      <c r="D237" s="125" t="s">
        <v>336</v>
      </c>
      <c r="E237" s="139" t="s">
        <v>337</v>
      </c>
      <c r="F237" s="140"/>
      <c r="G237" s="266">
        <v>14.609053497942398</v>
      </c>
      <c r="H237" s="266">
        <v>13.28545780969479</v>
      </c>
      <c r="I237" s="266">
        <v>5.8637083993660895</v>
      </c>
      <c r="J237" s="266">
        <v>0.29940119760479433</v>
      </c>
      <c r="K237" s="266">
        <v>4.4776119402985017</v>
      </c>
      <c r="L237" s="266">
        <v>3.857142857142847</v>
      </c>
      <c r="M237" s="266">
        <v>4.1265474552957215</v>
      </c>
      <c r="N237" s="266">
        <v>7.0013210039629996</v>
      </c>
      <c r="O237" s="266">
        <v>3.8271604938271651</v>
      </c>
      <c r="P237" s="266">
        <v>7.2532699167657597</v>
      </c>
      <c r="Q237" s="266">
        <v>4.2128603104212914</v>
      </c>
      <c r="R237" s="266">
        <v>4.7872340425531945</v>
      </c>
      <c r="S237" s="266">
        <v>9.4416243654822409</v>
      </c>
      <c r="T237" s="266">
        <v>11.873840445269025</v>
      </c>
      <c r="U237" s="266">
        <v>4.5605306799336773</v>
      </c>
      <c r="V237" s="266">
        <v>15.701823949246645</v>
      </c>
      <c r="W237" s="266">
        <v>12.200137080191922</v>
      </c>
      <c r="X237" s="267">
        <v>1.5882712278558273</v>
      </c>
    </row>
    <row r="238" spans="1:24" hidden="1" outlineLevel="1" collapsed="1" x14ac:dyDescent="0.4">
      <c r="A238" s="149"/>
      <c r="B238" s="132"/>
      <c r="C238" s="132" t="s">
        <v>338</v>
      </c>
      <c r="D238" s="132"/>
      <c r="E238" s="150" t="s">
        <v>339</v>
      </c>
      <c r="F238" s="136"/>
      <c r="G238" s="264">
        <v>15.243835616438361</v>
      </c>
      <c r="H238" s="264">
        <v>20.406998858881707</v>
      </c>
      <c r="I238" s="264">
        <v>11.949139156531345</v>
      </c>
      <c r="J238" s="264">
        <v>11.068783068783077</v>
      </c>
      <c r="K238" s="264">
        <v>13.814786585365852</v>
      </c>
      <c r="L238" s="264">
        <v>10.251688152240646</v>
      </c>
      <c r="M238" s="264">
        <v>13.788216238104894</v>
      </c>
      <c r="N238" s="264">
        <v>11.752669039145914</v>
      </c>
      <c r="O238" s="264">
        <v>10.492795159621053</v>
      </c>
      <c r="P238" s="264">
        <v>7.5725916852799315</v>
      </c>
      <c r="Q238" s="264">
        <v>11.296048225050242</v>
      </c>
      <c r="R238" s="264">
        <v>9.9780338819847714</v>
      </c>
      <c r="S238" s="264">
        <v>4.6813866316451964</v>
      </c>
      <c r="T238" s="264">
        <v>5.3397804495556755</v>
      </c>
      <c r="U238" s="264">
        <v>-26.375207800908115</v>
      </c>
      <c r="V238" s="264">
        <v>42.405553870522027</v>
      </c>
      <c r="W238" s="264">
        <v>24.27584248390761</v>
      </c>
      <c r="X238" s="265">
        <v>12.194843279887266</v>
      </c>
    </row>
    <row r="239" spans="1:24" hidden="1" outlineLevel="2" x14ac:dyDescent="0.4">
      <c r="A239" s="124"/>
      <c r="B239" s="125"/>
      <c r="C239" s="125"/>
      <c r="D239" s="125" t="s">
        <v>340</v>
      </c>
      <c r="E239" s="139" t="s">
        <v>339</v>
      </c>
      <c r="F239" s="140"/>
      <c r="G239" s="266">
        <v>15.243835616438361</v>
      </c>
      <c r="H239" s="266">
        <v>20.406998858881707</v>
      </c>
      <c r="I239" s="266">
        <v>11.949139156531345</v>
      </c>
      <c r="J239" s="266">
        <v>11.068783068783077</v>
      </c>
      <c r="K239" s="266">
        <v>13.814786585365852</v>
      </c>
      <c r="L239" s="266">
        <v>10.251688152240646</v>
      </c>
      <c r="M239" s="266">
        <v>13.788216238104894</v>
      </c>
      <c r="N239" s="266">
        <v>11.752669039145914</v>
      </c>
      <c r="O239" s="266">
        <v>10.492795159621053</v>
      </c>
      <c r="P239" s="266">
        <v>7.5725916852799315</v>
      </c>
      <c r="Q239" s="266">
        <v>11.296048225050242</v>
      </c>
      <c r="R239" s="266">
        <v>9.9780338819847714</v>
      </c>
      <c r="S239" s="266">
        <v>4.6813866316451964</v>
      </c>
      <c r="T239" s="266">
        <v>5.3397804495556755</v>
      </c>
      <c r="U239" s="266">
        <v>-26.375207800908115</v>
      </c>
      <c r="V239" s="266">
        <v>42.405553870522027</v>
      </c>
      <c r="W239" s="266">
        <v>24.27584248390761</v>
      </c>
      <c r="X239" s="267">
        <v>12.194843279887266</v>
      </c>
    </row>
    <row r="240" spans="1:24" collapsed="1" x14ac:dyDescent="0.4">
      <c r="A240" s="119"/>
      <c r="B240" s="120" t="s">
        <v>341</v>
      </c>
      <c r="C240" s="120"/>
      <c r="D240" s="120"/>
      <c r="E240" s="121" t="s">
        <v>342</v>
      </c>
      <c r="F240" s="122"/>
      <c r="G240" s="259">
        <v>14.120426953475103</v>
      </c>
      <c r="H240" s="259">
        <v>13.701270883906886</v>
      </c>
      <c r="I240" s="259">
        <v>7.5290423861852389</v>
      </c>
      <c r="J240" s="259">
        <v>2.6629292221443563</v>
      </c>
      <c r="K240" s="259">
        <v>5.6427758816837326</v>
      </c>
      <c r="L240" s="259">
        <v>5.5998276976092995</v>
      </c>
      <c r="M240" s="259">
        <v>5.5578217417907325</v>
      </c>
      <c r="N240" s="259">
        <v>6.7143271181528235</v>
      </c>
      <c r="O240" s="259">
        <v>5.6309976462067795</v>
      </c>
      <c r="P240" s="259">
        <v>2.6782653411038666</v>
      </c>
      <c r="Q240" s="259">
        <v>4.8453737323150108</v>
      </c>
      <c r="R240" s="259">
        <v>6.7629965767056746</v>
      </c>
      <c r="S240" s="259">
        <v>5.693300026098953</v>
      </c>
      <c r="T240" s="259">
        <v>3.6439960491039898</v>
      </c>
      <c r="U240" s="259">
        <v>-1.6303052993431209</v>
      </c>
      <c r="V240" s="259">
        <v>11.898830530759113</v>
      </c>
      <c r="W240" s="259">
        <v>12.17031013264895</v>
      </c>
      <c r="X240" s="260">
        <v>5.4442208561898724</v>
      </c>
    </row>
    <row r="241" spans="1:24" hidden="1" outlineLevel="1" x14ac:dyDescent="0.4">
      <c r="A241" s="151"/>
      <c r="B241" s="126"/>
      <c r="C241" s="126" t="s">
        <v>341</v>
      </c>
      <c r="D241" s="126"/>
      <c r="E241" s="127" t="s">
        <v>342</v>
      </c>
      <c r="F241" s="128"/>
      <c r="G241" s="261">
        <v>14.120426953475103</v>
      </c>
      <c r="H241" s="261">
        <v>13.701270883906886</v>
      </c>
      <c r="I241" s="261">
        <v>7.5290423861852389</v>
      </c>
      <c r="J241" s="261">
        <v>2.6629292221443563</v>
      </c>
      <c r="K241" s="261">
        <v>5.6427758816837326</v>
      </c>
      <c r="L241" s="261">
        <v>5.5998276976092995</v>
      </c>
      <c r="M241" s="261">
        <v>5.5578217417907325</v>
      </c>
      <c r="N241" s="261">
        <v>6.7143271181528235</v>
      </c>
      <c r="O241" s="261">
        <v>5.6309976462067795</v>
      </c>
      <c r="P241" s="261">
        <v>2.6782653411038666</v>
      </c>
      <c r="Q241" s="261">
        <v>4.8453737323150108</v>
      </c>
      <c r="R241" s="261">
        <v>6.7629965767056746</v>
      </c>
      <c r="S241" s="261">
        <v>5.693300026098953</v>
      </c>
      <c r="T241" s="261">
        <v>3.6439960491039898</v>
      </c>
      <c r="U241" s="261">
        <v>-1.6303052993431209</v>
      </c>
      <c r="V241" s="261">
        <v>11.898830530759113</v>
      </c>
      <c r="W241" s="261">
        <v>12.17031013264895</v>
      </c>
      <c r="X241" s="262">
        <v>5.4442208561898724</v>
      </c>
    </row>
    <row r="242" spans="1:24" hidden="1" outlineLevel="2" x14ac:dyDescent="0.4">
      <c r="A242" s="130"/>
      <c r="B242" s="131"/>
      <c r="C242" s="131"/>
      <c r="D242" s="131" t="s">
        <v>343</v>
      </c>
      <c r="E242" s="134" t="s">
        <v>342</v>
      </c>
      <c r="F242" s="135"/>
      <c r="G242" s="263">
        <v>14.120426953475103</v>
      </c>
      <c r="H242" s="263">
        <v>13.701270883906886</v>
      </c>
      <c r="I242" s="263">
        <v>7.5290423861852389</v>
      </c>
      <c r="J242" s="263">
        <v>2.6629292221443563</v>
      </c>
      <c r="K242" s="263">
        <v>5.6427758816837326</v>
      </c>
      <c r="L242" s="263">
        <v>5.5998276976092995</v>
      </c>
      <c r="M242" s="263">
        <v>5.5578217417907325</v>
      </c>
      <c r="N242" s="263">
        <v>6.7143271181528235</v>
      </c>
      <c r="O242" s="263">
        <v>5.6309976462067795</v>
      </c>
      <c r="P242" s="263">
        <v>2.6782653411038666</v>
      </c>
      <c r="Q242" s="263">
        <v>4.8453737323150108</v>
      </c>
      <c r="R242" s="263">
        <v>6.7629965767056746</v>
      </c>
      <c r="S242" s="263">
        <v>5.693300026098953</v>
      </c>
      <c r="T242" s="263">
        <v>3.6439960491039898</v>
      </c>
      <c r="U242" s="263">
        <v>-1.6303052993431209</v>
      </c>
      <c r="V242" s="263">
        <v>11.898830530759113</v>
      </c>
      <c r="W242" s="263">
        <v>12.17031013264895</v>
      </c>
      <c r="X242" s="268">
        <v>5.4442208561898724</v>
      </c>
    </row>
    <row r="243" spans="1:24" collapsed="1" x14ac:dyDescent="0.4">
      <c r="A243" s="144"/>
      <c r="B243" s="145" t="s">
        <v>344</v>
      </c>
      <c r="C243" s="145"/>
      <c r="D243" s="145"/>
      <c r="E243" s="146" t="s">
        <v>345</v>
      </c>
      <c r="F243" s="147"/>
      <c r="G243" s="269">
        <v>5.3520175586695871</v>
      </c>
      <c r="H243" s="269">
        <v>19.34294871794873</v>
      </c>
      <c r="I243" s="269">
        <v>20.746609372901844</v>
      </c>
      <c r="J243" s="269">
        <v>8.718861209964416</v>
      </c>
      <c r="K243" s="269">
        <v>9.4312602291325618</v>
      </c>
      <c r="L243" s="269">
        <v>13.83903533370723</v>
      </c>
      <c r="M243" s="269">
        <v>13.039372664942306</v>
      </c>
      <c r="N243" s="269">
        <v>7.5763629099625973</v>
      </c>
      <c r="O243" s="269">
        <v>7.4951888990175206</v>
      </c>
      <c r="P243" s="269">
        <v>8.9732717736109748</v>
      </c>
      <c r="Q243" s="269">
        <v>-1.0721697025593784</v>
      </c>
      <c r="R243" s="269">
        <v>13.79792564969118</v>
      </c>
      <c r="S243" s="269">
        <v>9.1321044546851056</v>
      </c>
      <c r="T243" s="269">
        <v>10.221221291669607</v>
      </c>
      <c r="U243" s="269">
        <v>3.8821726545206872</v>
      </c>
      <c r="V243" s="269">
        <v>7.8778069168988765</v>
      </c>
      <c r="W243" s="269">
        <v>8.1685753898163398</v>
      </c>
      <c r="X243" s="270">
        <v>9.3601854127892636</v>
      </c>
    </row>
    <row r="244" spans="1:24" hidden="1" outlineLevel="1" x14ac:dyDescent="0.4">
      <c r="A244" s="149"/>
      <c r="B244" s="132"/>
      <c r="C244" s="132" t="s">
        <v>344</v>
      </c>
      <c r="D244" s="132"/>
      <c r="E244" s="150" t="s">
        <v>345</v>
      </c>
      <c r="F244" s="136"/>
      <c r="G244" s="264">
        <v>5.3520175586695871</v>
      </c>
      <c r="H244" s="264">
        <v>19.34294871794873</v>
      </c>
      <c r="I244" s="264">
        <v>20.746609372901844</v>
      </c>
      <c r="J244" s="264">
        <v>8.718861209964416</v>
      </c>
      <c r="K244" s="264">
        <v>9.4312602291325618</v>
      </c>
      <c r="L244" s="264">
        <v>13.83903533370723</v>
      </c>
      <c r="M244" s="264">
        <v>13.039372664942306</v>
      </c>
      <c r="N244" s="264">
        <v>7.5763629099625973</v>
      </c>
      <c r="O244" s="264">
        <v>7.4951888990175206</v>
      </c>
      <c r="P244" s="264">
        <v>8.9732717736109748</v>
      </c>
      <c r="Q244" s="264">
        <v>-1.0721697025593784</v>
      </c>
      <c r="R244" s="264">
        <v>13.79792564969118</v>
      </c>
      <c r="S244" s="264">
        <v>9.1321044546851056</v>
      </c>
      <c r="T244" s="264">
        <v>10.221221291669607</v>
      </c>
      <c r="U244" s="264">
        <v>3.8821726545206872</v>
      </c>
      <c r="V244" s="264">
        <v>7.8778069168988765</v>
      </c>
      <c r="W244" s="264">
        <v>8.1685753898163398</v>
      </c>
      <c r="X244" s="265">
        <v>9.3601854127892636</v>
      </c>
    </row>
    <row r="245" spans="1:24" hidden="1" outlineLevel="2" x14ac:dyDescent="0.4">
      <c r="A245" s="124"/>
      <c r="B245" s="125"/>
      <c r="C245" s="125"/>
      <c r="D245" s="125" t="s">
        <v>346</v>
      </c>
      <c r="E245" s="139" t="s">
        <v>345</v>
      </c>
      <c r="F245" s="140"/>
      <c r="G245" s="266">
        <v>5.3520175586695871</v>
      </c>
      <c r="H245" s="266">
        <v>19.34294871794873</v>
      </c>
      <c r="I245" s="266">
        <v>20.746609372901844</v>
      </c>
      <c r="J245" s="266">
        <v>8.718861209964416</v>
      </c>
      <c r="K245" s="266">
        <v>9.4312602291325618</v>
      </c>
      <c r="L245" s="266">
        <v>13.83903533370723</v>
      </c>
      <c r="M245" s="266">
        <v>13.039372664942306</v>
      </c>
      <c r="N245" s="266">
        <v>7.5763629099625973</v>
      </c>
      <c r="O245" s="266">
        <v>7.4951888990175206</v>
      </c>
      <c r="P245" s="266">
        <v>8.9732717736109748</v>
      </c>
      <c r="Q245" s="266">
        <v>-1.0721697025593784</v>
      </c>
      <c r="R245" s="266">
        <v>13.79792564969118</v>
      </c>
      <c r="S245" s="266">
        <v>9.1321044546851056</v>
      </c>
      <c r="T245" s="266">
        <v>10.221221291669607</v>
      </c>
      <c r="U245" s="266">
        <v>3.8821726545206872</v>
      </c>
      <c r="V245" s="266">
        <v>7.8778069168988765</v>
      </c>
      <c r="W245" s="266">
        <v>8.1685753898163398</v>
      </c>
      <c r="X245" s="267">
        <v>9.3601854127892636</v>
      </c>
    </row>
    <row r="246" spans="1:24" collapsed="1" x14ac:dyDescent="0.4">
      <c r="A246" s="119"/>
      <c r="B246" s="120" t="s">
        <v>347</v>
      </c>
      <c r="C246" s="120"/>
      <c r="D246" s="120"/>
      <c r="E246" s="121" t="s">
        <v>348</v>
      </c>
      <c r="F246" s="122"/>
      <c r="G246" s="259">
        <v>10.336036368104189</v>
      </c>
      <c r="H246" s="259">
        <v>8.7274853149968123</v>
      </c>
      <c r="I246" s="259">
        <v>8.1421548545677922</v>
      </c>
      <c r="J246" s="259">
        <v>8.5756226915427476</v>
      </c>
      <c r="K246" s="259">
        <v>7.6257141611060177</v>
      </c>
      <c r="L246" s="259">
        <v>7.3163813190153064</v>
      </c>
      <c r="M246" s="259">
        <v>7.4802703621190858</v>
      </c>
      <c r="N246" s="259">
        <v>7.0158797077009467</v>
      </c>
      <c r="O246" s="259">
        <v>7.0122451659498921</v>
      </c>
      <c r="P246" s="259">
        <v>7.1034144246403059</v>
      </c>
      <c r="Q246" s="259">
        <v>8.3351235230934435</v>
      </c>
      <c r="R246" s="259">
        <v>7.0473924251437552</v>
      </c>
      <c r="S246" s="259">
        <v>7.2231278403477575</v>
      </c>
      <c r="T246" s="259">
        <v>6.4071408004606951</v>
      </c>
      <c r="U246" s="259">
        <v>2.8726674459886681</v>
      </c>
      <c r="V246" s="259">
        <v>4.059258012247227</v>
      </c>
      <c r="W246" s="259">
        <v>5.9039433771486358</v>
      </c>
      <c r="X246" s="260">
        <v>8.5526881104459562</v>
      </c>
    </row>
    <row r="247" spans="1:24" hidden="1" outlineLevel="1" x14ac:dyDescent="0.4">
      <c r="A247" s="124"/>
      <c r="B247" s="125"/>
      <c r="C247" s="126" t="s">
        <v>347</v>
      </c>
      <c r="D247" s="125"/>
      <c r="E247" s="127" t="s">
        <v>348</v>
      </c>
      <c r="F247" s="128"/>
      <c r="G247" s="261">
        <v>10.336036368104189</v>
      </c>
      <c r="H247" s="261">
        <v>8.7274853149968123</v>
      </c>
      <c r="I247" s="261">
        <v>8.1421548545677922</v>
      </c>
      <c r="J247" s="261">
        <v>8.5756226915427476</v>
      </c>
      <c r="K247" s="261">
        <v>7.6257141611060177</v>
      </c>
      <c r="L247" s="261">
        <v>7.3163813190153064</v>
      </c>
      <c r="M247" s="261">
        <v>7.4802703621190858</v>
      </c>
      <c r="N247" s="261">
        <v>7.0158797077009467</v>
      </c>
      <c r="O247" s="261">
        <v>7.0122451659498921</v>
      </c>
      <c r="P247" s="261">
        <v>7.1034144246403059</v>
      </c>
      <c r="Q247" s="261">
        <v>8.3351235230934435</v>
      </c>
      <c r="R247" s="261">
        <v>7.0473924251437552</v>
      </c>
      <c r="S247" s="261">
        <v>7.2231278403477575</v>
      </c>
      <c r="T247" s="261">
        <v>6.4071408004606951</v>
      </c>
      <c r="U247" s="261">
        <v>2.8726674459886681</v>
      </c>
      <c r="V247" s="261">
        <v>4.059258012247227</v>
      </c>
      <c r="W247" s="261">
        <v>5.9039433771486358</v>
      </c>
      <c r="X247" s="262">
        <v>8.5526881104459562</v>
      </c>
    </row>
    <row r="248" spans="1:24" hidden="1" outlineLevel="2" x14ac:dyDescent="0.4">
      <c r="A248" s="130"/>
      <c r="B248" s="131"/>
      <c r="C248" s="131"/>
      <c r="D248" s="131" t="s">
        <v>349</v>
      </c>
      <c r="E248" s="134" t="s">
        <v>348</v>
      </c>
      <c r="F248" s="135"/>
      <c r="G248" s="263">
        <v>10.336036368104189</v>
      </c>
      <c r="H248" s="263">
        <v>8.7274853149968123</v>
      </c>
      <c r="I248" s="263">
        <v>8.1421548545677922</v>
      </c>
      <c r="J248" s="263">
        <v>8.5756226915427476</v>
      </c>
      <c r="K248" s="263">
        <v>7.6257141611060177</v>
      </c>
      <c r="L248" s="263">
        <v>7.3163813190153064</v>
      </c>
      <c r="M248" s="263">
        <v>7.4802703621190858</v>
      </c>
      <c r="N248" s="263">
        <v>7.0158797077009467</v>
      </c>
      <c r="O248" s="263">
        <v>7.0122451659498921</v>
      </c>
      <c r="P248" s="263">
        <v>7.1034144246403059</v>
      </c>
      <c r="Q248" s="263">
        <v>8.3351235230934435</v>
      </c>
      <c r="R248" s="263">
        <v>7.0473924251437552</v>
      </c>
      <c r="S248" s="263">
        <v>7.2231278403477575</v>
      </c>
      <c r="T248" s="263">
        <v>6.4071408004606951</v>
      </c>
      <c r="U248" s="263">
        <v>2.8726674459886681</v>
      </c>
      <c r="V248" s="263">
        <v>4.059258012247227</v>
      </c>
      <c r="W248" s="263">
        <v>5.9039433771486358</v>
      </c>
      <c r="X248" s="268">
        <v>8.5526881104459562</v>
      </c>
    </row>
    <row r="249" spans="1:24" s="159" customFormat="1" ht="28" collapsed="1" x14ac:dyDescent="0.4">
      <c r="A249" s="154"/>
      <c r="B249" s="155" t="s">
        <v>350</v>
      </c>
      <c r="C249" s="155"/>
      <c r="D249" s="155"/>
      <c r="E249" s="156" t="s">
        <v>351</v>
      </c>
      <c r="F249" s="157"/>
      <c r="G249" s="271">
        <v>16.542795492687603</v>
      </c>
      <c r="H249" s="271">
        <v>18.638140300349718</v>
      </c>
      <c r="I249" s="271">
        <v>14.491936882261143</v>
      </c>
      <c r="J249" s="271">
        <v>12.983226685850596</v>
      </c>
      <c r="K249" s="271">
        <v>12.489946380697049</v>
      </c>
      <c r="L249" s="271">
        <v>14.025679983316934</v>
      </c>
      <c r="M249" s="271">
        <v>12.5486610058785</v>
      </c>
      <c r="N249" s="271">
        <v>11.476855935744453</v>
      </c>
      <c r="O249" s="271">
        <v>14.980633876140104</v>
      </c>
      <c r="P249" s="271">
        <v>3.9408866995073879</v>
      </c>
      <c r="Q249" s="271">
        <v>3.9221494284917782</v>
      </c>
      <c r="R249" s="271">
        <v>5.4574719581510038</v>
      </c>
      <c r="S249" s="271">
        <v>7.4708257814238834</v>
      </c>
      <c r="T249" s="271">
        <v>7.1911475361332577</v>
      </c>
      <c r="U249" s="271">
        <v>-4.2714400066245304</v>
      </c>
      <c r="V249" s="271">
        <v>14.068018972651132</v>
      </c>
      <c r="W249" s="271">
        <v>17.804375576648425</v>
      </c>
      <c r="X249" s="272">
        <v>10.222298515148907</v>
      </c>
    </row>
    <row r="250" spans="1:24" ht="28" hidden="1" outlineLevel="1" x14ac:dyDescent="0.4">
      <c r="A250" s="149"/>
      <c r="B250" s="132"/>
      <c r="C250" s="132" t="s">
        <v>350</v>
      </c>
      <c r="D250" s="132"/>
      <c r="E250" s="150" t="s">
        <v>351</v>
      </c>
      <c r="F250" s="136"/>
      <c r="G250" s="264">
        <v>16.542795492687603</v>
      </c>
      <c r="H250" s="264">
        <v>18.638140300349718</v>
      </c>
      <c r="I250" s="264">
        <v>14.491936882261143</v>
      </c>
      <c r="J250" s="264">
        <v>12.983226685850596</v>
      </c>
      <c r="K250" s="264">
        <v>12.489946380697049</v>
      </c>
      <c r="L250" s="264">
        <v>14.025679983316934</v>
      </c>
      <c r="M250" s="264">
        <v>12.5486610058785</v>
      </c>
      <c r="N250" s="264">
        <v>11.476855935744453</v>
      </c>
      <c r="O250" s="264">
        <v>14.980633876140104</v>
      </c>
      <c r="P250" s="264">
        <v>3.9408866995073879</v>
      </c>
      <c r="Q250" s="264">
        <v>3.9221494284917782</v>
      </c>
      <c r="R250" s="264">
        <v>5.4574719581510038</v>
      </c>
      <c r="S250" s="264">
        <v>7.4708257814238834</v>
      </c>
      <c r="T250" s="264">
        <v>7.1911475361332577</v>
      </c>
      <c r="U250" s="264">
        <v>-4.2714400066245304</v>
      </c>
      <c r="V250" s="264">
        <v>14.068018972651132</v>
      </c>
      <c r="W250" s="264">
        <v>17.804375576648425</v>
      </c>
      <c r="X250" s="265">
        <v>10.222298515148907</v>
      </c>
    </row>
    <row r="251" spans="1:24" hidden="1" outlineLevel="2" x14ac:dyDescent="0.4">
      <c r="A251" s="124"/>
      <c r="B251" s="125"/>
      <c r="C251" s="125"/>
      <c r="D251" s="125" t="s">
        <v>352</v>
      </c>
      <c r="E251" s="139" t="s">
        <v>353</v>
      </c>
      <c r="F251" s="140"/>
      <c r="G251" s="266">
        <v>17.196013289036543</v>
      </c>
      <c r="H251" s="266">
        <v>19.435310125864618</v>
      </c>
      <c r="I251" s="266">
        <v>15.256811924427979</v>
      </c>
      <c r="J251" s="266">
        <v>13.723228995057667</v>
      </c>
      <c r="K251" s="266">
        <v>13.189917427205572</v>
      </c>
      <c r="L251" s="266">
        <v>14.679720995712557</v>
      </c>
      <c r="M251" s="266">
        <v>13.274928854416615</v>
      </c>
      <c r="N251" s="266">
        <v>12.137931034482747</v>
      </c>
      <c r="O251" s="266">
        <v>15.695835529783864</v>
      </c>
      <c r="P251" s="266">
        <v>2.7337965599726601</v>
      </c>
      <c r="Q251" s="266">
        <v>3.1119488487267688</v>
      </c>
      <c r="R251" s="266">
        <v>3.5055019893186028</v>
      </c>
      <c r="S251" s="266">
        <v>7.3761124770578732</v>
      </c>
      <c r="T251" s="266">
        <v>6.6630115780307761</v>
      </c>
      <c r="U251" s="266">
        <v>-4.9012789889033286</v>
      </c>
      <c r="V251" s="266">
        <v>14.329772351519779</v>
      </c>
      <c r="W251" s="266">
        <v>17.564448399566174</v>
      </c>
      <c r="X251" s="267">
        <v>10.751034890597282</v>
      </c>
    </row>
    <row r="252" spans="1:24" hidden="1" outlineLevel="2" x14ac:dyDescent="0.4">
      <c r="A252" s="130"/>
      <c r="B252" s="131"/>
      <c r="C252" s="131"/>
      <c r="D252" s="131" t="s">
        <v>354</v>
      </c>
      <c r="E252" s="134" t="s">
        <v>355</v>
      </c>
      <c r="F252" s="135"/>
      <c r="G252" s="263">
        <v>16.006114204607485</v>
      </c>
      <c r="H252" s="263">
        <v>17.976470588235301</v>
      </c>
      <c r="I252" s="263">
        <v>13.849222177901879</v>
      </c>
      <c r="J252" s="263">
        <v>12.353724336066136</v>
      </c>
      <c r="K252" s="263">
        <v>11.887239615816398</v>
      </c>
      <c r="L252" s="263">
        <v>13.455964325529536</v>
      </c>
      <c r="M252" s="263">
        <v>11.909207035472136</v>
      </c>
      <c r="N252" s="263">
        <v>10.887698656598459</v>
      </c>
      <c r="O252" s="263">
        <v>14.336051943938543</v>
      </c>
      <c r="P252" s="263">
        <v>5.041725821531216</v>
      </c>
      <c r="Q252" s="263">
        <v>4.6447997362782303</v>
      </c>
      <c r="R252" s="263">
        <v>7.1730090725806548</v>
      </c>
      <c r="S252" s="263">
        <v>7.5512183651274256</v>
      </c>
      <c r="T252" s="263">
        <v>7.6386990981142304</v>
      </c>
      <c r="U252" s="263">
        <v>-3.7425415767424255</v>
      </c>
      <c r="V252" s="263">
        <v>13.850861227612029</v>
      </c>
      <c r="W252" s="263">
        <v>18.004263009128408</v>
      </c>
      <c r="X252" s="268">
        <v>9.7834409911059481</v>
      </c>
    </row>
    <row r="253" spans="1:24" ht="42" collapsed="1" x14ac:dyDescent="0.4">
      <c r="A253" s="144"/>
      <c r="B253" s="145" t="s">
        <v>356</v>
      </c>
      <c r="C253" s="145"/>
      <c r="D253" s="145"/>
      <c r="E253" s="146" t="s">
        <v>357</v>
      </c>
      <c r="F253" s="147"/>
      <c r="G253" s="269">
        <v>9.6382762757220632</v>
      </c>
      <c r="H253" s="269">
        <v>10.726760089214309</v>
      </c>
      <c r="I253" s="269">
        <v>9.2448312557008165</v>
      </c>
      <c r="J253" s="269">
        <v>11.014280992885588</v>
      </c>
      <c r="K253" s="269">
        <v>9.0863508876388721</v>
      </c>
      <c r="L253" s="269">
        <v>8.7072680264291762</v>
      </c>
      <c r="M253" s="269">
        <v>11.207420522713463</v>
      </c>
      <c r="N253" s="269">
        <v>11.229266669835084</v>
      </c>
      <c r="O253" s="269">
        <v>9.4472039737221678</v>
      </c>
      <c r="P253" s="269">
        <v>9.3871695019471133</v>
      </c>
      <c r="Q253" s="269">
        <v>10.201914755034494</v>
      </c>
      <c r="R253" s="269">
        <v>9.4922719433896674</v>
      </c>
      <c r="S253" s="269">
        <v>8.8601323621843449</v>
      </c>
      <c r="T253" s="269">
        <v>8.5214343452182817</v>
      </c>
      <c r="U253" s="269">
        <v>2.3222042788648025</v>
      </c>
      <c r="V253" s="269">
        <v>10.79267397474797</v>
      </c>
      <c r="W253" s="269">
        <v>8.8319575960025531</v>
      </c>
      <c r="X253" s="270">
        <v>14.709478415714997</v>
      </c>
    </row>
    <row r="254" spans="1:24" ht="28" hidden="1" outlineLevel="1" x14ac:dyDescent="0.4">
      <c r="A254" s="149"/>
      <c r="B254" s="132"/>
      <c r="C254" s="132" t="s">
        <v>358</v>
      </c>
      <c r="D254" s="132"/>
      <c r="E254" s="150" t="s">
        <v>359</v>
      </c>
      <c r="F254" s="136"/>
      <c r="G254" s="264">
        <v>9.7432024169184359</v>
      </c>
      <c r="H254" s="264">
        <v>12.39875059558473</v>
      </c>
      <c r="I254" s="264">
        <v>9.2553341811502037</v>
      </c>
      <c r="J254" s="264">
        <v>13.006552853940349</v>
      </c>
      <c r="K254" s="264">
        <v>9.0031663678327618</v>
      </c>
      <c r="L254" s="264">
        <v>8.175550344731036</v>
      </c>
      <c r="M254" s="264">
        <v>9.104144423954196</v>
      </c>
      <c r="N254" s="264">
        <v>13.287667170773659</v>
      </c>
      <c r="O254" s="264">
        <v>9.3943042613339003</v>
      </c>
      <c r="P254" s="264">
        <v>9.580551767042337</v>
      </c>
      <c r="Q254" s="264">
        <v>11.304233901783959</v>
      </c>
      <c r="R254" s="264">
        <v>8.6514693765449096</v>
      </c>
      <c r="S254" s="264">
        <v>9.403437815975721</v>
      </c>
      <c r="T254" s="264">
        <v>7.1263533139688491</v>
      </c>
      <c r="U254" s="264">
        <v>2.1229394546294884</v>
      </c>
      <c r="V254" s="264">
        <v>5.39313299541395</v>
      </c>
      <c r="W254" s="264">
        <v>7.5891387429683874</v>
      </c>
      <c r="X254" s="265">
        <v>14.594558637663809</v>
      </c>
    </row>
    <row r="255" spans="1:24" ht="28" hidden="1" outlineLevel="2" x14ac:dyDescent="0.4">
      <c r="A255" s="124"/>
      <c r="B255" s="125"/>
      <c r="C255" s="125"/>
      <c r="D255" s="125" t="s">
        <v>360</v>
      </c>
      <c r="E255" s="139" t="s">
        <v>359</v>
      </c>
      <c r="F255" s="140"/>
      <c r="G255" s="266">
        <v>9.7432024169184359</v>
      </c>
      <c r="H255" s="266">
        <v>12.39875059558473</v>
      </c>
      <c r="I255" s="266">
        <v>9.2553341811502037</v>
      </c>
      <c r="J255" s="266">
        <v>13.006552853940349</v>
      </c>
      <c r="K255" s="266">
        <v>9.0031663678327618</v>
      </c>
      <c r="L255" s="266">
        <v>8.175550344731036</v>
      </c>
      <c r="M255" s="266">
        <v>9.104144423954196</v>
      </c>
      <c r="N255" s="266">
        <v>13.287667170773659</v>
      </c>
      <c r="O255" s="266">
        <v>9.3943042613339003</v>
      </c>
      <c r="P255" s="266">
        <v>9.580551767042337</v>
      </c>
      <c r="Q255" s="266">
        <v>11.304233901783959</v>
      </c>
      <c r="R255" s="266">
        <v>8.6514693765449096</v>
      </c>
      <c r="S255" s="266">
        <v>9.403437815975721</v>
      </c>
      <c r="T255" s="266">
        <v>7.1263533139688491</v>
      </c>
      <c r="U255" s="266">
        <v>2.1229394546294884</v>
      </c>
      <c r="V255" s="266">
        <v>5.39313299541395</v>
      </c>
      <c r="W255" s="266">
        <v>7.5891387429683874</v>
      </c>
      <c r="X255" s="267">
        <v>14.594558637663809</v>
      </c>
    </row>
    <row r="256" spans="1:24" hidden="1" outlineLevel="1" collapsed="1" x14ac:dyDescent="0.4">
      <c r="A256" s="149"/>
      <c r="B256" s="132"/>
      <c r="C256" s="132" t="s">
        <v>361</v>
      </c>
      <c r="D256" s="132"/>
      <c r="E256" s="150" t="s">
        <v>72</v>
      </c>
      <c r="F256" s="136"/>
      <c r="G256" s="264">
        <v>7.5202571485970822</v>
      </c>
      <c r="H256" s="264">
        <v>10.320129546586941</v>
      </c>
      <c r="I256" s="264">
        <v>11.443572517360124</v>
      </c>
      <c r="J256" s="264">
        <v>10.055724417426546</v>
      </c>
      <c r="K256" s="264">
        <v>7.6869965477560385</v>
      </c>
      <c r="L256" s="264">
        <v>8.7882026073947515</v>
      </c>
      <c r="M256" s="264">
        <v>11.594829279792535</v>
      </c>
      <c r="N256" s="264">
        <v>9.4148299415534069</v>
      </c>
      <c r="O256" s="264">
        <v>8.1284592611661708</v>
      </c>
      <c r="P256" s="264">
        <v>9.6958514374144471</v>
      </c>
      <c r="Q256" s="264">
        <v>10.501899077590892</v>
      </c>
      <c r="R256" s="264">
        <v>8.1559500135032152</v>
      </c>
      <c r="S256" s="264">
        <v>7.3638571720427706</v>
      </c>
      <c r="T256" s="264">
        <v>10.461551472609258</v>
      </c>
      <c r="U256" s="264">
        <v>6.3029955019619166</v>
      </c>
      <c r="V256" s="264">
        <v>7.0600309697864532</v>
      </c>
      <c r="W256" s="264">
        <v>9.3560268420255852</v>
      </c>
      <c r="X256" s="265">
        <v>12.603426532558217</v>
      </c>
    </row>
    <row r="257" spans="1:24" hidden="1" outlineLevel="2" x14ac:dyDescent="0.4">
      <c r="A257" s="124"/>
      <c r="B257" s="125"/>
      <c r="C257" s="125"/>
      <c r="D257" s="125" t="s">
        <v>362</v>
      </c>
      <c r="E257" s="139" t="s">
        <v>363</v>
      </c>
      <c r="F257" s="140"/>
      <c r="G257" s="266">
        <v>9.0533333333333417</v>
      </c>
      <c r="H257" s="266">
        <v>11.615111871866972</v>
      </c>
      <c r="I257" s="266">
        <v>6.6381860006572424</v>
      </c>
      <c r="J257" s="266">
        <v>11.82331792501283</v>
      </c>
      <c r="K257" s="266">
        <v>7.2662134852103719</v>
      </c>
      <c r="L257" s="266">
        <v>9.8655476577888237</v>
      </c>
      <c r="M257" s="266">
        <v>10.265804037727037</v>
      </c>
      <c r="N257" s="266">
        <v>10.561289410434043</v>
      </c>
      <c r="O257" s="266">
        <v>9.4373401534526806</v>
      </c>
      <c r="P257" s="266">
        <v>8.5241878943678415</v>
      </c>
      <c r="Q257" s="266">
        <v>8.8990578734858587</v>
      </c>
      <c r="R257" s="266">
        <v>10.040537868301371</v>
      </c>
      <c r="S257" s="266">
        <v>6.3300238105934596</v>
      </c>
      <c r="T257" s="266">
        <v>6.6038533040392053</v>
      </c>
      <c r="U257" s="266">
        <v>-3.8325868970710673</v>
      </c>
      <c r="V257" s="266">
        <v>6.449884602703591</v>
      </c>
      <c r="W257" s="266">
        <v>14.518564404351707</v>
      </c>
      <c r="X257" s="267">
        <v>11.257987085432248</v>
      </c>
    </row>
    <row r="258" spans="1:24" hidden="1" outlineLevel="2" x14ac:dyDescent="0.4">
      <c r="A258" s="130"/>
      <c r="B258" s="131"/>
      <c r="C258" s="131"/>
      <c r="D258" s="131" t="s">
        <v>364</v>
      </c>
      <c r="E258" s="134" t="s">
        <v>365</v>
      </c>
      <c r="F258" s="135"/>
      <c r="G258" s="263">
        <v>5.9733620341719416</v>
      </c>
      <c r="H258" s="263">
        <v>8.9754982861495449</v>
      </c>
      <c r="I258" s="263">
        <v>16.554054054054063</v>
      </c>
      <c r="J258" s="263">
        <v>8.3358320839580244</v>
      </c>
      <c r="K258" s="263">
        <v>8.1096042070301735</v>
      </c>
      <c r="L258" s="263">
        <v>7.7146270694657773</v>
      </c>
      <c r="M258" s="263">
        <v>12.945650451592456</v>
      </c>
      <c r="N258" s="263">
        <v>8.2772166105499423</v>
      </c>
      <c r="O258" s="263">
        <v>6.8022803835190473</v>
      </c>
      <c r="P258" s="263">
        <v>10.91228921509159</v>
      </c>
      <c r="Q258" s="263">
        <v>12.130161334427129</v>
      </c>
      <c r="R258" s="263">
        <v>6.2966395161683693</v>
      </c>
      <c r="S258" s="263">
        <v>8.4197485546480664</v>
      </c>
      <c r="T258" s="263">
        <v>14.325616826780646</v>
      </c>
      <c r="U258" s="263">
        <v>15.769600947656784</v>
      </c>
      <c r="V258" s="263">
        <v>7.5334143377885852</v>
      </c>
      <c r="W258" s="263">
        <v>5.3910199226880735</v>
      </c>
      <c r="X258" s="268">
        <v>13.72908613830657</v>
      </c>
    </row>
    <row r="259" spans="1:24" ht="28" hidden="1" outlineLevel="1" collapsed="1" x14ac:dyDescent="0.4">
      <c r="A259" s="151"/>
      <c r="B259" s="126"/>
      <c r="C259" s="126" t="s">
        <v>366</v>
      </c>
      <c r="D259" s="126"/>
      <c r="E259" s="127" t="s">
        <v>367</v>
      </c>
      <c r="F259" s="128"/>
      <c r="G259" s="261">
        <v>12.300276711595103</v>
      </c>
      <c r="H259" s="261">
        <v>8.7353946427151925</v>
      </c>
      <c r="I259" s="261">
        <v>6.3815789473684106</v>
      </c>
      <c r="J259" s="261">
        <v>9.1390091390091328</v>
      </c>
      <c r="K259" s="261">
        <v>11.137694390228532</v>
      </c>
      <c r="L259" s="261">
        <v>9.460684341717652</v>
      </c>
      <c r="M259" s="261">
        <v>14.061691336300598</v>
      </c>
      <c r="N259" s="261">
        <v>10.417895548799862</v>
      </c>
      <c r="O259" s="261">
        <v>11.214300390384224</v>
      </c>
      <c r="P259" s="261">
        <v>8.7052911616908091</v>
      </c>
      <c r="Q259" s="261">
        <v>8.1101291638341308</v>
      </c>
      <c r="R259" s="261">
        <v>12.551090989121548</v>
      </c>
      <c r="S259" s="261">
        <v>9.8608860830213985</v>
      </c>
      <c r="T259" s="261">
        <v>8.3375711960944017</v>
      </c>
      <c r="U259" s="261">
        <v>-2.2554979228765291</v>
      </c>
      <c r="V259" s="261">
        <v>24.364884982951551</v>
      </c>
      <c r="W259" s="261">
        <v>9.9067441546154953</v>
      </c>
      <c r="X259" s="262">
        <v>17.266882158667698</v>
      </c>
    </row>
    <row r="260" spans="1:24" hidden="1" outlineLevel="2" x14ac:dyDescent="0.4">
      <c r="A260" s="130"/>
      <c r="B260" s="131"/>
      <c r="C260" s="131"/>
      <c r="D260" s="131" t="s">
        <v>368</v>
      </c>
      <c r="E260" s="134" t="s">
        <v>367</v>
      </c>
      <c r="F260" s="135"/>
      <c r="G260" s="263">
        <v>12.300276711595103</v>
      </c>
      <c r="H260" s="263">
        <v>8.7353946427151925</v>
      </c>
      <c r="I260" s="263">
        <v>6.3815789473684106</v>
      </c>
      <c r="J260" s="263">
        <v>9.1390091390091328</v>
      </c>
      <c r="K260" s="263">
        <v>11.137694390228532</v>
      </c>
      <c r="L260" s="263">
        <v>9.460684341717652</v>
      </c>
      <c r="M260" s="263">
        <v>14.061691336300598</v>
      </c>
      <c r="N260" s="263">
        <v>10.417895548799862</v>
      </c>
      <c r="O260" s="263">
        <v>11.214300390384224</v>
      </c>
      <c r="P260" s="263">
        <v>8.7052911616908091</v>
      </c>
      <c r="Q260" s="263">
        <v>8.1101291638341308</v>
      </c>
      <c r="R260" s="263">
        <v>12.551090989121548</v>
      </c>
      <c r="S260" s="263">
        <v>9.8608860830213985</v>
      </c>
      <c r="T260" s="263">
        <v>8.3375711960944017</v>
      </c>
      <c r="U260" s="263">
        <v>-2.2554979228765291</v>
      </c>
      <c r="V260" s="263">
        <v>24.364884982951551</v>
      </c>
      <c r="W260" s="263">
        <v>9.9067441546154953</v>
      </c>
      <c r="X260" s="268">
        <v>17.266882158667698</v>
      </c>
    </row>
    <row r="261" spans="1:24" ht="70" collapsed="1" x14ac:dyDescent="0.4">
      <c r="A261" s="144"/>
      <c r="B261" s="145" t="s">
        <v>434</v>
      </c>
      <c r="C261" s="145"/>
      <c r="D261" s="145"/>
      <c r="E261" s="146" t="s">
        <v>370</v>
      </c>
      <c r="F261" s="147"/>
      <c r="G261" s="269">
        <v>9.7285909034576719</v>
      </c>
      <c r="H261" s="269">
        <v>12.446351931330483</v>
      </c>
      <c r="I261" s="269">
        <v>10.315387705905991</v>
      </c>
      <c r="J261" s="269">
        <v>8.2400072839843261</v>
      </c>
      <c r="K261" s="269">
        <v>10.085800807536998</v>
      </c>
      <c r="L261" s="269">
        <v>10.873385802704988</v>
      </c>
      <c r="M261" s="269">
        <v>7.4155754651964259</v>
      </c>
      <c r="N261" s="269">
        <v>8.4306428846400649</v>
      </c>
      <c r="O261" s="269">
        <v>7.0059171597633139</v>
      </c>
      <c r="P261" s="269">
        <v>4.9657155496571477</v>
      </c>
      <c r="Q261" s="269">
        <v>8.2657254240859714</v>
      </c>
      <c r="R261" s="269">
        <v>8.1504549656951042</v>
      </c>
      <c r="S261" s="269">
        <v>4.2292810222262176</v>
      </c>
      <c r="T261" s="269">
        <v>16.753000086333429</v>
      </c>
      <c r="U261" s="269">
        <v>-8.899323400007404</v>
      </c>
      <c r="V261" s="269">
        <v>34.97970779220779</v>
      </c>
      <c r="W261" s="269">
        <v>42.520821431792911</v>
      </c>
      <c r="X261" s="270">
        <v>17.603004156030465</v>
      </c>
    </row>
    <row r="262" spans="1:24" ht="28" hidden="1" outlineLevel="1" x14ac:dyDescent="0.4">
      <c r="A262" s="149"/>
      <c r="B262" s="132"/>
      <c r="C262" s="132" t="s">
        <v>371</v>
      </c>
      <c r="D262" s="132"/>
      <c r="E262" s="150" t="s">
        <v>372</v>
      </c>
      <c r="F262" s="136"/>
      <c r="G262" s="264">
        <v>11.089001447177992</v>
      </c>
      <c r="H262" s="264">
        <v>14.492753623188406</v>
      </c>
      <c r="I262" s="264">
        <v>12.131986915090323</v>
      </c>
      <c r="J262" s="264">
        <v>9.0943683409436744</v>
      </c>
      <c r="K262" s="264">
        <v>10.777816532961282</v>
      </c>
      <c r="L262" s="264">
        <v>12.048698572628041</v>
      </c>
      <c r="M262" s="264">
        <v>7.4185088047957919</v>
      </c>
      <c r="N262" s="264">
        <v>9.129752354377402</v>
      </c>
      <c r="O262" s="264">
        <v>6.959648421893732</v>
      </c>
      <c r="P262" s="264">
        <v>4.5196473927984471</v>
      </c>
      <c r="Q262" s="264">
        <v>8.0051461653920342</v>
      </c>
      <c r="R262" s="264">
        <v>8.7816822182516034</v>
      </c>
      <c r="S262" s="264">
        <v>3.6196617593381291</v>
      </c>
      <c r="T262" s="264">
        <v>20.307638114248803</v>
      </c>
      <c r="U262" s="264">
        <v>-4.0552410696857351</v>
      </c>
      <c r="V262" s="264">
        <v>40.425207263109712</v>
      </c>
      <c r="W262" s="264">
        <v>42.790394436596756</v>
      </c>
      <c r="X262" s="265">
        <v>18.605889962712126</v>
      </c>
    </row>
    <row r="263" spans="1:24" ht="28" hidden="1" outlineLevel="2" x14ac:dyDescent="0.4">
      <c r="A263" s="124"/>
      <c r="B263" s="125"/>
      <c r="C263" s="125"/>
      <c r="D263" s="125" t="s">
        <v>373</v>
      </c>
      <c r="E263" s="139" t="s">
        <v>372</v>
      </c>
      <c r="F263" s="140"/>
      <c r="G263" s="266">
        <v>11.089001447177992</v>
      </c>
      <c r="H263" s="266">
        <v>14.492753623188406</v>
      </c>
      <c r="I263" s="266">
        <v>12.131986915090323</v>
      </c>
      <c r="J263" s="266">
        <v>9.0943683409436744</v>
      </c>
      <c r="K263" s="266">
        <v>10.777816532961282</v>
      </c>
      <c r="L263" s="266">
        <v>12.048698572628041</v>
      </c>
      <c r="M263" s="266">
        <v>7.4185088047957919</v>
      </c>
      <c r="N263" s="266">
        <v>9.129752354377402</v>
      </c>
      <c r="O263" s="266">
        <v>6.959648421893732</v>
      </c>
      <c r="P263" s="266">
        <v>4.5196473927984471</v>
      </c>
      <c r="Q263" s="266">
        <v>8.0051461653920342</v>
      </c>
      <c r="R263" s="266">
        <v>8.7816822182516034</v>
      </c>
      <c r="S263" s="266">
        <v>3.6196617593381291</v>
      </c>
      <c r="T263" s="266">
        <v>20.307638114248803</v>
      </c>
      <c r="U263" s="266">
        <v>-4.0552410696857351</v>
      </c>
      <c r="V263" s="266">
        <v>40.425207263109712</v>
      </c>
      <c r="W263" s="266">
        <v>42.790394436596756</v>
      </c>
      <c r="X263" s="267">
        <v>18.605889962712126</v>
      </c>
    </row>
    <row r="264" spans="1:24" ht="56" hidden="1" outlineLevel="1" collapsed="1" x14ac:dyDescent="0.4">
      <c r="A264" s="149"/>
      <c r="B264" s="132"/>
      <c r="C264" s="132" t="s">
        <v>374</v>
      </c>
      <c r="D264" s="132"/>
      <c r="E264" s="150" t="s">
        <v>375</v>
      </c>
      <c r="F264" s="136"/>
      <c r="G264" s="264">
        <v>6.7689885871704121</v>
      </c>
      <c r="H264" s="264">
        <v>7.8142277921120495</v>
      </c>
      <c r="I264" s="264">
        <v>5.9487179487179418</v>
      </c>
      <c r="J264" s="264">
        <v>6.0664730558244599</v>
      </c>
      <c r="K264" s="264">
        <v>8.2750228171585007</v>
      </c>
      <c r="L264" s="264">
        <v>7.7268895757235185</v>
      </c>
      <c r="M264" s="264">
        <v>7.407407407407419</v>
      </c>
      <c r="N264" s="264">
        <v>6.4837299660028975</v>
      </c>
      <c r="O264" s="264">
        <v>7.137970353477769</v>
      </c>
      <c r="P264" s="264">
        <v>6.2366964665815203</v>
      </c>
      <c r="Q264" s="264">
        <v>8.9961931476657924</v>
      </c>
      <c r="R264" s="264">
        <v>6.3970588235294059</v>
      </c>
      <c r="S264" s="264">
        <v>5.9606081548030403</v>
      </c>
      <c r="T264" s="264">
        <v>6.8808087396054134</v>
      </c>
      <c r="U264" s="264">
        <v>-24.042715484363086</v>
      </c>
      <c r="V264" s="264">
        <v>13.476601727254462</v>
      </c>
      <c r="W264" s="264">
        <v>41.203539823008839</v>
      </c>
      <c r="X264" s="265">
        <v>12.647280020055149</v>
      </c>
    </row>
    <row r="265" spans="1:24" ht="28" hidden="1" outlineLevel="2" x14ac:dyDescent="0.4">
      <c r="A265" s="124"/>
      <c r="B265" s="125"/>
      <c r="C265" s="125"/>
      <c r="D265" s="125" t="s">
        <v>376</v>
      </c>
      <c r="E265" s="139" t="s">
        <v>377</v>
      </c>
      <c r="F265" s="140"/>
      <c r="G265" s="266">
        <v>6.7689885871704121</v>
      </c>
      <c r="H265" s="266">
        <v>7.8142277921120495</v>
      </c>
      <c r="I265" s="266">
        <v>5.9487179487179418</v>
      </c>
      <c r="J265" s="266">
        <v>6.0664730558244599</v>
      </c>
      <c r="K265" s="266">
        <v>8.2750228171585007</v>
      </c>
      <c r="L265" s="266">
        <v>7.7268895757235185</v>
      </c>
      <c r="M265" s="266">
        <v>7.407407407407419</v>
      </c>
      <c r="N265" s="266">
        <v>6.4837299660028975</v>
      </c>
      <c r="O265" s="266">
        <v>7.137970353477769</v>
      </c>
      <c r="P265" s="266">
        <v>6.2366964665815203</v>
      </c>
      <c r="Q265" s="266">
        <v>8.9961931476657924</v>
      </c>
      <c r="R265" s="266">
        <v>6.3970588235294059</v>
      </c>
      <c r="S265" s="266">
        <v>5.9606081548030403</v>
      </c>
      <c r="T265" s="266">
        <v>6.8808087396054134</v>
      </c>
      <c r="U265" s="266">
        <v>-24.042715484363086</v>
      </c>
      <c r="V265" s="266">
        <v>13.476601727254462</v>
      </c>
      <c r="W265" s="266">
        <v>41.203539823008839</v>
      </c>
      <c r="X265" s="267">
        <v>12.647280020055149</v>
      </c>
    </row>
    <row r="266" spans="1:24" collapsed="1" x14ac:dyDescent="0.4">
      <c r="A266" s="160" t="s">
        <v>378</v>
      </c>
      <c r="B266" s="161"/>
      <c r="C266" s="162"/>
      <c r="D266" s="163"/>
      <c r="E266" s="162" t="s">
        <v>379</v>
      </c>
      <c r="F266" s="164"/>
      <c r="G266" s="273">
        <v>12.3751612787905</v>
      </c>
      <c r="H266" s="273">
        <v>12.114236136215737</v>
      </c>
      <c r="I266" s="273">
        <v>11.657289965769252</v>
      </c>
      <c r="J266" s="273">
        <v>5.9301750705780734</v>
      </c>
      <c r="K266" s="273">
        <v>8.0890162543645516</v>
      </c>
      <c r="L266" s="273">
        <v>13.452028094501145</v>
      </c>
      <c r="M266" s="273">
        <v>7.8385795053380605</v>
      </c>
      <c r="N266" s="273">
        <v>7.7472384301023425</v>
      </c>
      <c r="O266" s="273">
        <v>6.3394833270578204</v>
      </c>
      <c r="P266" s="273">
        <v>5.1516224494495759</v>
      </c>
      <c r="Q266" s="273">
        <v>7.8265071323659186</v>
      </c>
      <c r="R266" s="273">
        <v>6.1172829397285113</v>
      </c>
      <c r="S266" s="273">
        <v>7.2675635777228536</v>
      </c>
      <c r="T266" s="273">
        <v>7.0412733534376741</v>
      </c>
      <c r="U266" s="273">
        <v>-5.2604105889609372</v>
      </c>
      <c r="V266" s="273">
        <v>18.725441354531981</v>
      </c>
      <c r="W266" s="273">
        <v>22.387534342249808</v>
      </c>
      <c r="X266" s="274">
        <v>7.3076236089078463</v>
      </c>
    </row>
    <row r="267" spans="1:24" x14ac:dyDescent="0.4">
      <c r="A267" s="166" t="s">
        <v>380</v>
      </c>
      <c r="B267" s="138"/>
      <c r="C267" s="138"/>
      <c r="D267" s="167"/>
      <c r="E267" s="138" t="s">
        <v>381</v>
      </c>
      <c r="F267" s="168"/>
      <c r="G267" s="275">
        <v>18.399920689997032</v>
      </c>
      <c r="H267" s="275">
        <v>13.994250467498404</v>
      </c>
      <c r="I267" s="275">
        <v>6.9950787160590409</v>
      </c>
      <c r="J267" s="275">
        <v>-1.4851258581235669</v>
      </c>
      <c r="K267" s="275">
        <v>12.53397133632204</v>
      </c>
      <c r="L267" s="275">
        <v>17.117674985035208</v>
      </c>
      <c r="M267" s="275">
        <v>6.0081071554458845</v>
      </c>
      <c r="N267" s="275">
        <v>1.0141481986400578</v>
      </c>
      <c r="O267" s="275">
        <v>12.166098849553151</v>
      </c>
      <c r="P267" s="275">
        <v>8.801044738888649</v>
      </c>
      <c r="Q267" s="275">
        <v>2.5812890261500456</v>
      </c>
      <c r="R267" s="275">
        <v>11.17757648265254</v>
      </c>
      <c r="S267" s="275">
        <v>7.7691716431147739</v>
      </c>
      <c r="T267" s="275">
        <v>10.030175015087522</v>
      </c>
      <c r="U267" s="275">
        <v>-11.077426303402603</v>
      </c>
      <c r="V267" s="275">
        <v>26.794365691727975</v>
      </c>
      <c r="W267" s="275">
        <v>31.370068989916859</v>
      </c>
      <c r="X267" s="276">
        <v>4.1170965548351433</v>
      </c>
    </row>
    <row r="268" spans="1:24" x14ac:dyDescent="0.4">
      <c r="A268" s="170" t="s">
        <v>378</v>
      </c>
      <c r="B268" s="171"/>
      <c r="C268" s="171"/>
      <c r="D268" s="172"/>
      <c r="E268" s="171" t="s">
        <v>382</v>
      </c>
      <c r="F268" s="173"/>
      <c r="G268" s="277">
        <v>12.914622527059578</v>
      </c>
      <c r="H268" s="277">
        <v>12.290751669269724</v>
      </c>
      <c r="I268" s="277">
        <v>11.212911837873918</v>
      </c>
      <c r="J268" s="277">
        <v>5.250192003424587</v>
      </c>
      <c r="K268" s="277">
        <v>8.470534756586261</v>
      </c>
      <c r="L268" s="277">
        <v>13.778443554019788</v>
      </c>
      <c r="M268" s="277">
        <v>7.6707973694030755</v>
      </c>
      <c r="N268" s="277">
        <v>7.1396099365798023</v>
      </c>
      <c r="O268" s="277">
        <v>6.8352441488713538</v>
      </c>
      <c r="P268" s="277">
        <v>5.4776295282624261</v>
      </c>
      <c r="Q268" s="277">
        <v>7.3431822361847736</v>
      </c>
      <c r="R268" s="277">
        <v>6.5628827644011949</v>
      </c>
      <c r="S268" s="277">
        <v>7.3136470350505363</v>
      </c>
      <c r="T268" s="277">
        <v>7.31703366400383</v>
      </c>
      <c r="U268" s="277">
        <v>-5.8106649762090683</v>
      </c>
      <c r="V268" s="277">
        <v>19.446032984433188</v>
      </c>
      <c r="W268" s="277">
        <v>23.239065798895567</v>
      </c>
      <c r="X268" s="278">
        <v>6.9852108224910836</v>
      </c>
    </row>
    <row r="269" spans="1:24" x14ac:dyDescent="0.4">
      <c r="A269" s="111"/>
      <c r="D269" s="107"/>
      <c r="F269" s="279"/>
      <c r="G269" s="279"/>
      <c r="H269" s="279"/>
      <c r="I269" s="279"/>
      <c r="J269" s="279"/>
      <c r="K269" s="279"/>
      <c r="L269" s="279"/>
      <c r="M269" s="279"/>
      <c r="N269" s="279"/>
      <c r="O269" s="279"/>
      <c r="P269" s="279"/>
      <c r="Q269" s="279"/>
      <c r="R269" s="279"/>
      <c r="S269" s="279"/>
      <c r="T269" s="279"/>
      <c r="U269" s="279"/>
      <c r="V269" s="279"/>
      <c r="W269" s="279"/>
      <c r="X269" s="280"/>
    </row>
    <row r="270" spans="1:24" s="115" customFormat="1" ht="16" x14ac:dyDescent="0.45">
      <c r="A270" s="1942" t="s">
        <v>383</v>
      </c>
      <c r="B270" s="1943"/>
      <c r="C270" s="1943"/>
      <c r="D270" s="1943"/>
      <c r="E270" s="1943"/>
      <c r="F270" s="281"/>
      <c r="G270" s="281"/>
      <c r="H270" s="281"/>
      <c r="I270" s="281"/>
      <c r="J270" s="281"/>
      <c r="K270" s="281"/>
      <c r="L270" s="281"/>
      <c r="M270" s="281"/>
      <c r="N270" s="281"/>
      <c r="O270" s="281"/>
      <c r="P270" s="281"/>
      <c r="Q270" s="281"/>
      <c r="R270" s="281"/>
      <c r="S270" s="281"/>
      <c r="T270" s="281"/>
      <c r="U270" s="281"/>
      <c r="V270" s="281"/>
      <c r="W270" s="281"/>
      <c r="X270" s="282"/>
    </row>
    <row r="271" spans="1:24" x14ac:dyDescent="0.4">
      <c r="A271" s="116"/>
      <c r="B271" s="117"/>
      <c r="C271" s="117"/>
      <c r="D271" s="117"/>
      <c r="E271" s="118"/>
      <c r="F271" s="279"/>
      <c r="G271" s="279"/>
      <c r="H271" s="279"/>
      <c r="I271" s="279"/>
      <c r="J271" s="279"/>
      <c r="K271" s="279"/>
      <c r="L271" s="279"/>
      <c r="M271" s="279"/>
      <c r="N271" s="279"/>
      <c r="O271" s="279"/>
      <c r="P271" s="279"/>
      <c r="Q271" s="279"/>
      <c r="R271" s="279"/>
      <c r="S271" s="279"/>
      <c r="T271" s="279"/>
      <c r="U271" s="279"/>
      <c r="V271" s="279"/>
      <c r="W271" s="279"/>
      <c r="X271" s="280"/>
    </row>
    <row r="272" spans="1:24" x14ac:dyDescent="0.4">
      <c r="A272" s="160" t="s">
        <v>384</v>
      </c>
      <c r="B272" s="161"/>
      <c r="C272" s="161"/>
      <c r="D272" s="161"/>
      <c r="E272" s="182" t="s">
        <v>385</v>
      </c>
      <c r="F272" s="283"/>
      <c r="G272" s="283">
        <v>12.115415214152421</v>
      </c>
      <c r="H272" s="283">
        <v>11.64545938361799</v>
      </c>
      <c r="I272" s="283">
        <v>9.0778297798578649</v>
      </c>
      <c r="J272" s="283">
        <v>6.7008862120658392</v>
      </c>
      <c r="K272" s="283">
        <v>7.6259364248799812</v>
      </c>
      <c r="L272" s="283">
        <v>11.248108786302069</v>
      </c>
      <c r="M272" s="283">
        <v>9.3099673683643118</v>
      </c>
      <c r="N272" s="283">
        <v>7.8481055871759935</v>
      </c>
      <c r="O272" s="283">
        <v>7.6179874472646247</v>
      </c>
      <c r="P272" s="283">
        <v>9.517125302307349</v>
      </c>
      <c r="Q272" s="283">
        <v>7.7482725331654336</v>
      </c>
      <c r="R272" s="283">
        <v>6.2977580214088817</v>
      </c>
      <c r="S272" s="283">
        <v>7.5026576064866504</v>
      </c>
      <c r="T272" s="283">
        <v>8.4757737224596639</v>
      </c>
      <c r="U272" s="283">
        <v>-1.9724266903202903</v>
      </c>
      <c r="V272" s="283">
        <v>20.622118896619313</v>
      </c>
      <c r="W272" s="283">
        <v>22.012847196962326</v>
      </c>
      <c r="X272" s="284">
        <v>11.066225606573781</v>
      </c>
    </row>
    <row r="273" spans="1:24" ht="28.5" x14ac:dyDescent="0.4">
      <c r="A273" s="183" t="s">
        <v>386</v>
      </c>
      <c r="B273" s="184"/>
      <c r="C273" s="185"/>
      <c r="D273" s="184"/>
      <c r="E273" s="186" t="s">
        <v>387</v>
      </c>
      <c r="F273" s="285"/>
      <c r="G273" s="286">
        <v>12.076768134771498</v>
      </c>
      <c r="H273" s="286">
        <v>11.763515984221968</v>
      </c>
      <c r="I273" s="286">
        <v>9.6127473843219349</v>
      </c>
      <c r="J273" s="286">
        <v>5.9379405824897589</v>
      </c>
      <c r="K273" s="286">
        <v>7.5222406061914029</v>
      </c>
      <c r="L273" s="286">
        <v>11.429248438893836</v>
      </c>
      <c r="M273" s="286">
        <v>9.4383804622747363</v>
      </c>
      <c r="N273" s="286">
        <v>6.9784613415141479</v>
      </c>
      <c r="O273" s="286">
        <v>7.5476576640105293</v>
      </c>
      <c r="P273" s="286">
        <v>9.4813369521591824</v>
      </c>
      <c r="Q273" s="286">
        <v>8.259696232212292</v>
      </c>
      <c r="R273" s="286">
        <v>5.7182850676836665</v>
      </c>
      <c r="S273" s="286">
        <v>6.6965729834643071</v>
      </c>
      <c r="T273" s="286">
        <v>8.1839353096525826</v>
      </c>
      <c r="U273" s="286">
        <v>-2.991342621721202</v>
      </c>
      <c r="V273" s="286">
        <v>22.786369641964484</v>
      </c>
      <c r="W273" s="286">
        <v>25.214083802059122</v>
      </c>
      <c r="X273" s="287">
        <v>10.745240354060542</v>
      </c>
    </row>
    <row r="274" spans="1:24" x14ac:dyDescent="0.4">
      <c r="A274" s="189" t="s">
        <v>388</v>
      </c>
      <c r="B274" s="190"/>
      <c r="C274" s="191"/>
      <c r="D274" s="190"/>
      <c r="E274" s="192" t="s">
        <v>389</v>
      </c>
      <c r="F274" s="288"/>
      <c r="G274" s="288">
        <v>12.053823432884812</v>
      </c>
      <c r="H274" s="288">
        <v>11.75064728141804</v>
      </c>
      <c r="I274" s="288">
        <v>9.6442212600599078</v>
      </c>
      <c r="J274" s="288">
        <v>5.8768035339225264</v>
      </c>
      <c r="K274" s="288">
        <v>7.5190097471989645</v>
      </c>
      <c r="L274" s="288">
        <v>11.398582211570769</v>
      </c>
      <c r="M274" s="288">
        <v>9.3885480623993089</v>
      </c>
      <c r="N274" s="288">
        <v>6.9599880527059383</v>
      </c>
      <c r="O274" s="288">
        <v>7.4515936400465677</v>
      </c>
      <c r="P274" s="288">
        <v>9.5186594912719755</v>
      </c>
      <c r="Q274" s="288">
        <v>8.2457930465480018</v>
      </c>
      <c r="R274" s="288">
        <v>5.743174310348607</v>
      </c>
      <c r="S274" s="289">
        <v>6.6907467208866507</v>
      </c>
      <c r="T274" s="289">
        <v>8.1851214667182859</v>
      </c>
      <c r="U274" s="289">
        <v>-2.9892565820014596</v>
      </c>
      <c r="V274" s="289">
        <v>22.835950985251131</v>
      </c>
      <c r="W274" s="289">
        <v>25.268521739130435</v>
      </c>
      <c r="X274" s="290">
        <v>10.72117774131118</v>
      </c>
    </row>
    <row r="275" spans="1:24" x14ac:dyDescent="0.4">
      <c r="A275" s="196" t="s">
        <v>390</v>
      </c>
      <c r="B275" s="197"/>
      <c r="C275" s="198"/>
      <c r="D275" s="197"/>
      <c r="E275" s="199" t="s">
        <v>391</v>
      </c>
      <c r="F275" s="279"/>
      <c r="G275" s="279">
        <v>18.311533888228297</v>
      </c>
      <c r="H275" s="279">
        <v>15.075376884422113</v>
      </c>
      <c r="I275" s="279">
        <v>1.7467248908296966</v>
      </c>
      <c r="J275" s="279">
        <v>22.403433476394838</v>
      </c>
      <c r="K275" s="279">
        <v>8.2748948106591911</v>
      </c>
      <c r="L275" s="279">
        <v>18.523316062176164</v>
      </c>
      <c r="M275" s="279">
        <v>20.273224043715857</v>
      </c>
      <c r="N275" s="279">
        <v>10.631531122217169</v>
      </c>
      <c r="O275" s="279">
        <v>25.913757700205338</v>
      </c>
      <c r="P275" s="279">
        <v>3.3920417482061254</v>
      </c>
      <c r="Q275" s="279">
        <v>10.662460567823345</v>
      </c>
      <c r="R275" s="279">
        <v>1.5108323831242814</v>
      </c>
      <c r="S275" s="291">
        <v>7.7225498455490111</v>
      </c>
      <c r="T275" s="291">
        <v>7.97705943691345</v>
      </c>
      <c r="U275" s="291">
        <v>-3.3558667310478114</v>
      </c>
      <c r="V275" s="291">
        <v>14.089432925306028</v>
      </c>
      <c r="W275" s="291">
        <v>14.933216553536226</v>
      </c>
      <c r="X275" s="292">
        <v>15.698228233949322</v>
      </c>
    </row>
    <row r="276" spans="1:24" x14ac:dyDescent="0.4">
      <c r="A276" s="202" t="s">
        <v>392</v>
      </c>
      <c r="B276" s="203"/>
      <c r="C276" s="204"/>
      <c r="D276" s="203"/>
      <c r="E276" s="205" t="s">
        <v>393</v>
      </c>
      <c r="F276" s="288"/>
      <c r="G276" s="293">
        <v>12.303354111012183</v>
      </c>
      <c r="H276" s="293">
        <v>11.07251411202779</v>
      </c>
      <c r="I276" s="293">
        <v>6.4656491144576194</v>
      </c>
      <c r="J276" s="293">
        <v>10.536734889364283</v>
      </c>
      <c r="K276" s="293">
        <v>8.1255957711083369</v>
      </c>
      <c r="L276" s="293">
        <v>10.380156016242779</v>
      </c>
      <c r="M276" s="293">
        <v>8.688812246626739</v>
      </c>
      <c r="N276" s="293">
        <v>12.083727662417189</v>
      </c>
      <c r="O276" s="293">
        <v>7.9449278817499192</v>
      </c>
      <c r="P276" s="293">
        <v>9.6828814900704856</v>
      </c>
      <c r="Q276" s="293">
        <v>5.3839312682484746</v>
      </c>
      <c r="R276" s="293">
        <v>9.0497989729708195</v>
      </c>
      <c r="S276" s="293">
        <v>11.213970738545115</v>
      </c>
      <c r="T276" s="293">
        <v>9.764855709896807</v>
      </c>
      <c r="U276" s="293">
        <v>2.4634136130664359</v>
      </c>
      <c r="V276" s="293">
        <v>11.701668164785261</v>
      </c>
      <c r="W276" s="293">
        <v>7.5088570025186243</v>
      </c>
      <c r="X276" s="294">
        <v>12.760031884283379</v>
      </c>
    </row>
    <row r="277" spans="1:24" x14ac:dyDescent="0.4">
      <c r="A277" s="208"/>
      <c r="C277" s="197"/>
      <c r="D277" s="107"/>
      <c r="E277" s="209"/>
      <c r="F277" s="279"/>
      <c r="G277" s="279"/>
      <c r="H277" s="279"/>
      <c r="I277" s="279"/>
      <c r="J277" s="279"/>
      <c r="K277" s="279"/>
      <c r="L277" s="279"/>
      <c r="M277" s="279"/>
      <c r="N277" s="279"/>
      <c r="O277" s="279"/>
      <c r="P277" s="279"/>
      <c r="Q277" s="279"/>
      <c r="R277" s="279"/>
      <c r="S277" s="279"/>
      <c r="T277" s="279"/>
      <c r="U277" s="279"/>
      <c r="V277" s="279"/>
      <c r="W277" s="279"/>
      <c r="X277" s="280"/>
    </row>
    <row r="278" spans="1:24" x14ac:dyDescent="0.4">
      <c r="A278" s="160" t="s">
        <v>394</v>
      </c>
      <c r="B278" s="161"/>
      <c r="C278" s="161"/>
      <c r="D278" s="161"/>
      <c r="E278" s="182" t="s">
        <v>395</v>
      </c>
      <c r="F278" s="164"/>
      <c r="G278" s="273">
        <v>19.602672532757651</v>
      </c>
      <c r="H278" s="273">
        <v>14.813333942606462</v>
      </c>
      <c r="I278" s="273">
        <v>12.477239485388509</v>
      </c>
      <c r="J278" s="273">
        <v>-2.4406641720407265</v>
      </c>
      <c r="K278" s="273">
        <v>7.9830256428856501</v>
      </c>
      <c r="L278" s="273">
        <v>19.531774821980392</v>
      </c>
      <c r="M278" s="273">
        <v>3.499171045606559</v>
      </c>
      <c r="N278" s="273">
        <v>7.51718941959831</v>
      </c>
      <c r="O278" s="273">
        <v>15.604403929193708</v>
      </c>
      <c r="P278" s="273">
        <v>4.4686056290342009</v>
      </c>
      <c r="Q278" s="273">
        <v>4.6057342986330667</v>
      </c>
      <c r="R278" s="273">
        <v>-0.64962321853325022</v>
      </c>
      <c r="S278" s="273">
        <v>5.3069169483341341</v>
      </c>
      <c r="T278" s="273">
        <v>8.2544049444277334</v>
      </c>
      <c r="U278" s="273">
        <v>-15.73357923485213</v>
      </c>
      <c r="V278" s="273">
        <v>18.127221986606571</v>
      </c>
      <c r="W278" s="273">
        <v>28.627277159700384</v>
      </c>
      <c r="X278" s="274">
        <v>-26.29429764710747</v>
      </c>
    </row>
    <row r="279" spans="1:24" x14ac:dyDescent="0.4">
      <c r="A279" s="295" t="s">
        <v>396</v>
      </c>
      <c r="B279" s="184"/>
      <c r="C279" s="184"/>
      <c r="D279" s="184"/>
      <c r="E279" s="186" t="s">
        <v>397</v>
      </c>
      <c r="F279" s="187"/>
      <c r="G279" s="296">
        <v>21.651158521949071</v>
      </c>
      <c r="H279" s="296">
        <v>19.749991294961532</v>
      </c>
      <c r="I279" s="296">
        <v>1.2193112539133182</v>
      </c>
      <c r="J279" s="296">
        <v>8.7703842728691654</v>
      </c>
      <c r="K279" s="296">
        <v>5.5788361651553799</v>
      </c>
      <c r="L279" s="296">
        <v>13.122149307495405</v>
      </c>
      <c r="M279" s="296">
        <v>3.7865609152022586</v>
      </c>
      <c r="N279" s="296">
        <v>8.2208222952961876</v>
      </c>
      <c r="O279" s="296">
        <v>13.504751404420645</v>
      </c>
      <c r="P279" s="296">
        <v>8.7543508678608219</v>
      </c>
      <c r="Q279" s="296">
        <v>1.625242563598178</v>
      </c>
      <c r="R279" s="296">
        <v>4.6036661923495501</v>
      </c>
      <c r="S279" s="296">
        <v>4.8686684804353035</v>
      </c>
      <c r="T279" s="296">
        <v>7.5255022962796829</v>
      </c>
      <c r="U279" s="296">
        <v>-18.684330744632248</v>
      </c>
      <c r="V279" s="296">
        <v>23.52896258317881</v>
      </c>
      <c r="W279" s="296">
        <v>23.525463841962562</v>
      </c>
      <c r="X279" s="297">
        <v>-2.3155727450153307</v>
      </c>
    </row>
    <row r="280" spans="1:24" hidden="1" outlineLevel="1" x14ac:dyDescent="0.4">
      <c r="A280" s="212" t="s">
        <v>398</v>
      </c>
      <c r="B280" s="163"/>
      <c r="C280" s="163"/>
      <c r="D280" s="163"/>
      <c r="E280" s="192" t="s">
        <v>399</v>
      </c>
      <c r="F280" s="193"/>
      <c r="G280" s="298">
        <v>19.101338432122361</v>
      </c>
      <c r="H280" s="298">
        <v>37.03644244662064</v>
      </c>
      <c r="I280" s="298">
        <v>-8.4114339268978426</v>
      </c>
      <c r="J280" s="298">
        <v>28.734970580711177</v>
      </c>
      <c r="K280" s="298">
        <v>0.69054597843907572</v>
      </c>
      <c r="L280" s="298">
        <v>11.885731201894629</v>
      </c>
      <c r="M280" s="298">
        <v>23.142390968823051</v>
      </c>
      <c r="N280" s="298">
        <v>24.186213070725145</v>
      </c>
      <c r="O280" s="298">
        <v>10.343435508521011</v>
      </c>
      <c r="P280" s="298">
        <v>11.859091621805248</v>
      </c>
      <c r="Q280" s="298">
        <v>6.2938043173535192</v>
      </c>
      <c r="R280" s="298">
        <v>2.7363840168798532</v>
      </c>
      <c r="S280" s="289">
        <v>6.2704576086259038</v>
      </c>
      <c r="T280" s="289">
        <v>-4.1812618271127633</v>
      </c>
      <c r="U280" s="289">
        <v>-30.373763052293214</v>
      </c>
      <c r="V280" s="289">
        <v>49.505129752564869</v>
      </c>
      <c r="W280" s="289">
        <v>12.70536471158114</v>
      </c>
      <c r="X280" s="290">
        <v>9.6989667090489036</v>
      </c>
    </row>
    <row r="281" spans="1:24" hidden="1" outlineLevel="1" x14ac:dyDescent="0.4">
      <c r="A281" s="213" t="s">
        <v>400</v>
      </c>
      <c r="D281" s="107"/>
      <c r="E281" s="199" t="s">
        <v>401</v>
      </c>
      <c r="F281" s="175"/>
      <c r="G281" s="227">
        <v>12.908826617136398</v>
      </c>
      <c r="H281" s="227">
        <v>26.574401888209408</v>
      </c>
      <c r="I281" s="227">
        <v>1.022772221280448</v>
      </c>
      <c r="J281" s="227">
        <v>18.847186486184128</v>
      </c>
      <c r="K281" s="227">
        <v>5.459465819508182</v>
      </c>
      <c r="L281" s="227">
        <v>3.7241994867789856</v>
      </c>
      <c r="M281" s="227">
        <v>3.6743825832544559</v>
      </c>
      <c r="N281" s="227">
        <v>10.740371845949539</v>
      </c>
      <c r="O281" s="227">
        <v>20.602233548193681</v>
      </c>
      <c r="P281" s="227">
        <v>12.810154902661466</v>
      </c>
      <c r="Q281" s="227">
        <v>3.8549471132657516</v>
      </c>
      <c r="R281" s="227">
        <v>7.0271990663996746</v>
      </c>
      <c r="S281" s="291">
        <v>1.7111491091120712</v>
      </c>
      <c r="T281" s="291">
        <v>5.9339481282054436</v>
      </c>
      <c r="U281" s="291">
        <v>-27.134938706041993</v>
      </c>
      <c r="V281" s="291">
        <v>4.030807108361472</v>
      </c>
      <c r="W281" s="291">
        <v>3.4892893986285571</v>
      </c>
      <c r="X281" s="292">
        <v>5.8182831007388245</v>
      </c>
    </row>
    <row r="282" spans="1:24" hidden="1" outlineLevel="1" x14ac:dyDescent="0.4">
      <c r="A282" s="212" t="s">
        <v>402</v>
      </c>
      <c r="B282" s="163"/>
      <c r="C282" s="163"/>
      <c r="D282" s="163"/>
      <c r="E282" s="192" t="s">
        <v>403</v>
      </c>
      <c r="F282" s="193"/>
      <c r="G282" s="298">
        <v>33.544513732254217</v>
      </c>
      <c r="H282" s="298">
        <v>10.503961650232242</v>
      </c>
      <c r="I282" s="298">
        <v>2.0431557653405292</v>
      </c>
      <c r="J282" s="298">
        <v>-6.3856032071190896</v>
      </c>
      <c r="K282" s="298">
        <v>7.9623529411764622</v>
      </c>
      <c r="L282" s="298">
        <v>21.519483915961985</v>
      </c>
      <c r="M282" s="298">
        <v>-2.186233365615692</v>
      </c>
      <c r="N282" s="298">
        <v>-1.6318597700727935</v>
      </c>
      <c r="O282" s="298">
        <v>10.861339447147202</v>
      </c>
      <c r="P282" s="298">
        <v>2.1386777859977286</v>
      </c>
      <c r="Q282" s="298">
        <v>-4.5664054783696599</v>
      </c>
      <c r="R282" s="298">
        <v>1.4282264463380159</v>
      </c>
      <c r="S282" s="289">
        <v>9.2394816502840058</v>
      </c>
      <c r="T282" s="289">
        <v>17.945045535922773</v>
      </c>
      <c r="U282" s="289">
        <v>-6.2973522346294999</v>
      </c>
      <c r="V282" s="289">
        <v>30.534856531109568</v>
      </c>
      <c r="W282" s="289">
        <v>43.227435576466519</v>
      </c>
      <c r="X282" s="290">
        <v>-14.437261727167254</v>
      </c>
    </row>
    <row r="283" spans="1:24" hidden="1" outlineLevel="1" x14ac:dyDescent="0.4">
      <c r="A283" s="213" t="s">
        <v>404</v>
      </c>
      <c r="D283" s="107"/>
      <c r="E283" s="199" t="s">
        <v>405</v>
      </c>
      <c r="F283" s="175"/>
      <c r="G283" s="227">
        <v>5.0632911392405049</v>
      </c>
      <c r="H283" s="227">
        <v>10.788608981380079</v>
      </c>
      <c r="I283" s="227">
        <v>19.67375185368266</v>
      </c>
      <c r="J283" s="227">
        <v>21.02437009500207</v>
      </c>
      <c r="K283" s="227">
        <v>5.3242320819112621</v>
      </c>
      <c r="L283" s="227">
        <v>10.077770576798443</v>
      </c>
      <c r="M283" s="227">
        <v>-14.395054459817487</v>
      </c>
      <c r="N283" s="227">
        <v>-2.9229711141678223</v>
      </c>
      <c r="O283" s="227">
        <v>7.0846617074034697</v>
      </c>
      <c r="P283" s="227">
        <v>16.7714191200794</v>
      </c>
      <c r="Q283" s="227">
        <v>27.195467422096314</v>
      </c>
      <c r="R283" s="227">
        <v>15.523385300668153</v>
      </c>
      <c r="S283" s="291">
        <v>-4.2413726624252917</v>
      </c>
      <c r="T283" s="291">
        <v>20.293940004026581</v>
      </c>
      <c r="U283" s="291">
        <v>15.146443514644361</v>
      </c>
      <c r="V283" s="291">
        <v>28.706395348837219</v>
      </c>
      <c r="W283" s="291">
        <v>20.146809712027107</v>
      </c>
      <c r="X283" s="292">
        <v>18.648369207632285</v>
      </c>
    </row>
    <row r="284" spans="1:24" hidden="1" outlineLevel="1" x14ac:dyDescent="0.4">
      <c r="A284" s="189" t="s">
        <v>406</v>
      </c>
      <c r="B284" s="163"/>
      <c r="C284" s="163"/>
      <c r="D284" s="163"/>
      <c r="E284" s="192" t="s">
        <v>407</v>
      </c>
      <c r="F284" s="193"/>
      <c r="G284" s="298">
        <v>-1.670708703853407</v>
      </c>
      <c r="H284" s="298">
        <v>14.935598794190199</v>
      </c>
      <c r="I284" s="298">
        <v>24.439675727229385</v>
      </c>
      <c r="J284" s="298">
        <v>6.0739605288369489</v>
      </c>
      <c r="K284" s="298">
        <v>6.1054913294797757</v>
      </c>
      <c r="L284" s="298">
        <v>25.093632958801493</v>
      </c>
      <c r="M284" s="298">
        <v>-1.5106151333696261</v>
      </c>
      <c r="N284" s="298">
        <v>8.5670858090368824</v>
      </c>
      <c r="O284" s="298">
        <v>-0.39455262822960435</v>
      </c>
      <c r="P284" s="298">
        <v>7.3984155379504273</v>
      </c>
      <c r="Q284" s="298">
        <v>-7.4003569303985728</v>
      </c>
      <c r="R284" s="298">
        <v>9.3922651933701786</v>
      </c>
      <c r="S284" s="289">
        <v>2.4665257223396679</v>
      </c>
      <c r="T284" s="289">
        <v>5.169646950939935</v>
      </c>
      <c r="U284" s="289">
        <v>-2.2670299727520415</v>
      </c>
      <c r="V284" s="289">
        <v>5.865952938552482</v>
      </c>
      <c r="W284" s="289">
        <v>29.948383019066682</v>
      </c>
      <c r="X284" s="290">
        <v>10.659857328145279</v>
      </c>
    </row>
    <row r="285" spans="1:24" collapsed="1" x14ac:dyDescent="0.4">
      <c r="A285" s="295" t="s">
        <v>408</v>
      </c>
      <c r="B285" s="184"/>
      <c r="C285" s="184"/>
      <c r="D285" s="184"/>
      <c r="E285" s="186" t="s">
        <v>409</v>
      </c>
      <c r="F285" s="187"/>
      <c r="G285" s="299">
        <v>-42.071611253196927</v>
      </c>
      <c r="H285" s="299">
        <v>-298.01324503311258</v>
      </c>
      <c r="I285" s="299">
        <v>-419.28651059085837</v>
      </c>
      <c r="J285" s="299">
        <v>-138.72206703910615</v>
      </c>
      <c r="K285" s="299">
        <v>-74.180943793207092</v>
      </c>
      <c r="L285" s="299">
        <v>-875.6693830034925</v>
      </c>
      <c r="M285" s="299">
        <v>-2.3713042173195191</v>
      </c>
      <c r="N285" s="299">
        <v>-7.7017678708685651</v>
      </c>
      <c r="O285" s="299">
        <v>68.937375083277828</v>
      </c>
      <c r="P285" s="299">
        <v>-68.618751848565509</v>
      </c>
      <c r="Q285" s="299">
        <v>180.74143889412505</v>
      </c>
      <c r="R285" s="299">
        <v>-112.98119964189794</v>
      </c>
      <c r="S285" s="299">
        <v>-70.258620689655174</v>
      </c>
      <c r="T285" s="299">
        <v>-434.78260869565219</v>
      </c>
      <c r="U285" s="299">
        <v>559.91341991341994</v>
      </c>
      <c r="V285" s="299">
        <v>-111.74232484912096</v>
      </c>
      <c r="W285" s="299">
        <v>-1263.1284916201118</v>
      </c>
      <c r="X285" s="300">
        <v>-670.76849183477418</v>
      </c>
    </row>
    <row r="286" spans="1:24" x14ac:dyDescent="0.4">
      <c r="A286" s="202" t="s">
        <v>410</v>
      </c>
      <c r="B286" s="301"/>
      <c r="C286" s="301"/>
      <c r="D286" s="301"/>
      <c r="E286" s="205" t="s">
        <v>411</v>
      </c>
      <c r="F286" s="206"/>
      <c r="G286" s="302">
        <v>0</v>
      </c>
      <c r="H286" s="302">
        <v>5</v>
      </c>
      <c r="I286" s="302">
        <v>-4.7619047619047734</v>
      </c>
      <c r="J286" s="302">
        <v>5</v>
      </c>
      <c r="K286" s="302">
        <v>-4.7619047619047734</v>
      </c>
      <c r="L286" s="302">
        <v>5</v>
      </c>
      <c r="M286" s="302">
        <v>9.5238095238095326</v>
      </c>
      <c r="N286" s="302">
        <v>4.3478260869565162</v>
      </c>
      <c r="O286" s="302">
        <v>4.1666666666666714</v>
      </c>
      <c r="P286" s="302">
        <v>8</v>
      </c>
      <c r="Q286" s="302">
        <v>3.7037037037036953</v>
      </c>
      <c r="R286" s="302">
        <v>-14.285714285714292</v>
      </c>
      <c r="S286" s="303">
        <v>4.1666666666666714</v>
      </c>
      <c r="T286" s="303">
        <v>8</v>
      </c>
      <c r="U286" s="303">
        <v>0</v>
      </c>
      <c r="V286" s="303">
        <v>0</v>
      </c>
      <c r="W286" s="303">
        <v>3.7037037037036953</v>
      </c>
      <c r="X286" s="304">
        <v>0</v>
      </c>
    </row>
    <row r="287" spans="1:24" x14ac:dyDescent="0.4">
      <c r="A287" s="216" t="s">
        <v>412</v>
      </c>
      <c r="B287" s="217"/>
      <c r="C287" s="217"/>
      <c r="D287" s="217"/>
      <c r="E287" s="218" t="s">
        <v>413</v>
      </c>
      <c r="F287" s="285"/>
      <c r="G287" s="285">
        <v>17.954842646674223</v>
      </c>
      <c r="H287" s="285">
        <v>4.0855542252376154</v>
      </c>
      <c r="I287" s="285">
        <v>22.558473095985349</v>
      </c>
      <c r="J287" s="285">
        <v>-4.5433477787305065</v>
      </c>
      <c r="K287" s="285">
        <v>7.9180879086196967</v>
      </c>
      <c r="L287" s="285">
        <v>34.218932781427156</v>
      </c>
      <c r="M287" s="285">
        <v>5.0718200559811066</v>
      </c>
      <c r="N287" s="285">
        <v>3.0116926414522425</v>
      </c>
      <c r="O287" s="285">
        <v>-1.7397835142542988</v>
      </c>
      <c r="P287" s="285">
        <v>-0.76512721914471626</v>
      </c>
      <c r="Q287" s="285">
        <v>0.94333629780206252</v>
      </c>
      <c r="R287" s="285">
        <v>9.66300619867215</v>
      </c>
      <c r="S287" s="285">
        <v>12.659244806610801</v>
      </c>
      <c r="T287" s="285">
        <v>7.1031988590057011</v>
      </c>
      <c r="U287" s="285">
        <v>-19.734620597817042</v>
      </c>
      <c r="V287" s="285">
        <v>43.072672868400787</v>
      </c>
      <c r="W287" s="285">
        <v>53.943397300837091</v>
      </c>
      <c r="X287" s="305">
        <v>-5.6797164513373701</v>
      </c>
    </row>
    <row r="288" spans="1:24" x14ac:dyDescent="0.4">
      <c r="A288" s="160" t="s">
        <v>414</v>
      </c>
      <c r="B288" s="161"/>
      <c r="C288" s="161"/>
      <c r="D288" s="161"/>
      <c r="E288" s="182" t="s">
        <v>415</v>
      </c>
      <c r="F288" s="283"/>
      <c r="G288" s="283">
        <v>20.981509881651661</v>
      </c>
      <c r="H288" s="283">
        <v>5.9005022721836866</v>
      </c>
      <c r="I288" s="283">
        <v>13.324073446710472</v>
      </c>
      <c r="J288" s="283">
        <v>-6.3774874692335999</v>
      </c>
      <c r="K288" s="283">
        <v>3.7923216927612629</v>
      </c>
      <c r="L288" s="283">
        <v>28.189220230526274</v>
      </c>
      <c r="M288" s="283">
        <v>6.7645294188232441</v>
      </c>
      <c r="N288" s="283">
        <v>6.4775477480312702</v>
      </c>
      <c r="O288" s="283">
        <v>11.948826932008501</v>
      </c>
      <c r="P288" s="283">
        <v>14.874973284889933</v>
      </c>
      <c r="Q288" s="283">
        <v>1.5529411764705827</v>
      </c>
      <c r="R288" s="283">
        <v>-0.12231394271181273</v>
      </c>
      <c r="S288" s="283">
        <v>9.9643398557409739</v>
      </c>
      <c r="T288" s="283">
        <v>12.806197290892939</v>
      </c>
      <c r="U288" s="283">
        <v>-10.835718075621699</v>
      </c>
      <c r="V288" s="283">
        <v>38.810549266165594</v>
      </c>
      <c r="W288" s="283">
        <v>43.79137560262555</v>
      </c>
      <c r="X288" s="284">
        <v>-12.939227248401195</v>
      </c>
    </row>
    <row r="289" spans="1:24" x14ac:dyDescent="0.4">
      <c r="A289" s="221" t="s">
        <v>378</v>
      </c>
      <c r="B289" s="222"/>
      <c r="C289" s="223"/>
      <c r="D289" s="222"/>
      <c r="E289" s="224" t="s">
        <v>382</v>
      </c>
      <c r="F289" s="306"/>
      <c r="G289" s="306">
        <v>12.914622527059578</v>
      </c>
      <c r="H289" s="306">
        <v>12.290751669269724</v>
      </c>
      <c r="I289" s="306">
        <v>11.212911837873918</v>
      </c>
      <c r="J289" s="306">
        <v>5.250192003424587</v>
      </c>
      <c r="K289" s="306">
        <v>8.470534756586261</v>
      </c>
      <c r="L289" s="306">
        <v>13.778443554019788</v>
      </c>
      <c r="M289" s="306">
        <v>7.6707973694030755</v>
      </c>
      <c r="N289" s="306">
        <v>7.1396099365798023</v>
      </c>
      <c r="O289" s="306">
        <v>6.8352441488713538</v>
      </c>
      <c r="P289" s="306">
        <v>5.4776295282624261</v>
      </c>
      <c r="Q289" s="306">
        <v>7.3431822361847736</v>
      </c>
      <c r="R289" s="306">
        <v>6.5628827644011949</v>
      </c>
      <c r="S289" s="306">
        <v>7.3136470350505363</v>
      </c>
      <c r="T289" s="306">
        <v>7.31703366400383</v>
      </c>
      <c r="U289" s="306">
        <v>-5.8106649762090683</v>
      </c>
      <c r="V289" s="306">
        <v>19.446032984433188</v>
      </c>
      <c r="W289" s="306">
        <v>23.239065798895567</v>
      </c>
      <c r="X289" s="307">
        <v>6.9851427856069392</v>
      </c>
    </row>
    <row r="290" spans="1:24" x14ac:dyDescent="0.4">
      <c r="A290" s="210"/>
      <c r="C290" s="197"/>
      <c r="D290" s="107"/>
      <c r="F290" s="279"/>
      <c r="G290" s="279"/>
      <c r="H290" s="279"/>
      <c r="I290" s="279"/>
      <c r="J290" s="279"/>
      <c r="K290" s="279"/>
      <c r="L290" s="279"/>
      <c r="M290" s="279"/>
      <c r="N290" s="279"/>
      <c r="O290" s="279"/>
      <c r="P290" s="279"/>
      <c r="X290" s="112"/>
    </row>
    <row r="291" spans="1:24" s="115" customFormat="1" ht="16" x14ac:dyDescent="0.45">
      <c r="A291" s="1942" t="s">
        <v>435</v>
      </c>
      <c r="B291" s="1943"/>
      <c r="C291" s="1943"/>
      <c r="D291" s="1943"/>
      <c r="E291" s="1943"/>
      <c r="F291" s="281"/>
      <c r="G291" s="281"/>
      <c r="H291" s="281"/>
      <c r="I291" s="281"/>
      <c r="J291" s="281"/>
      <c r="K291" s="281"/>
      <c r="L291" s="281"/>
      <c r="M291" s="281"/>
      <c r="N291" s="281"/>
      <c r="O291" s="281"/>
      <c r="P291" s="281"/>
      <c r="Q291" s="113"/>
      <c r="R291" s="113"/>
      <c r="S291" s="113"/>
      <c r="T291" s="113"/>
      <c r="U291" s="113"/>
      <c r="V291" s="113"/>
      <c r="W291" s="113"/>
      <c r="X291" s="114"/>
    </row>
    <row r="292" spans="1:24" x14ac:dyDescent="0.4">
      <c r="A292" s="116"/>
      <c r="B292" s="117"/>
      <c r="C292" s="117"/>
      <c r="D292" s="117"/>
      <c r="E292" s="118"/>
      <c r="F292" s="279"/>
      <c r="G292" s="279"/>
      <c r="H292" s="279"/>
      <c r="I292" s="279"/>
      <c r="J292" s="279"/>
      <c r="K292" s="279"/>
      <c r="L292" s="279"/>
      <c r="M292" s="279"/>
      <c r="N292" s="279"/>
      <c r="O292" s="279"/>
      <c r="P292" s="279"/>
      <c r="X292" s="112"/>
    </row>
    <row r="293" spans="1:24" x14ac:dyDescent="0.4">
      <c r="A293" s="230" t="s">
        <v>417</v>
      </c>
      <c r="B293" s="163"/>
      <c r="C293" s="231"/>
      <c r="D293" s="163"/>
      <c r="E293" s="232" t="s">
        <v>418</v>
      </c>
      <c r="F293" s="288"/>
      <c r="G293" s="288">
        <v>12.588475045033576</v>
      </c>
      <c r="H293" s="288">
        <v>12.881095713304518</v>
      </c>
      <c r="I293" s="288">
        <v>9.7246878937120584</v>
      </c>
      <c r="J293" s="288">
        <v>8.9247851984264059</v>
      </c>
      <c r="K293" s="288">
        <v>7.5915932463269939</v>
      </c>
      <c r="L293" s="288">
        <v>8.2427798436838913</v>
      </c>
      <c r="M293" s="288">
        <v>10.370648467674329</v>
      </c>
      <c r="N293" s="288">
        <v>8.2364124356967068</v>
      </c>
      <c r="O293" s="288">
        <v>8.0892355909145692</v>
      </c>
      <c r="P293" s="288">
        <v>9.2534471908680302</v>
      </c>
      <c r="Q293" s="288">
        <v>6.2900327005873038</v>
      </c>
      <c r="R293" s="288">
        <v>7.1535630622751256</v>
      </c>
      <c r="S293" s="289">
        <v>7.5856704799339241</v>
      </c>
      <c r="T293" s="289">
        <v>8.6097995638423583</v>
      </c>
      <c r="U293" s="289">
        <v>2.0358520336605892</v>
      </c>
      <c r="V293" s="289">
        <v>8.9672687442279937</v>
      </c>
      <c r="W293" s="289">
        <v>12.841902978639538</v>
      </c>
      <c r="X293" s="290">
        <v>13.278633404219093</v>
      </c>
    </row>
    <row r="294" spans="1:24" ht="28" x14ac:dyDescent="0.4">
      <c r="A294" s="233" t="s">
        <v>419</v>
      </c>
      <c r="D294" s="107"/>
      <c r="E294" s="106" t="s">
        <v>420</v>
      </c>
      <c r="F294" s="279"/>
      <c r="G294" s="279">
        <v>18.818709811242471</v>
      </c>
      <c r="H294" s="279">
        <v>13.073364465587218</v>
      </c>
      <c r="I294" s="279">
        <v>7.83140668120501</v>
      </c>
      <c r="J294" s="279">
        <v>0.86263982102907732</v>
      </c>
      <c r="K294" s="279">
        <v>11.21067480525933</v>
      </c>
      <c r="L294" s="279">
        <v>15.802153968887112</v>
      </c>
      <c r="M294" s="279">
        <v>6.4385014949227752</v>
      </c>
      <c r="N294" s="279">
        <v>1.0821726298348295</v>
      </c>
      <c r="O294" s="279">
        <v>11.04010859543078</v>
      </c>
      <c r="P294" s="279">
        <v>10.291895881627042</v>
      </c>
      <c r="Q294" s="279">
        <v>3.2781571214957239</v>
      </c>
      <c r="R294" s="279">
        <v>10.539850963874926</v>
      </c>
      <c r="S294" s="291">
        <v>8.1655644910146634</v>
      </c>
      <c r="T294" s="291">
        <v>9.7990566756708688</v>
      </c>
      <c r="U294" s="291">
        <v>-13.153896579647551</v>
      </c>
      <c r="V294" s="291">
        <v>28.16293546696977</v>
      </c>
      <c r="W294" s="291">
        <v>29.539990160958411</v>
      </c>
      <c r="X294" s="292">
        <v>7.721602944008211</v>
      </c>
    </row>
    <row r="295" spans="1:24" x14ac:dyDescent="0.4">
      <c r="A295" s="308" t="s">
        <v>421</v>
      </c>
      <c r="B295" s="163"/>
      <c r="C295" s="163"/>
      <c r="D295" s="163"/>
      <c r="E295" s="309" t="s">
        <v>422</v>
      </c>
      <c r="F295" s="288"/>
      <c r="G295" s="288">
        <v>11.902022462421897</v>
      </c>
      <c r="H295" s="288">
        <v>11.777024190771755</v>
      </c>
      <c r="I295" s="288">
        <v>12.829492854219325</v>
      </c>
      <c r="J295" s="288">
        <v>4.0606137667446944</v>
      </c>
      <c r="K295" s="288">
        <v>8.4429446265309736</v>
      </c>
      <c r="L295" s="288">
        <v>16.653576316740072</v>
      </c>
      <c r="M295" s="288">
        <v>6.4335044502714425</v>
      </c>
      <c r="N295" s="288">
        <v>7.7603717632864999</v>
      </c>
      <c r="O295" s="288">
        <v>5.3004426324119862</v>
      </c>
      <c r="P295" s="288">
        <v>2.2657132103876592</v>
      </c>
      <c r="Q295" s="288">
        <v>8.9018566907110142</v>
      </c>
      <c r="R295" s="288">
        <v>5.3694875732121119</v>
      </c>
      <c r="S295" s="289">
        <v>6.9568529190679129</v>
      </c>
      <c r="T295" s="289">
        <v>5.9533604082604228</v>
      </c>
      <c r="U295" s="289">
        <v>-9.1931150249315863</v>
      </c>
      <c r="V295" s="289">
        <v>25.13703459855779</v>
      </c>
      <c r="W295" s="289">
        <v>28.392596132442748</v>
      </c>
      <c r="X295" s="290">
        <v>3.3235089795240498</v>
      </c>
    </row>
    <row r="296" spans="1:24" x14ac:dyDescent="0.4">
      <c r="A296" s="310" t="s">
        <v>378</v>
      </c>
      <c r="B296" s="223"/>
      <c r="C296" s="311"/>
      <c r="D296" s="223"/>
      <c r="E296" s="312" t="s">
        <v>382</v>
      </c>
      <c r="F296" s="306"/>
      <c r="G296" s="306">
        <v>12.914622527059578</v>
      </c>
      <c r="H296" s="306">
        <v>12.290751669269724</v>
      </c>
      <c r="I296" s="306">
        <v>11.212911837873918</v>
      </c>
      <c r="J296" s="306">
        <v>5.250192003424587</v>
      </c>
      <c r="K296" s="306">
        <v>8.470534756586261</v>
      </c>
      <c r="L296" s="306">
        <v>13.778443554019788</v>
      </c>
      <c r="M296" s="306">
        <v>7.6707973694030755</v>
      </c>
      <c r="N296" s="306">
        <v>7.1396099365798023</v>
      </c>
      <c r="O296" s="306">
        <v>6.8352441488713538</v>
      </c>
      <c r="P296" s="306">
        <v>5.4776295282624261</v>
      </c>
      <c r="Q296" s="306">
        <v>7.3431822361847736</v>
      </c>
      <c r="R296" s="306">
        <v>6.5628827644011949</v>
      </c>
      <c r="S296" s="313">
        <v>7.3136470350505363</v>
      </c>
      <c r="T296" s="313">
        <v>7.31703366400383</v>
      </c>
      <c r="U296" s="313">
        <v>-5.8106649762090683</v>
      </c>
      <c r="V296" s="313">
        <v>19.446032984433188</v>
      </c>
      <c r="W296" s="313">
        <v>23.239065798895567</v>
      </c>
      <c r="X296" s="314">
        <v>6.9851427856069392</v>
      </c>
    </row>
    <row r="297" spans="1:24" x14ac:dyDescent="0.4">
      <c r="A297" s="111"/>
      <c r="D297" s="107"/>
      <c r="F297" s="279"/>
      <c r="G297" s="279"/>
      <c r="H297" s="279"/>
      <c r="I297" s="279"/>
      <c r="J297" s="279"/>
      <c r="K297" s="279"/>
      <c r="L297" s="279"/>
      <c r="M297" s="279"/>
      <c r="N297" s="279"/>
      <c r="O297" s="279"/>
      <c r="P297" s="279"/>
      <c r="X297" s="112"/>
    </row>
    <row r="298" spans="1:24" s="115" customFormat="1" ht="16" x14ac:dyDescent="0.45">
      <c r="A298" s="1942" t="s">
        <v>423</v>
      </c>
      <c r="B298" s="1943"/>
      <c r="C298" s="1943"/>
      <c r="D298" s="1943"/>
      <c r="E298" s="1943"/>
      <c r="F298" s="281"/>
      <c r="G298" s="281"/>
      <c r="H298" s="281"/>
      <c r="I298" s="281"/>
      <c r="J298" s="281"/>
      <c r="K298" s="281"/>
      <c r="L298" s="281"/>
      <c r="M298" s="281"/>
      <c r="N298" s="281"/>
      <c r="O298" s="281"/>
      <c r="P298" s="281"/>
      <c r="Q298" s="113"/>
      <c r="R298" s="113"/>
      <c r="S298" s="113"/>
      <c r="T298" s="113"/>
      <c r="U298" s="113"/>
      <c r="V298" s="113"/>
      <c r="W298" s="113"/>
      <c r="X298" s="114"/>
    </row>
    <row r="299" spans="1:24" x14ac:dyDescent="0.4">
      <c r="A299" s="111"/>
      <c r="D299" s="107"/>
      <c r="E299" s="106" t="s">
        <v>424</v>
      </c>
      <c r="F299" s="279"/>
      <c r="G299" s="279">
        <v>1.1956456582062458</v>
      </c>
      <c r="H299" s="279">
        <v>1.1584124742714863</v>
      </c>
      <c r="I299" s="279">
        <v>1.1143981885963115</v>
      </c>
      <c r="J299" s="279">
        <v>1.100321817928517</v>
      </c>
      <c r="K299" s="279">
        <v>1.09533823924302</v>
      </c>
      <c r="L299" s="279">
        <v>1.0595674501271191</v>
      </c>
      <c r="M299" s="279">
        <v>1.0058824670144304</v>
      </c>
      <c r="N299" s="279">
        <v>0.96301304681118438</v>
      </c>
      <c r="O299" s="279">
        <v>0.94875877689027277</v>
      </c>
      <c r="P299" s="279">
        <v>0.9765139806143992</v>
      </c>
      <c r="Q299" s="279">
        <v>1.1146071099435346</v>
      </c>
      <c r="R299" s="279">
        <v>1.2579170207479393</v>
      </c>
      <c r="S299" s="279">
        <v>1.769945507305053</v>
      </c>
      <c r="T299" s="279">
        <v>2.3564431994085737</v>
      </c>
      <c r="U299" s="279">
        <v>2.048699483383956</v>
      </c>
      <c r="V299" s="279">
        <v>1.407982800704815</v>
      </c>
      <c r="W299" s="279">
        <v>1.1059135310109269</v>
      </c>
      <c r="X299" s="280">
        <v>1.0309273363701834</v>
      </c>
    </row>
    <row r="300" spans="1:24" x14ac:dyDescent="0.4">
      <c r="A300" s="236"/>
      <c r="B300" s="237"/>
      <c r="C300" s="238"/>
      <c r="D300" s="237"/>
      <c r="E300" s="239" t="s">
        <v>436</v>
      </c>
      <c r="F300" s="315"/>
      <c r="G300" s="316">
        <v>11.580512302252856</v>
      </c>
      <c r="H300" s="316">
        <v>11.004850729156487</v>
      </c>
      <c r="I300" s="316">
        <v>9.987216526907261</v>
      </c>
      <c r="J300" s="316">
        <v>4.104707574081857</v>
      </c>
      <c r="K300" s="316">
        <v>7.2952865981539787</v>
      </c>
      <c r="L300" s="316">
        <v>12.585524257468947</v>
      </c>
      <c r="M300" s="316">
        <v>6.5985478140811153</v>
      </c>
      <c r="N300" s="316">
        <v>6.1176780379116593</v>
      </c>
      <c r="O300" s="316">
        <v>5.8311653804865387</v>
      </c>
      <c r="P300" s="316">
        <v>4.4575826153057534</v>
      </c>
      <c r="Q300" s="316">
        <v>6.159919160809352</v>
      </c>
      <c r="R300" s="316">
        <v>5.2390643735587901</v>
      </c>
      <c r="S300" s="316">
        <v>5.447285318589536</v>
      </c>
      <c r="T300" s="316">
        <v>4.8463880230296326</v>
      </c>
      <c r="U300" s="316">
        <v>-7.701582946052568</v>
      </c>
      <c r="V300" s="316">
        <v>17.787605941802994</v>
      </c>
      <c r="W300" s="316">
        <v>21.891055026849585</v>
      </c>
      <c r="X300" s="317">
        <v>5.8934593707662231</v>
      </c>
    </row>
    <row r="301" spans="1:24" x14ac:dyDescent="0.4">
      <c r="A301" s="97"/>
      <c r="B301" s="97"/>
      <c r="C301" s="97"/>
      <c r="D301" s="97"/>
      <c r="E301" s="242"/>
      <c r="F301" s="318"/>
      <c r="G301" s="318"/>
      <c r="H301" s="318"/>
      <c r="I301" s="318"/>
      <c r="J301" s="318"/>
      <c r="K301" s="318"/>
      <c r="L301" s="318"/>
      <c r="M301" s="318"/>
      <c r="N301" s="318"/>
      <c r="O301" s="318"/>
      <c r="P301" s="318"/>
      <c r="Q301" s="97"/>
      <c r="R301" s="97"/>
      <c r="S301" s="97"/>
      <c r="T301" s="97"/>
      <c r="U301" s="97"/>
      <c r="V301" s="97"/>
      <c r="W301" s="97"/>
      <c r="X301" s="97"/>
    </row>
    <row r="302" spans="1:24" ht="16.5" customHeight="1" x14ac:dyDescent="0.4">
      <c r="A302" s="243" t="s">
        <v>426</v>
      </c>
      <c r="B302" s="244"/>
      <c r="C302" s="244"/>
      <c r="D302" s="244"/>
      <c r="E302" s="245"/>
      <c r="F302" s="319"/>
      <c r="G302" s="319"/>
      <c r="H302" s="320"/>
      <c r="I302" s="320"/>
      <c r="J302" s="320"/>
      <c r="K302" s="320"/>
      <c r="L302" s="320"/>
      <c r="M302" s="320"/>
      <c r="N302" s="320"/>
      <c r="O302" s="320"/>
      <c r="P302" s="320"/>
      <c r="Q302" s="246"/>
      <c r="R302" s="246"/>
      <c r="S302" s="246"/>
      <c r="T302" s="246"/>
      <c r="U302" s="246"/>
      <c r="V302" s="246"/>
      <c r="W302" s="246"/>
      <c r="X302" s="247"/>
    </row>
    <row r="303" spans="1:24" ht="16.5" customHeight="1" x14ac:dyDescent="0.4">
      <c r="A303" s="249" t="s">
        <v>427</v>
      </c>
      <c r="B303" s="250"/>
      <c r="C303" s="250"/>
      <c r="D303" s="250"/>
      <c r="E303" s="250"/>
      <c r="F303" s="321"/>
      <c r="G303" s="321"/>
      <c r="H303" s="322"/>
      <c r="I303" s="322"/>
      <c r="J303" s="322"/>
      <c r="K303" s="322"/>
      <c r="L303" s="322"/>
      <c r="M303" s="322"/>
      <c r="N303" s="322"/>
      <c r="O303" s="322"/>
      <c r="P303" s="322"/>
      <c r="Q303" s="248"/>
      <c r="R303" s="248"/>
      <c r="S303" s="248"/>
      <c r="T303" s="248"/>
      <c r="U303" s="248"/>
      <c r="V303" s="248"/>
      <c r="W303" s="248"/>
      <c r="X303" s="251"/>
    </row>
    <row r="304" spans="1:24" ht="16.5" customHeight="1" x14ac:dyDescent="0.4">
      <c r="A304" s="249" t="s">
        <v>428</v>
      </c>
      <c r="B304" s="250"/>
      <c r="C304" s="250"/>
      <c r="D304" s="250"/>
      <c r="E304" s="250"/>
      <c r="F304" s="321"/>
      <c r="G304" s="321"/>
      <c r="H304" s="322"/>
      <c r="I304" s="322"/>
      <c r="J304" s="322"/>
      <c r="K304" s="322"/>
      <c r="L304" s="322"/>
      <c r="M304" s="322"/>
      <c r="N304" s="322"/>
      <c r="O304" s="322"/>
      <c r="P304" s="322"/>
      <c r="Q304" s="248"/>
      <c r="R304" s="248"/>
      <c r="S304" s="248"/>
      <c r="T304" s="248"/>
      <c r="U304" s="248"/>
      <c r="V304" s="248"/>
      <c r="W304" s="248"/>
      <c r="X304" s="251"/>
    </row>
    <row r="305" spans="1:24" x14ac:dyDescent="0.4">
      <c r="A305" s="323" t="s">
        <v>429</v>
      </c>
      <c r="X305" s="112"/>
    </row>
    <row r="306" spans="1:24" ht="16.5" customHeight="1" x14ac:dyDescent="0.4">
      <c r="A306" s="253" t="s">
        <v>431</v>
      </c>
      <c r="B306" s="254"/>
      <c r="C306" s="254"/>
      <c r="D306" s="254"/>
      <c r="E306" s="255"/>
      <c r="F306" s="324"/>
      <c r="G306" s="324"/>
      <c r="H306" s="325"/>
      <c r="I306" s="325"/>
      <c r="J306" s="325"/>
      <c r="K306" s="325"/>
      <c r="L306" s="325"/>
      <c r="M306" s="325"/>
      <c r="N306" s="325"/>
      <c r="O306" s="325"/>
      <c r="P306" s="325"/>
      <c r="Q306" s="256"/>
      <c r="R306" s="256"/>
      <c r="S306" s="256"/>
      <c r="T306" s="256"/>
      <c r="U306" s="256"/>
      <c r="V306" s="256"/>
      <c r="W306" s="256"/>
      <c r="X306" s="257"/>
    </row>
    <row r="307" spans="1:24" x14ac:dyDescent="0.4">
      <c r="D307" s="107"/>
      <c r="E307" s="107"/>
      <c r="F307" s="279"/>
      <c r="G307" s="279"/>
      <c r="H307" s="279"/>
      <c r="I307" s="279"/>
      <c r="J307" s="279"/>
      <c r="K307" s="279"/>
      <c r="L307" s="279"/>
      <c r="M307" s="279"/>
      <c r="N307" s="279"/>
      <c r="O307" s="279"/>
      <c r="P307" s="279"/>
    </row>
    <row r="308" spans="1:24" x14ac:dyDescent="0.4">
      <c r="D308" s="107"/>
      <c r="E308" s="107"/>
      <c r="F308" s="279"/>
      <c r="G308" s="279"/>
      <c r="H308" s="279"/>
      <c r="I308" s="279"/>
      <c r="J308" s="279"/>
      <c r="K308" s="279"/>
      <c r="L308" s="279"/>
      <c r="M308" s="279"/>
      <c r="N308" s="279"/>
      <c r="O308" s="279"/>
      <c r="P308" s="279"/>
    </row>
    <row r="309" spans="1:24" x14ac:dyDescent="0.4">
      <c r="D309" s="107"/>
      <c r="E309" s="107"/>
      <c r="F309" s="279"/>
      <c r="G309" s="279"/>
      <c r="H309" s="279"/>
      <c r="I309" s="279"/>
      <c r="J309" s="279"/>
      <c r="K309" s="279"/>
      <c r="L309" s="279"/>
      <c r="M309" s="279"/>
      <c r="N309" s="279"/>
      <c r="O309" s="279"/>
      <c r="P309" s="279"/>
    </row>
    <row r="310" spans="1:24" x14ac:dyDescent="0.4">
      <c r="D310" s="107"/>
      <c r="E310" s="107"/>
      <c r="F310" s="279"/>
      <c r="G310" s="279"/>
      <c r="H310" s="279"/>
      <c r="I310" s="279"/>
      <c r="J310" s="279"/>
      <c r="K310" s="279"/>
      <c r="L310" s="279"/>
      <c r="M310" s="279"/>
      <c r="N310" s="279"/>
      <c r="O310" s="279"/>
      <c r="P310" s="279"/>
    </row>
    <row r="311" spans="1:24" x14ac:dyDescent="0.4">
      <c r="D311" s="107"/>
      <c r="E311" s="107"/>
      <c r="F311" s="279"/>
      <c r="G311" s="279"/>
      <c r="H311" s="279"/>
      <c r="I311" s="279"/>
      <c r="J311" s="279"/>
      <c r="K311" s="279"/>
      <c r="L311" s="279"/>
      <c r="M311" s="279"/>
      <c r="N311" s="279"/>
      <c r="O311" s="279"/>
      <c r="P311" s="279"/>
    </row>
    <row r="312" spans="1:24" x14ac:dyDescent="0.4">
      <c r="D312" s="107"/>
      <c r="E312" s="107"/>
      <c r="F312" s="279"/>
      <c r="G312" s="279"/>
      <c r="H312" s="279"/>
      <c r="I312" s="279"/>
      <c r="J312" s="279"/>
      <c r="K312" s="279"/>
      <c r="L312" s="279"/>
      <c r="M312" s="279"/>
      <c r="N312" s="279"/>
      <c r="O312" s="279"/>
      <c r="P312" s="279"/>
    </row>
    <row r="313" spans="1:24" x14ac:dyDescent="0.4">
      <c r="D313" s="107"/>
      <c r="E313" s="107"/>
      <c r="F313" s="279"/>
      <c r="G313" s="279"/>
      <c r="H313" s="279"/>
      <c r="I313" s="279"/>
      <c r="J313" s="279"/>
      <c r="K313" s="279"/>
      <c r="L313" s="279"/>
      <c r="M313" s="279"/>
      <c r="N313" s="279"/>
      <c r="O313" s="279"/>
      <c r="P313" s="279"/>
    </row>
    <row r="314" spans="1:24" x14ac:dyDescent="0.4">
      <c r="D314" s="107"/>
      <c r="E314" s="107"/>
      <c r="F314" s="279"/>
      <c r="G314" s="279"/>
      <c r="H314" s="279"/>
      <c r="I314" s="279"/>
      <c r="J314" s="279"/>
      <c r="K314" s="279"/>
      <c r="L314" s="279"/>
      <c r="M314" s="279"/>
      <c r="N314" s="279"/>
      <c r="O314" s="279"/>
      <c r="P314" s="279"/>
    </row>
    <row r="315" spans="1:24" x14ac:dyDescent="0.4">
      <c r="D315" s="107"/>
      <c r="E315" s="107"/>
      <c r="F315" s="279"/>
      <c r="G315" s="279"/>
      <c r="H315" s="279"/>
      <c r="I315" s="279"/>
      <c r="J315" s="279"/>
      <c r="K315" s="279"/>
      <c r="L315" s="279"/>
      <c r="M315" s="279"/>
      <c r="N315" s="279"/>
      <c r="O315" s="279"/>
      <c r="P315" s="279"/>
    </row>
    <row r="316" spans="1:24" x14ac:dyDescent="0.4">
      <c r="D316" s="107"/>
      <c r="E316" s="107"/>
      <c r="F316" s="279"/>
      <c r="G316" s="279"/>
      <c r="H316" s="279"/>
      <c r="I316" s="279"/>
      <c r="J316" s="279"/>
      <c r="K316" s="279"/>
      <c r="L316" s="279"/>
      <c r="M316" s="279"/>
      <c r="N316" s="279"/>
      <c r="O316" s="279"/>
      <c r="P316" s="279"/>
    </row>
    <row r="317" spans="1:24" x14ac:dyDescent="0.4">
      <c r="D317" s="107"/>
      <c r="E317" s="107"/>
      <c r="F317" s="279"/>
      <c r="G317" s="279"/>
      <c r="H317" s="279"/>
      <c r="I317" s="279"/>
      <c r="J317" s="279"/>
      <c r="K317" s="279"/>
      <c r="L317" s="279"/>
      <c r="M317" s="279"/>
      <c r="N317" s="279"/>
      <c r="O317" s="279"/>
      <c r="P317" s="279"/>
    </row>
    <row r="318" spans="1:24" x14ac:dyDescent="0.4">
      <c r="D318" s="107"/>
      <c r="E318" s="107"/>
      <c r="F318" s="279"/>
      <c r="G318" s="279"/>
      <c r="H318" s="279"/>
      <c r="I318" s="279"/>
      <c r="J318" s="279"/>
      <c r="K318" s="279"/>
      <c r="L318" s="279"/>
      <c r="M318" s="279"/>
      <c r="N318" s="279"/>
      <c r="O318" s="279"/>
      <c r="P318" s="279"/>
    </row>
    <row r="319" spans="1:24" x14ac:dyDescent="0.4">
      <c r="D319" s="107"/>
      <c r="E319" s="107"/>
      <c r="F319" s="279"/>
      <c r="G319" s="279"/>
      <c r="H319" s="279"/>
      <c r="I319" s="279"/>
      <c r="J319" s="279"/>
      <c r="K319" s="279"/>
      <c r="L319" s="279"/>
      <c r="M319" s="279"/>
      <c r="N319" s="279"/>
      <c r="O319" s="279"/>
      <c r="P319" s="279"/>
    </row>
    <row r="320" spans="1:24" x14ac:dyDescent="0.4">
      <c r="D320" s="107"/>
      <c r="E320" s="107"/>
      <c r="F320" s="279"/>
      <c r="G320" s="279"/>
      <c r="H320" s="279"/>
      <c r="I320" s="279"/>
      <c r="J320" s="279"/>
      <c r="K320" s="279"/>
      <c r="L320" s="279"/>
      <c r="M320" s="279"/>
      <c r="N320" s="279"/>
      <c r="O320" s="279"/>
      <c r="P320" s="279"/>
    </row>
    <row r="321" spans="4:16" x14ac:dyDescent="0.4">
      <c r="D321" s="107"/>
      <c r="E321" s="107"/>
      <c r="F321" s="279"/>
      <c r="G321" s="279"/>
      <c r="H321" s="279"/>
      <c r="I321" s="279"/>
      <c r="J321" s="279"/>
      <c r="K321" s="279"/>
      <c r="L321" s="279"/>
      <c r="M321" s="279"/>
      <c r="N321" s="279"/>
      <c r="O321" s="279"/>
      <c r="P321" s="279"/>
    </row>
    <row r="322" spans="4:16" x14ac:dyDescent="0.4">
      <c r="D322" s="107"/>
      <c r="E322" s="107"/>
      <c r="F322" s="279"/>
      <c r="G322" s="279"/>
      <c r="H322" s="279"/>
      <c r="I322" s="279"/>
      <c r="J322" s="279"/>
      <c r="K322" s="279"/>
      <c r="L322" s="279"/>
      <c r="M322" s="279"/>
      <c r="N322" s="279"/>
      <c r="O322" s="279"/>
      <c r="P322" s="279"/>
    </row>
    <row r="323" spans="4:16" x14ac:dyDescent="0.4">
      <c r="D323" s="107"/>
      <c r="E323" s="107"/>
      <c r="F323" s="279"/>
      <c r="G323" s="279"/>
      <c r="H323" s="279"/>
      <c r="I323" s="279"/>
      <c r="J323" s="279"/>
      <c r="K323" s="279"/>
      <c r="L323" s="279"/>
      <c r="M323" s="279"/>
      <c r="N323" s="279"/>
      <c r="O323" s="279"/>
      <c r="P323" s="279"/>
    </row>
    <row r="324" spans="4:16" x14ac:dyDescent="0.4">
      <c r="D324" s="107"/>
      <c r="E324" s="107"/>
      <c r="F324" s="279"/>
      <c r="G324" s="279"/>
      <c r="H324" s="279"/>
      <c r="I324" s="279"/>
      <c r="J324" s="279"/>
      <c r="K324" s="279"/>
      <c r="L324" s="279"/>
      <c r="M324" s="279"/>
      <c r="N324" s="279"/>
      <c r="O324" s="279"/>
      <c r="P324" s="279"/>
    </row>
    <row r="325" spans="4:16" x14ac:dyDescent="0.4">
      <c r="D325" s="107"/>
      <c r="E325" s="107"/>
      <c r="F325" s="279"/>
      <c r="G325" s="279"/>
      <c r="H325" s="279"/>
      <c r="I325" s="279"/>
      <c r="J325" s="279"/>
      <c r="K325" s="279"/>
      <c r="L325" s="279"/>
      <c r="M325" s="279"/>
      <c r="N325" s="279"/>
      <c r="O325" s="279"/>
      <c r="P325" s="279"/>
    </row>
    <row r="326" spans="4:16" x14ac:dyDescent="0.4">
      <c r="D326" s="107"/>
      <c r="E326" s="107"/>
      <c r="F326" s="279"/>
      <c r="G326" s="279"/>
      <c r="H326" s="279"/>
      <c r="I326" s="279"/>
      <c r="J326" s="279"/>
      <c r="K326" s="279"/>
      <c r="L326" s="279"/>
      <c r="M326" s="279"/>
      <c r="N326" s="279"/>
      <c r="O326" s="279"/>
      <c r="P326" s="279"/>
    </row>
    <row r="327" spans="4:16" x14ac:dyDescent="0.4">
      <c r="D327" s="107"/>
      <c r="E327" s="107"/>
      <c r="F327" s="279"/>
      <c r="G327" s="279"/>
      <c r="H327" s="279"/>
      <c r="I327" s="279"/>
      <c r="J327" s="279"/>
      <c r="K327" s="279"/>
      <c r="L327" s="279"/>
      <c r="M327" s="279"/>
      <c r="N327" s="279"/>
      <c r="O327" s="279"/>
      <c r="P327" s="279"/>
    </row>
    <row r="328" spans="4:16" x14ac:dyDescent="0.4">
      <c r="D328" s="107"/>
      <c r="E328" s="107"/>
      <c r="F328" s="279"/>
      <c r="G328" s="279"/>
      <c r="H328" s="279"/>
      <c r="I328" s="279"/>
      <c r="J328" s="279"/>
      <c r="K328" s="279"/>
      <c r="L328" s="279"/>
      <c r="M328" s="279"/>
      <c r="N328" s="279"/>
      <c r="O328" s="279"/>
      <c r="P328" s="279"/>
    </row>
    <row r="329" spans="4:16" x14ac:dyDescent="0.4">
      <c r="D329" s="107"/>
      <c r="E329" s="107"/>
      <c r="F329" s="279"/>
      <c r="G329" s="279"/>
      <c r="H329" s="279"/>
      <c r="I329" s="279"/>
      <c r="J329" s="279"/>
      <c r="K329" s="279"/>
      <c r="L329" s="279"/>
      <c r="M329" s="279"/>
      <c r="N329" s="279"/>
      <c r="O329" s="279"/>
      <c r="P329" s="279"/>
    </row>
    <row r="330" spans="4:16" x14ac:dyDescent="0.4">
      <c r="D330" s="107"/>
      <c r="E330" s="107"/>
      <c r="F330" s="279"/>
      <c r="G330" s="279"/>
      <c r="H330" s="279"/>
      <c r="I330" s="279"/>
      <c r="J330" s="279"/>
      <c r="K330" s="279"/>
      <c r="L330" s="279"/>
      <c r="M330" s="279"/>
      <c r="N330" s="279"/>
      <c r="O330" s="279"/>
      <c r="P330" s="279"/>
    </row>
    <row r="331" spans="4:16" x14ac:dyDescent="0.4">
      <c r="D331" s="107"/>
      <c r="E331" s="107"/>
      <c r="F331" s="279"/>
      <c r="G331" s="279"/>
      <c r="H331" s="279"/>
      <c r="I331" s="279"/>
      <c r="J331" s="279"/>
      <c r="K331" s="279"/>
      <c r="L331" s="279"/>
      <c r="M331" s="279"/>
      <c r="N331" s="279"/>
      <c r="O331" s="279"/>
      <c r="P331" s="279"/>
    </row>
    <row r="332" spans="4:16" x14ac:dyDescent="0.4">
      <c r="D332" s="107"/>
      <c r="E332" s="107"/>
      <c r="F332" s="279"/>
      <c r="G332" s="279"/>
      <c r="H332" s="279"/>
      <c r="I332" s="279"/>
      <c r="J332" s="279"/>
      <c r="K332" s="279"/>
      <c r="L332" s="279"/>
      <c r="M332" s="279"/>
      <c r="N332" s="279"/>
      <c r="O332" s="279"/>
      <c r="P332" s="279"/>
    </row>
    <row r="333" spans="4:16" x14ac:dyDescent="0.4">
      <c r="D333" s="107"/>
      <c r="E333" s="107"/>
      <c r="F333" s="279"/>
      <c r="G333" s="279"/>
      <c r="H333" s="279"/>
      <c r="I333" s="279"/>
      <c r="J333" s="279"/>
      <c r="K333" s="279"/>
      <c r="L333" s="279"/>
      <c r="M333" s="279"/>
      <c r="N333" s="279"/>
      <c r="O333" s="279"/>
      <c r="P333" s="279"/>
    </row>
    <row r="334" spans="4:16" ht="15" x14ac:dyDescent="0.4">
      <c r="D334" s="107"/>
      <c r="E334" s="107"/>
      <c r="F334" s="279"/>
      <c r="G334" s="279"/>
      <c r="H334" s="279"/>
      <c r="I334" s="279"/>
      <c r="J334" s="279"/>
      <c r="K334" s="279"/>
      <c r="L334" s="279"/>
      <c r="M334" s="279"/>
      <c r="N334"/>
      <c r="O334" s="279"/>
      <c r="P334" s="279"/>
    </row>
    <row r="335" spans="4:16" x14ac:dyDescent="0.4">
      <c r="D335" s="107"/>
      <c r="E335" s="107"/>
      <c r="F335" s="279"/>
      <c r="G335" s="279"/>
      <c r="H335" s="279"/>
      <c r="I335" s="279"/>
      <c r="J335" s="279"/>
      <c r="K335" s="279"/>
      <c r="L335" s="279"/>
      <c r="M335" s="279"/>
      <c r="N335" s="279"/>
      <c r="O335" s="279"/>
      <c r="P335" s="279"/>
    </row>
    <row r="336" spans="4:16" x14ac:dyDescent="0.4">
      <c r="D336" s="107"/>
      <c r="E336" s="107"/>
      <c r="F336" s="279"/>
      <c r="G336" s="279"/>
      <c r="H336" s="279"/>
      <c r="I336" s="279"/>
      <c r="J336" s="279"/>
      <c r="K336" s="279"/>
      <c r="L336" s="279"/>
      <c r="M336" s="279"/>
      <c r="N336" s="279"/>
      <c r="O336" s="279"/>
      <c r="P336" s="279"/>
    </row>
    <row r="337" spans="4:16" x14ac:dyDescent="0.4">
      <c r="D337" s="107"/>
      <c r="E337" s="107"/>
      <c r="F337" s="279"/>
      <c r="G337" s="279"/>
      <c r="H337" s="279"/>
      <c r="I337" s="279"/>
      <c r="J337" s="279"/>
      <c r="K337" s="279"/>
      <c r="L337" s="279"/>
      <c r="M337" s="279"/>
      <c r="N337" s="279"/>
      <c r="O337" s="279"/>
      <c r="P337" s="279"/>
    </row>
    <row r="338" spans="4:16" x14ac:dyDescent="0.4">
      <c r="D338" s="107"/>
      <c r="E338" s="107"/>
      <c r="F338" s="279"/>
      <c r="G338" s="279"/>
      <c r="H338" s="279"/>
      <c r="I338" s="279"/>
      <c r="J338" s="279"/>
      <c r="K338" s="279"/>
      <c r="L338" s="279"/>
      <c r="M338" s="279"/>
      <c r="N338" s="279"/>
      <c r="O338" s="279"/>
      <c r="P338" s="279"/>
    </row>
    <row r="339" spans="4:16" x14ac:dyDescent="0.4">
      <c r="D339" s="107"/>
      <c r="E339" s="107"/>
      <c r="F339" s="279"/>
      <c r="G339" s="279"/>
      <c r="H339" s="279"/>
      <c r="I339" s="279"/>
      <c r="J339" s="279"/>
      <c r="K339" s="279"/>
      <c r="L339" s="279"/>
      <c r="M339" s="279"/>
      <c r="N339" s="279"/>
      <c r="O339" s="279"/>
      <c r="P339" s="279"/>
    </row>
    <row r="340" spans="4:16" x14ac:dyDescent="0.4">
      <c r="D340" s="107"/>
      <c r="E340" s="107"/>
      <c r="F340" s="279"/>
      <c r="G340" s="279"/>
      <c r="H340" s="279"/>
      <c r="I340" s="279"/>
      <c r="J340" s="279"/>
      <c r="K340" s="279"/>
      <c r="L340" s="279"/>
      <c r="M340" s="279"/>
      <c r="N340" s="279"/>
      <c r="O340" s="279"/>
      <c r="P340" s="279"/>
    </row>
    <row r="341" spans="4:16" x14ac:dyDescent="0.4">
      <c r="D341" s="107"/>
      <c r="E341" s="107"/>
      <c r="F341" s="279"/>
      <c r="G341" s="279"/>
      <c r="H341" s="279"/>
      <c r="I341" s="279"/>
      <c r="J341" s="279"/>
      <c r="K341" s="279"/>
      <c r="L341" s="279"/>
      <c r="M341" s="279"/>
      <c r="N341" s="279"/>
      <c r="O341" s="279"/>
      <c r="P341" s="279"/>
    </row>
    <row r="342" spans="4:16" x14ac:dyDescent="0.4">
      <c r="D342" s="107"/>
      <c r="E342" s="107"/>
      <c r="F342" s="279"/>
      <c r="G342" s="279"/>
      <c r="H342" s="279"/>
      <c r="I342" s="279"/>
      <c r="J342" s="279"/>
      <c r="K342" s="279"/>
      <c r="L342" s="279"/>
      <c r="M342" s="279"/>
      <c r="N342" s="279"/>
      <c r="O342" s="279"/>
      <c r="P342" s="279"/>
    </row>
    <row r="343" spans="4:16" x14ac:dyDescent="0.4">
      <c r="D343" s="107"/>
      <c r="E343" s="107"/>
      <c r="F343" s="279"/>
      <c r="G343" s="279"/>
      <c r="H343" s="279"/>
      <c r="I343" s="279"/>
      <c r="J343" s="279"/>
      <c r="K343" s="279"/>
      <c r="L343" s="279"/>
      <c r="M343" s="279"/>
      <c r="N343" s="279"/>
      <c r="O343" s="279"/>
      <c r="P343" s="279"/>
    </row>
    <row r="344" spans="4:16" x14ac:dyDescent="0.4">
      <c r="D344" s="107"/>
      <c r="E344" s="107"/>
      <c r="F344" s="279"/>
      <c r="G344" s="279"/>
      <c r="H344" s="279"/>
      <c r="I344" s="279"/>
      <c r="J344" s="279"/>
      <c r="K344" s="279"/>
      <c r="L344" s="279"/>
      <c r="M344" s="279"/>
      <c r="N344" s="279"/>
      <c r="O344" s="279"/>
      <c r="P344" s="279"/>
    </row>
    <row r="345" spans="4:16" x14ac:dyDescent="0.4">
      <c r="D345" s="107"/>
      <c r="E345" s="107"/>
      <c r="F345" s="279"/>
      <c r="G345" s="279"/>
      <c r="H345" s="279"/>
      <c r="I345" s="279"/>
      <c r="J345" s="279"/>
      <c r="K345" s="279"/>
      <c r="L345" s="279"/>
      <c r="M345" s="279"/>
      <c r="N345" s="279"/>
      <c r="O345" s="279"/>
      <c r="P345" s="279"/>
    </row>
    <row r="346" spans="4:16" x14ac:dyDescent="0.4">
      <c r="D346" s="107"/>
      <c r="E346" s="107"/>
      <c r="F346" s="279"/>
      <c r="G346" s="279"/>
      <c r="H346" s="279"/>
      <c r="I346" s="279"/>
      <c r="J346" s="279"/>
      <c r="K346" s="279"/>
      <c r="L346" s="279"/>
      <c r="M346" s="279"/>
      <c r="N346" s="279"/>
      <c r="O346" s="279"/>
      <c r="P346" s="279"/>
    </row>
    <row r="347" spans="4:16" x14ac:dyDescent="0.4">
      <c r="D347" s="107"/>
      <c r="E347" s="107"/>
      <c r="F347" s="279"/>
      <c r="G347" s="279"/>
      <c r="H347" s="279"/>
      <c r="I347" s="279"/>
      <c r="J347" s="279"/>
      <c r="K347" s="279"/>
      <c r="L347" s="279"/>
      <c r="M347" s="279"/>
      <c r="N347" s="279"/>
      <c r="O347" s="279"/>
      <c r="P347" s="279"/>
    </row>
    <row r="348" spans="4:16" x14ac:dyDescent="0.4">
      <c r="D348" s="107"/>
      <c r="E348" s="107"/>
      <c r="F348" s="279"/>
      <c r="G348" s="279"/>
      <c r="H348" s="279"/>
      <c r="I348" s="279"/>
      <c r="J348" s="279"/>
      <c r="K348" s="279"/>
      <c r="L348" s="279"/>
      <c r="M348" s="279"/>
      <c r="N348" s="279"/>
      <c r="O348" s="279"/>
      <c r="P348" s="279"/>
    </row>
    <row r="349" spans="4:16" x14ac:dyDescent="0.4">
      <c r="D349" s="107"/>
      <c r="E349" s="107"/>
      <c r="F349" s="279"/>
      <c r="G349" s="279"/>
      <c r="H349" s="279"/>
      <c r="I349" s="279"/>
      <c r="J349" s="279"/>
      <c r="K349" s="279"/>
      <c r="L349" s="279"/>
      <c r="M349" s="279"/>
      <c r="N349" s="279"/>
      <c r="O349" s="279"/>
      <c r="P349" s="279"/>
    </row>
    <row r="350" spans="4:16" x14ac:dyDescent="0.4">
      <c r="D350" s="107"/>
      <c r="E350" s="107"/>
      <c r="F350" s="279"/>
      <c r="G350" s="279"/>
      <c r="H350" s="279"/>
      <c r="I350" s="279"/>
      <c r="J350" s="279"/>
      <c r="K350" s="279"/>
      <c r="L350" s="279"/>
      <c r="M350" s="279"/>
      <c r="N350" s="279"/>
      <c r="O350" s="279"/>
      <c r="P350" s="279"/>
    </row>
    <row r="351" spans="4:16" x14ac:dyDescent="0.4">
      <c r="D351" s="107"/>
      <c r="E351" s="107"/>
      <c r="F351" s="279"/>
      <c r="G351" s="279"/>
      <c r="H351" s="279"/>
      <c r="I351" s="279"/>
      <c r="J351" s="279"/>
      <c r="K351" s="279"/>
      <c r="L351" s="279"/>
      <c r="M351" s="279"/>
      <c r="N351" s="279"/>
      <c r="O351" s="279"/>
      <c r="P351" s="279"/>
    </row>
    <row r="352" spans="4:16" x14ac:dyDescent="0.4">
      <c r="D352" s="107"/>
      <c r="E352" s="107"/>
      <c r="F352" s="279"/>
      <c r="G352" s="279"/>
      <c r="H352" s="279"/>
      <c r="I352" s="279"/>
      <c r="J352" s="279"/>
      <c r="K352" s="279"/>
      <c r="L352" s="279"/>
      <c r="M352" s="279"/>
      <c r="N352" s="279"/>
      <c r="O352" s="279"/>
      <c r="P352" s="279"/>
    </row>
    <row r="353" spans="4:16" x14ac:dyDescent="0.4">
      <c r="D353" s="107"/>
      <c r="E353" s="107"/>
      <c r="F353" s="279"/>
      <c r="G353" s="279"/>
      <c r="H353" s="279"/>
      <c r="I353" s="279"/>
      <c r="J353" s="279"/>
      <c r="K353" s="279"/>
      <c r="L353" s="279"/>
      <c r="M353" s="279"/>
      <c r="N353" s="279"/>
      <c r="O353" s="279"/>
      <c r="P353" s="279"/>
    </row>
    <row r="354" spans="4:16" x14ac:dyDescent="0.4">
      <c r="D354" s="107"/>
      <c r="E354" s="107"/>
      <c r="F354" s="279"/>
      <c r="G354" s="279"/>
      <c r="H354" s="279"/>
      <c r="I354" s="279"/>
      <c r="J354" s="279"/>
      <c r="K354" s="279"/>
      <c r="L354" s="279"/>
      <c r="M354" s="279"/>
      <c r="N354" s="279"/>
      <c r="O354" s="279"/>
      <c r="P354" s="279"/>
    </row>
    <row r="355" spans="4:16" x14ac:dyDescent="0.4">
      <c r="D355" s="107"/>
      <c r="E355" s="107"/>
      <c r="F355" s="279"/>
      <c r="G355" s="279"/>
      <c r="H355" s="279"/>
      <c r="I355" s="279"/>
      <c r="J355" s="279"/>
      <c r="K355" s="279"/>
      <c r="L355" s="279"/>
      <c r="M355" s="279"/>
      <c r="N355" s="279"/>
      <c r="O355" s="279"/>
      <c r="P355" s="279"/>
    </row>
    <row r="356" spans="4:16" x14ac:dyDescent="0.4">
      <c r="D356" s="107"/>
      <c r="E356" s="107"/>
      <c r="F356" s="279"/>
      <c r="G356" s="279"/>
      <c r="H356" s="279"/>
      <c r="I356" s="279"/>
      <c r="J356" s="279"/>
      <c r="K356" s="279"/>
      <c r="L356" s="279"/>
      <c r="M356" s="279"/>
      <c r="N356" s="279"/>
      <c r="O356" s="279"/>
      <c r="P356" s="279"/>
    </row>
    <row r="357" spans="4:16" x14ac:dyDescent="0.4">
      <c r="D357" s="107"/>
      <c r="E357" s="107"/>
      <c r="F357" s="279"/>
      <c r="G357" s="279"/>
      <c r="H357" s="279"/>
      <c r="I357" s="279"/>
      <c r="J357" s="279"/>
      <c r="K357" s="279"/>
      <c r="L357" s="279"/>
      <c r="M357" s="279"/>
      <c r="N357" s="279"/>
      <c r="O357" s="279"/>
      <c r="P357" s="279"/>
    </row>
    <row r="358" spans="4:16" x14ac:dyDescent="0.4">
      <c r="D358" s="107"/>
      <c r="E358" s="107"/>
      <c r="F358" s="279"/>
      <c r="G358" s="279"/>
      <c r="H358" s="279"/>
      <c r="I358" s="279"/>
      <c r="J358" s="279"/>
      <c r="K358" s="279"/>
      <c r="L358" s="279"/>
      <c r="M358" s="279"/>
      <c r="N358" s="279"/>
      <c r="O358" s="279"/>
      <c r="P358" s="279"/>
    </row>
    <row r="359" spans="4:16" x14ac:dyDescent="0.4">
      <c r="D359" s="107"/>
      <c r="E359" s="107"/>
      <c r="F359" s="279"/>
      <c r="G359" s="279"/>
      <c r="H359" s="279"/>
      <c r="I359" s="279"/>
      <c r="J359" s="279"/>
      <c r="K359" s="279"/>
      <c r="L359" s="279"/>
      <c r="M359" s="279"/>
      <c r="N359" s="279"/>
      <c r="O359" s="279"/>
      <c r="P359" s="279"/>
    </row>
    <row r="360" spans="4:16" x14ac:dyDescent="0.4">
      <c r="D360" s="107"/>
      <c r="E360" s="107"/>
      <c r="F360" s="279"/>
      <c r="G360" s="279"/>
      <c r="H360" s="279"/>
      <c r="I360" s="279"/>
      <c r="J360" s="279"/>
      <c r="K360" s="279"/>
      <c r="L360" s="279"/>
      <c r="M360" s="279"/>
      <c r="N360" s="279"/>
      <c r="O360" s="279"/>
      <c r="P360" s="279"/>
    </row>
    <row r="361" spans="4:16" x14ac:dyDescent="0.4">
      <c r="D361" s="107"/>
      <c r="E361" s="107"/>
      <c r="F361" s="279"/>
      <c r="G361" s="279"/>
      <c r="H361" s="279"/>
      <c r="I361" s="279"/>
      <c r="J361" s="279"/>
      <c r="K361" s="279"/>
      <c r="L361" s="279"/>
      <c r="M361" s="279"/>
      <c r="N361" s="279"/>
      <c r="O361" s="279"/>
      <c r="P361" s="279"/>
    </row>
    <row r="362" spans="4:16" x14ac:dyDescent="0.4">
      <c r="D362" s="107"/>
      <c r="E362" s="107"/>
      <c r="F362" s="279"/>
      <c r="G362" s="279"/>
      <c r="H362" s="279"/>
      <c r="I362" s="279"/>
      <c r="J362" s="279"/>
      <c r="K362" s="279"/>
      <c r="L362" s="279"/>
      <c r="M362" s="279"/>
      <c r="N362" s="279"/>
      <c r="O362" s="279"/>
      <c r="P362" s="279"/>
    </row>
    <row r="363" spans="4:16" x14ac:dyDescent="0.4">
      <c r="D363" s="107"/>
      <c r="E363" s="107"/>
      <c r="F363" s="279"/>
      <c r="G363" s="279"/>
      <c r="H363" s="279"/>
      <c r="I363" s="279"/>
      <c r="J363" s="279"/>
      <c r="K363" s="279"/>
      <c r="L363" s="279"/>
      <c r="M363" s="279"/>
      <c r="N363" s="279"/>
      <c r="O363" s="279"/>
      <c r="P363" s="279"/>
    </row>
    <row r="364" spans="4:16" x14ac:dyDescent="0.4">
      <c r="D364" s="107"/>
      <c r="E364" s="107"/>
      <c r="F364" s="279"/>
      <c r="G364" s="279"/>
      <c r="H364" s="279"/>
      <c r="I364" s="279"/>
      <c r="J364" s="279"/>
      <c r="K364" s="279"/>
      <c r="L364" s="279"/>
      <c r="M364" s="279"/>
      <c r="N364" s="279"/>
      <c r="O364" s="279"/>
      <c r="P364" s="279"/>
    </row>
    <row r="365" spans="4:16" x14ac:dyDescent="0.4">
      <c r="D365" s="107"/>
      <c r="E365" s="107"/>
      <c r="F365" s="279"/>
      <c r="G365" s="279"/>
      <c r="H365" s="279"/>
      <c r="I365" s="279"/>
      <c r="J365" s="279"/>
      <c r="K365" s="279"/>
      <c r="L365" s="279"/>
      <c r="M365" s="279"/>
      <c r="N365" s="279"/>
      <c r="O365" s="279"/>
      <c r="P365" s="279"/>
    </row>
    <row r="366" spans="4:16" x14ac:dyDescent="0.4">
      <c r="D366" s="107"/>
      <c r="E366" s="107"/>
      <c r="F366" s="279"/>
      <c r="G366" s="279"/>
      <c r="H366" s="279"/>
      <c r="I366" s="279"/>
      <c r="J366" s="279"/>
      <c r="K366" s="279"/>
      <c r="L366" s="279"/>
      <c r="M366" s="279"/>
      <c r="N366" s="279"/>
      <c r="O366" s="279"/>
      <c r="P366" s="279"/>
    </row>
    <row r="367" spans="4:16" x14ac:dyDescent="0.4">
      <c r="D367" s="107"/>
      <c r="E367" s="107"/>
      <c r="F367" s="279"/>
      <c r="G367" s="279"/>
      <c r="H367" s="279"/>
      <c r="I367" s="279"/>
      <c r="J367" s="279"/>
      <c r="K367" s="279"/>
      <c r="L367" s="279"/>
      <c r="M367" s="279"/>
      <c r="N367" s="279"/>
      <c r="O367" s="279"/>
      <c r="P367" s="279"/>
    </row>
    <row r="368" spans="4:16" x14ac:dyDescent="0.4">
      <c r="D368" s="107"/>
      <c r="E368" s="107"/>
      <c r="F368" s="279"/>
      <c r="G368" s="279"/>
      <c r="H368" s="279"/>
      <c r="I368" s="279"/>
      <c r="J368" s="279"/>
      <c r="K368" s="279"/>
      <c r="L368" s="279"/>
      <c r="M368" s="279"/>
      <c r="N368" s="279"/>
      <c r="O368" s="279"/>
      <c r="P368" s="279"/>
    </row>
    <row r="369" spans="4:16" x14ac:dyDescent="0.4">
      <c r="D369" s="107"/>
      <c r="E369" s="107"/>
      <c r="F369" s="279"/>
      <c r="G369" s="279"/>
      <c r="H369" s="279"/>
      <c r="I369" s="279"/>
      <c r="J369" s="279"/>
      <c r="K369" s="279"/>
      <c r="L369" s="279"/>
      <c r="M369" s="279"/>
      <c r="N369" s="279"/>
      <c r="O369" s="279"/>
      <c r="P369" s="279"/>
    </row>
    <row r="370" spans="4:16" x14ac:dyDescent="0.4">
      <c r="D370" s="107"/>
      <c r="E370" s="107"/>
      <c r="F370" s="279"/>
      <c r="G370" s="279"/>
      <c r="H370" s="279"/>
      <c r="I370" s="279"/>
      <c r="J370" s="279"/>
      <c r="K370" s="279"/>
      <c r="L370" s="279"/>
      <c r="M370" s="279"/>
      <c r="N370" s="279"/>
      <c r="O370" s="279"/>
      <c r="P370" s="279"/>
    </row>
    <row r="371" spans="4:16" x14ac:dyDescent="0.4">
      <c r="D371" s="107"/>
      <c r="E371" s="107"/>
      <c r="F371" s="279"/>
      <c r="G371" s="279"/>
      <c r="H371" s="279"/>
      <c r="I371" s="279"/>
      <c r="J371" s="279"/>
      <c r="K371" s="279"/>
      <c r="L371" s="279"/>
      <c r="M371" s="279"/>
      <c r="N371" s="279"/>
      <c r="O371" s="279"/>
      <c r="P371" s="279"/>
    </row>
    <row r="372" spans="4:16" x14ac:dyDescent="0.4">
      <c r="D372" s="107"/>
      <c r="E372" s="107"/>
      <c r="F372" s="279"/>
      <c r="G372" s="279"/>
      <c r="H372" s="279"/>
      <c r="I372" s="279"/>
      <c r="J372" s="279"/>
      <c r="K372" s="279"/>
      <c r="L372" s="279"/>
      <c r="M372" s="279"/>
      <c r="N372" s="279"/>
      <c r="O372" s="279"/>
      <c r="P372" s="279"/>
    </row>
    <row r="373" spans="4:16" x14ac:dyDescent="0.4">
      <c r="D373" s="107"/>
      <c r="E373" s="107"/>
      <c r="F373" s="279"/>
      <c r="G373" s="279"/>
      <c r="H373" s="279"/>
      <c r="I373" s="279"/>
      <c r="J373" s="279"/>
      <c r="K373" s="279"/>
      <c r="L373" s="279"/>
      <c r="M373" s="279"/>
      <c r="N373" s="279"/>
      <c r="O373" s="279"/>
      <c r="P373" s="279"/>
    </row>
    <row r="374" spans="4:16" x14ac:dyDescent="0.4">
      <c r="D374" s="107"/>
      <c r="E374" s="107"/>
      <c r="F374" s="279"/>
      <c r="G374" s="279"/>
      <c r="H374" s="279"/>
      <c r="I374" s="279"/>
      <c r="J374" s="279"/>
      <c r="K374" s="279"/>
      <c r="L374" s="279"/>
      <c r="M374" s="279"/>
      <c r="N374" s="279"/>
      <c r="O374" s="279"/>
      <c r="P374" s="279"/>
    </row>
    <row r="375" spans="4:16" x14ac:dyDescent="0.4">
      <c r="D375" s="107"/>
      <c r="E375" s="107"/>
      <c r="F375" s="279"/>
      <c r="G375" s="279"/>
      <c r="H375" s="279"/>
      <c r="I375" s="279"/>
      <c r="J375" s="279"/>
      <c r="K375" s="279"/>
      <c r="L375" s="279"/>
      <c r="M375" s="279"/>
      <c r="N375" s="279"/>
      <c r="O375" s="279"/>
      <c r="P375" s="279"/>
    </row>
    <row r="376" spans="4:16" x14ac:dyDescent="0.4">
      <c r="D376" s="107"/>
      <c r="E376" s="107"/>
      <c r="F376" s="279"/>
      <c r="G376" s="279"/>
      <c r="H376" s="279"/>
      <c r="I376" s="279"/>
      <c r="J376" s="279"/>
      <c r="K376" s="279"/>
      <c r="L376" s="279"/>
      <c r="M376" s="279"/>
      <c r="N376" s="279"/>
      <c r="O376" s="279"/>
      <c r="P376" s="279"/>
    </row>
    <row r="377" spans="4:16" x14ac:dyDescent="0.4">
      <c r="D377" s="107"/>
      <c r="E377" s="107"/>
      <c r="F377" s="279"/>
      <c r="G377" s="279"/>
      <c r="H377" s="279"/>
      <c r="I377" s="279"/>
      <c r="J377" s="279"/>
      <c r="K377" s="279"/>
      <c r="L377" s="279"/>
      <c r="M377" s="279"/>
      <c r="N377" s="279"/>
      <c r="O377" s="279"/>
      <c r="P377" s="279"/>
    </row>
    <row r="378" spans="4:16" x14ac:dyDescent="0.4">
      <c r="D378" s="107"/>
      <c r="E378" s="107"/>
      <c r="F378" s="279"/>
      <c r="G378" s="279"/>
      <c r="H378" s="279"/>
      <c r="I378" s="279"/>
      <c r="J378" s="279"/>
      <c r="K378" s="279"/>
      <c r="L378" s="279"/>
      <c r="M378" s="279"/>
      <c r="N378" s="279"/>
      <c r="O378" s="279"/>
      <c r="P378" s="279"/>
    </row>
    <row r="379" spans="4:16" x14ac:dyDescent="0.4">
      <c r="D379" s="107"/>
      <c r="E379" s="107"/>
      <c r="F379" s="279"/>
      <c r="G379" s="279"/>
      <c r="H379" s="279"/>
      <c r="I379" s="279"/>
      <c r="J379" s="279"/>
      <c r="K379" s="279"/>
      <c r="L379" s="279"/>
      <c r="M379" s="279"/>
      <c r="N379" s="279"/>
      <c r="O379" s="279"/>
      <c r="P379" s="279"/>
    </row>
    <row r="380" spans="4:16" x14ac:dyDescent="0.4">
      <c r="D380" s="107"/>
      <c r="E380" s="107"/>
      <c r="F380" s="279"/>
      <c r="G380" s="279"/>
      <c r="H380" s="279"/>
      <c r="I380" s="279"/>
      <c r="J380" s="279"/>
      <c r="K380" s="279"/>
      <c r="L380" s="279"/>
      <c r="M380" s="279"/>
      <c r="N380" s="279"/>
      <c r="O380" s="279"/>
      <c r="P380" s="279"/>
    </row>
    <row r="381" spans="4:16" x14ac:dyDescent="0.4">
      <c r="D381" s="107"/>
      <c r="E381" s="107"/>
      <c r="F381" s="279"/>
      <c r="G381" s="279"/>
      <c r="H381" s="279"/>
      <c r="I381" s="279"/>
      <c r="J381" s="279"/>
      <c r="K381" s="279"/>
      <c r="L381" s="279"/>
      <c r="M381" s="279"/>
      <c r="N381" s="279"/>
      <c r="O381" s="279"/>
      <c r="P381" s="279"/>
    </row>
    <row r="382" spans="4:16" x14ac:dyDescent="0.4">
      <c r="D382" s="107"/>
      <c r="E382" s="107"/>
      <c r="F382" s="279"/>
      <c r="G382" s="279"/>
      <c r="H382" s="279"/>
      <c r="I382" s="279"/>
      <c r="J382" s="279"/>
      <c r="K382" s="279"/>
      <c r="L382" s="279"/>
      <c r="M382" s="279"/>
      <c r="N382" s="279"/>
      <c r="O382" s="279"/>
      <c r="P382" s="279"/>
    </row>
    <row r="383" spans="4:16" x14ac:dyDescent="0.4">
      <c r="D383" s="107"/>
      <c r="E383" s="107"/>
      <c r="F383" s="279"/>
      <c r="G383" s="279"/>
      <c r="H383" s="279"/>
      <c r="I383" s="279"/>
      <c r="J383" s="279"/>
      <c r="K383" s="279"/>
      <c r="L383" s="279"/>
      <c r="M383" s="279"/>
      <c r="N383" s="279"/>
      <c r="O383" s="279"/>
      <c r="P383" s="279"/>
    </row>
    <row r="384" spans="4:16" x14ac:dyDescent="0.4">
      <c r="D384" s="107"/>
      <c r="E384" s="107"/>
      <c r="F384" s="279"/>
      <c r="G384" s="279"/>
      <c r="H384" s="279"/>
      <c r="I384" s="279"/>
      <c r="J384" s="279"/>
      <c r="K384" s="279"/>
      <c r="L384" s="279"/>
      <c r="M384" s="279"/>
      <c r="N384" s="279"/>
      <c r="O384" s="279"/>
      <c r="P384" s="279"/>
    </row>
    <row r="385" spans="4:16" x14ac:dyDescent="0.4">
      <c r="D385" s="107"/>
      <c r="E385" s="107"/>
      <c r="F385" s="279"/>
      <c r="G385" s="279"/>
      <c r="H385" s="279"/>
      <c r="I385" s="279"/>
      <c r="J385" s="279"/>
      <c r="K385" s="279"/>
      <c r="L385" s="279"/>
      <c r="M385" s="279"/>
      <c r="N385" s="279"/>
      <c r="O385" s="279"/>
      <c r="P385" s="279"/>
    </row>
    <row r="386" spans="4:16" x14ac:dyDescent="0.4">
      <c r="D386" s="107"/>
      <c r="E386" s="107"/>
      <c r="F386" s="279"/>
      <c r="G386" s="279"/>
      <c r="H386" s="279"/>
      <c r="I386" s="279"/>
      <c r="J386" s="279"/>
      <c r="K386" s="279"/>
      <c r="L386" s="279"/>
      <c r="M386" s="279"/>
      <c r="N386" s="279"/>
      <c r="O386" s="279"/>
      <c r="P386" s="279"/>
    </row>
    <row r="387" spans="4:16" x14ac:dyDescent="0.4">
      <c r="D387" s="107"/>
      <c r="E387" s="107"/>
      <c r="F387" s="279"/>
      <c r="G387" s="279"/>
      <c r="H387" s="279"/>
      <c r="I387" s="279"/>
      <c r="J387" s="279"/>
      <c r="K387" s="279"/>
      <c r="L387" s="279"/>
      <c r="M387" s="279"/>
      <c r="N387" s="279"/>
      <c r="O387" s="279"/>
      <c r="P387" s="279"/>
    </row>
    <row r="388" spans="4:16" x14ac:dyDescent="0.4">
      <c r="D388" s="107"/>
      <c r="E388" s="107"/>
      <c r="F388" s="279"/>
      <c r="G388" s="279"/>
      <c r="H388" s="279"/>
      <c r="I388" s="279"/>
      <c r="J388" s="279"/>
      <c r="K388" s="279"/>
      <c r="L388" s="279"/>
      <c r="M388" s="279"/>
      <c r="N388" s="279"/>
      <c r="O388" s="279"/>
      <c r="P388" s="279"/>
    </row>
    <row r="389" spans="4:16" x14ac:dyDescent="0.4">
      <c r="D389" s="107"/>
      <c r="E389" s="107"/>
      <c r="F389" s="279"/>
      <c r="G389" s="279"/>
      <c r="H389" s="279"/>
      <c r="I389" s="279"/>
      <c r="J389" s="279"/>
      <c r="K389" s="279"/>
      <c r="L389" s="279"/>
      <c r="M389" s="279"/>
      <c r="N389" s="279"/>
      <c r="O389" s="279"/>
      <c r="P389" s="279"/>
    </row>
    <row r="390" spans="4:16" x14ac:dyDescent="0.4">
      <c r="D390" s="107"/>
      <c r="E390" s="107"/>
      <c r="F390" s="279"/>
      <c r="G390" s="279"/>
      <c r="H390" s="279"/>
      <c r="I390" s="279"/>
      <c r="J390" s="279"/>
      <c r="K390" s="279"/>
      <c r="L390" s="279"/>
      <c r="M390" s="279"/>
      <c r="N390" s="279"/>
      <c r="O390" s="279"/>
      <c r="P390" s="279"/>
    </row>
    <row r="391" spans="4:16" x14ac:dyDescent="0.4">
      <c r="D391" s="107"/>
      <c r="E391" s="107"/>
      <c r="F391" s="279"/>
      <c r="G391" s="279"/>
      <c r="H391" s="279"/>
      <c r="I391" s="279"/>
      <c r="J391" s="279"/>
      <c r="K391" s="279"/>
      <c r="L391" s="279"/>
      <c r="M391" s="279"/>
      <c r="N391" s="279"/>
      <c r="O391" s="279"/>
      <c r="P391" s="279"/>
    </row>
    <row r="392" spans="4:16" x14ac:dyDescent="0.4">
      <c r="D392" s="107"/>
      <c r="E392" s="107"/>
      <c r="F392" s="279"/>
      <c r="G392" s="279"/>
      <c r="H392" s="279"/>
      <c r="I392" s="279"/>
      <c r="J392" s="279"/>
      <c r="K392" s="279"/>
      <c r="L392" s="279"/>
      <c r="M392" s="279"/>
      <c r="N392" s="279"/>
      <c r="O392" s="279"/>
      <c r="P392" s="279"/>
    </row>
    <row r="393" spans="4:16" x14ac:dyDescent="0.4">
      <c r="D393" s="107"/>
      <c r="E393" s="107"/>
      <c r="F393" s="279"/>
      <c r="G393" s="279"/>
      <c r="H393" s="279"/>
      <c r="I393" s="279"/>
      <c r="J393" s="279"/>
      <c r="K393" s="279"/>
      <c r="L393" s="279"/>
      <c r="M393" s="279"/>
      <c r="N393" s="279"/>
      <c r="O393" s="279"/>
      <c r="P393" s="279"/>
    </row>
    <row r="394" spans="4:16" x14ac:dyDescent="0.4">
      <c r="D394" s="107"/>
      <c r="E394" s="107"/>
      <c r="F394" s="279"/>
      <c r="G394" s="279"/>
      <c r="H394" s="279"/>
      <c r="I394" s="279"/>
      <c r="J394" s="279"/>
      <c r="K394" s="279"/>
      <c r="L394" s="279"/>
      <c r="M394" s="279"/>
      <c r="N394" s="279"/>
      <c r="O394" s="279"/>
      <c r="P394" s="279"/>
    </row>
    <row r="395" spans="4:16" x14ac:dyDescent="0.4">
      <c r="D395" s="107"/>
      <c r="E395" s="107"/>
      <c r="F395" s="279"/>
      <c r="G395" s="279"/>
      <c r="H395" s="279"/>
      <c r="I395" s="279"/>
      <c r="J395" s="279"/>
      <c r="K395" s="279"/>
      <c r="L395" s="279"/>
      <c r="M395" s="279"/>
      <c r="N395" s="279"/>
      <c r="O395" s="279"/>
      <c r="P395" s="279"/>
    </row>
    <row r="396" spans="4:16" x14ac:dyDescent="0.4">
      <c r="D396" s="107"/>
      <c r="E396" s="107"/>
      <c r="F396" s="279"/>
      <c r="G396" s="279"/>
      <c r="H396" s="279"/>
      <c r="I396" s="279"/>
      <c r="J396" s="279"/>
      <c r="K396" s="279"/>
      <c r="L396" s="279"/>
      <c r="M396" s="279"/>
      <c r="N396" s="279"/>
      <c r="O396" s="279"/>
      <c r="P396" s="279"/>
    </row>
    <row r="397" spans="4:16" x14ac:dyDescent="0.4">
      <c r="D397" s="107"/>
      <c r="E397" s="107"/>
      <c r="F397" s="279"/>
      <c r="G397" s="279"/>
      <c r="H397" s="279"/>
      <c r="I397" s="279"/>
      <c r="J397" s="279"/>
      <c r="K397" s="279"/>
      <c r="L397" s="279"/>
      <c r="M397" s="279"/>
      <c r="N397" s="279"/>
      <c r="O397" s="279"/>
      <c r="P397" s="279"/>
    </row>
    <row r="398" spans="4:16" x14ac:dyDescent="0.4">
      <c r="D398" s="107"/>
      <c r="E398" s="107"/>
      <c r="F398" s="279"/>
      <c r="G398" s="279"/>
      <c r="H398" s="279"/>
      <c r="I398" s="279"/>
      <c r="J398" s="279"/>
      <c r="K398" s="279"/>
      <c r="L398" s="279"/>
      <c r="M398" s="279"/>
      <c r="N398" s="279"/>
      <c r="O398" s="279"/>
      <c r="P398" s="279"/>
    </row>
    <row r="399" spans="4:16" x14ac:dyDescent="0.4">
      <c r="D399" s="107"/>
      <c r="E399" s="107"/>
      <c r="F399" s="279"/>
      <c r="G399" s="279"/>
      <c r="H399" s="279"/>
      <c r="I399" s="279"/>
      <c r="J399" s="279"/>
      <c r="K399" s="279"/>
      <c r="L399" s="279"/>
      <c r="M399" s="279"/>
      <c r="N399" s="279"/>
      <c r="O399" s="279"/>
      <c r="P399" s="279"/>
    </row>
    <row r="400" spans="4:16" x14ac:dyDescent="0.4">
      <c r="D400" s="107"/>
      <c r="E400" s="107"/>
      <c r="F400" s="279"/>
      <c r="G400" s="279"/>
      <c r="H400" s="279"/>
      <c r="I400" s="279"/>
      <c r="J400" s="279"/>
      <c r="K400" s="279"/>
      <c r="L400" s="279"/>
      <c r="M400" s="279"/>
      <c r="N400" s="279"/>
      <c r="O400" s="279"/>
      <c r="P400" s="279"/>
    </row>
    <row r="401" spans="4:16" x14ac:dyDescent="0.4">
      <c r="D401" s="107"/>
      <c r="E401" s="107"/>
      <c r="F401" s="279"/>
      <c r="G401" s="279"/>
      <c r="H401" s="279"/>
      <c r="I401" s="279"/>
      <c r="J401" s="279"/>
      <c r="K401" s="279"/>
      <c r="L401" s="279"/>
      <c r="M401" s="279"/>
      <c r="N401" s="279"/>
      <c r="O401" s="279"/>
      <c r="P401" s="279"/>
    </row>
    <row r="402" spans="4:16" x14ac:dyDescent="0.4">
      <c r="D402" s="107"/>
      <c r="E402" s="107"/>
      <c r="F402" s="279"/>
      <c r="G402" s="279"/>
      <c r="H402" s="279"/>
      <c r="I402" s="279"/>
      <c r="J402" s="279"/>
      <c r="K402" s="279"/>
      <c r="L402" s="279"/>
      <c r="M402" s="279"/>
      <c r="N402" s="279"/>
      <c r="O402" s="279"/>
      <c r="P402" s="279"/>
    </row>
    <row r="403" spans="4:16" x14ac:dyDescent="0.4">
      <c r="D403" s="107"/>
      <c r="E403" s="107"/>
      <c r="F403" s="279"/>
      <c r="G403" s="279"/>
      <c r="H403" s="279"/>
      <c r="I403" s="279"/>
      <c r="J403" s="279"/>
      <c r="K403" s="279"/>
      <c r="L403" s="279"/>
      <c r="M403" s="279"/>
      <c r="N403" s="279"/>
      <c r="O403" s="279"/>
      <c r="P403" s="279"/>
    </row>
    <row r="404" spans="4:16" x14ac:dyDescent="0.4">
      <c r="D404" s="107"/>
      <c r="E404" s="107"/>
      <c r="F404" s="279"/>
      <c r="G404" s="279"/>
      <c r="H404" s="279"/>
      <c r="I404" s="279"/>
      <c r="J404" s="279"/>
      <c r="K404" s="279"/>
      <c r="L404" s="279"/>
      <c r="M404" s="279"/>
      <c r="N404" s="279"/>
      <c r="O404" s="279"/>
      <c r="P404" s="279"/>
    </row>
    <row r="405" spans="4:16" x14ac:dyDescent="0.4">
      <c r="D405" s="107"/>
      <c r="E405" s="107"/>
      <c r="F405" s="279"/>
      <c r="G405" s="279"/>
      <c r="H405" s="279"/>
      <c r="I405" s="279"/>
      <c r="J405" s="279"/>
      <c r="K405" s="279"/>
      <c r="L405" s="279"/>
      <c r="M405" s="279"/>
      <c r="N405" s="279"/>
      <c r="O405" s="279"/>
      <c r="P405" s="279"/>
    </row>
    <row r="406" spans="4:16" x14ac:dyDescent="0.4">
      <c r="D406" s="107"/>
      <c r="E406" s="107"/>
      <c r="F406" s="279"/>
      <c r="G406" s="279"/>
      <c r="H406" s="279"/>
      <c r="I406" s="279"/>
      <c r="J406" s="279"/>
      <c r="K406" s="279"/>
      <c r="L406" s="279"/>
      <c r="M406" s="279"/>
      <c r="N406" s="279"/>
      <c r="O406" s="279"/>
      <c r="P406" s="279"/>
    </row>
    <row r="407" spans="4:16" x14ac:dyDescent="0.4">
      <c r="D407" s="107"/>
      <c r="E407" s="107"/>
      <c r="F407" s="279"/>
      <c r="G407" s="279"/>
      <c r="H407" s="279"/>
      <c r="I407" s="279"/>
      <c r="J407" s="279"/>
      <c r="K407" s="279"/>
      <c r="L407" s="279"/>
      <c r="M407" s="279"/>
      <c r="N407" s="279"/>
      <c r="O407" s="279"/>
      <c r="P407" s="279"/>
    </row>
    <row r="408" spans="4:16" x14ac:dyDescent="0.4">
      <c r="D408" s="107"/>
      <c r="E408" s="107"/>
      <c r="F408" s="279"/>
      <c r="G408" s="279"/>
      <c r="H408" s="279"/>
      <c r="I408" s="279"/>
      <c r="J408" s="279"/>
      <c r="K408" s="279"/>
      <c r="L408" s="279"/>
      <c r="M408" s="279"/>
      <c r="N408" s="279"/>
      <c r="O408" s="279"/>
      <c r="P408" s="279"/>
    </row>
    <row r="409" spans="4:16" x14ac:dyDescent="0.4">
      <c r="D409" s="107"/>
      <c r="E409" s="107"/>
      <c r="F409" s="279"/>
      <c r="G409" s="279"/>
      <c r="H409" s="279"/>
      <c r="I409" s="279"/>
      <c r="J409" s="279"/>
      <c r="K409" s="279"/>
      <c r="L409" s="279"/>
      <c r="M409" s="279"/>
      <c r="N409" s="279"/>
      <c r="O409" s="279"/>
      <c r="P409" s="279"/>
    </row>
    <row r="410" spans="4:16" x14ac:dyDescent="0.4">
      <c r="D410" s="107"/>
      <c r="E410" s="107"/>
      <c r="F410" s="279"/>
      <c r="G410" s="279"/>
      <c r="H410" s="279"/>
      <c r="I410" s="279"/>
      <c r="J410" s="279"/>
      <c r="K410" s="279"/>
      <c r="L410" s="279"/>
      <c r="M410" s="279"/>
      <c r="N410" s="279"/>
      <c r="O410" s="279"/>
      <c r="P410" s="279"/>
    </row>
    <row r="411" spans="4:16" x14ac:dyDescent="0.4">
      <c r="D411" s="107"/>
      <c r="E411" s="107"/>
      <c r="F411" s="279"/>
      <c r="G411" s="279"/>
      <c r="H411" s="279"/>
      <c r="I411" s="279"/>
      <c r="J411" s="279"/>
      <c r="K411" s="279"/>
      <c r="L411" s="279"/>
      <c r="M411" s="279"/>
      <c r="N411" s="279"/>
      <c r="O411" s="279"/>
      <c r="P411" s="279"/>
    </row>
    <row r="412" spans="4:16" x14ac:dyDescent="0.4">
      <c r="D412" s="107"/>
      <c r="E412" s="107"/>
      <c r="F412" s="279"/>
      <c r="G412" s="279"/>
      <c r="H412" s="279"/>
      <c r="I412" s="279"/>
      <c r="J412" s="279"/>
      <c r="K412" s="279"/>
      <c r="L412" s="279"/>
      <c r="M412" s="279"/>
      <c r="N412" s="279"/>
      <c r="O412" s="279"/>
      <c r="P412" s="279"/>
    </row>
    <row r="413" spans="4:16" x14ac:dyDescent="0.4">
      <c r="D413" s="107"/>
      <c r="E413" s="107"/>
      <c r="F413" s="279"/>
      <c r="G413" s="279"/>
      <c r="H413" s="279"/>
      <c r="I413" s="279"/>
      <c r="J413" s="279"/>
      <c r="K413" s="279"/>
      <c r="L413" s="279"/>
      <c r="M413" s="279"/>
      <c r="N413" s="279"/>
      <c r="O413" s="279"/>
      <c r="P413" s="279"/>
    </row>
    <row r="414" spans="4:16" x14ac:dyDescent="0.4">
      <c r="D414" s="107"/>
      <c r="E414" s="107"/>
      <c r="F414" s="279"/>
      <c r="G414" s="279"/>
      <c r="H414" s="279"/>
      <c r="I414" s="279"/>
      <c r="J414" s="279"/>
      <c r="K414" s="279"/>
      <c r="L414" s="279"/>
      <c r="M414" s="279"/>
      <c r="N414" s="279"/>
      <c r="O414" s="279"/>
      <c r="P414" s="279"/>
    </row>
    <row r="415" spans="4:16" x14ac:dyDescent="0.4">
      <c r="D415" s="107"/>
      <c r="E415" s="107"/>
      <c r="F415" s="279"/>
      <c r="G415" s="279"/>
      <c r="H415" s="279"/>
      <c r="I415" s="279"/>
      <c r="J415" s="279"/>
      <c r="K415" s="279"/>
      <c r="L415" s="279"/>
      <c r="M415" s="279"/>
      <c r="N415" s="279"/>
      <c r="O415" s="279"/>
      <c r="P415" s="279"/>
    </row>
    <row r="416" spans="4:16" x14ac:dyDescent="0.4">
      <c r="D416" s="107"/>
      <c r="E416" s="107"/>
      <c r="F416" s="279"/>
      <c r="G416" s="279"/>
      <c r="H416" s="279"/>
      <c r="I416" s="279"/>
      <c r="J416" s="279"/>
      <c r="K416" s="279"/>
      <c r="L416" s="279"/>
      <c r="M416" s="279"/>
      <c r="N416" s="279"/>
      <c r="O416" s="279"/>
      <c r="P416" s="279"/>
    </row>
    <row r="417" spans="4:16" x14ac:dyDescent="0.4">
      <c r="D417" s="107"/>
      <c r="E417" s="107"/>
      <c r="F417" s="279"/>
      <c r="G417" s="279"/>
      <c r="H417" s="279"/>
      <c r="I417" s="279"/>
      <c r="J417" s="279"/>
      <c r="K417" s="279"/>
      <c r="L417" s="279"/>
      <c r="M417" s="279"/>
      <c r="N417" s="279"/>
      <c r="O417" s="279"/>
      <c r="P417" s="279"/>
    </row>
    <row r="418" spans="4:16" x14ac:dyDescent="0.4">
      <c r="D418" s="107"/>
      <c r="E418" s="107"/>
      <c r="F418" s="279"/>
      <c r="G418" s="279"/>
      <c r="H418" s="279"/>
      <c r="I418" s="279"/>
      <c r="J418" s="279"/>
      <c r="K418" s="279"/>
      <c r="L418" s="279"/>
      <c r="M418" s="279"/>
      <c r="N418" s="279"/>
      <c r="O418" s="279"/>
      <c r="P418" s="279"/>
    </row>
    <row r="419" spans="4:16" x14ac:dyDescent="0.4">
      <c r="D419" s="107"/>
      <c r="E419" s="107"/>
      <c r="F419" s="279"/>
      <c r="G419" s="279"/>
      <c r="H419" s="279"/>
      <c r="I419" s="279"/>
      <c r="J419" s="279"/>
      <c r="K419" s="279"/>
      <c r="L419" s="279"/>
      <c r="M419" s="279"/>
      <c r="N419" s="279"/>
      <c r="O419" s="279"/>
      <c r="P419" s="279"/>
    </row>
    <row r="420" spans="4:16" x14ac:dyDescent="0.4">
      <c r="D420" s="107"/>
      <c r="E420" s="107"/>
      <c r="F420" s="279"/>
      <c r="G420" s="279"/>
      <c r="H420" s="279"/>
      <c r="I420" s="279"/>
      <c r="J420" s="279"/>
      <c r="K420" s="279"/>
      <c r="L420" s="279"/>
      <c r="M420" s="279"/>
      <c r="N420" s="279"/>
      <c r="O420" s="279"/>
      <c r="P420" s="279"/>
    </row>
    <row r="421" spans="4:16" x14ac:dyDescent="0.4">
      <c r="D421" s="107"/>
      <c r="E421" s="107"/>
      <c r="F421" s="279"/>
      <c r="G421" s="279"/>
      <c r="H421" s="279"/>
      <c r="I421" s="279"/>
      <c r="J421" s="279"/>
      <c r="K421" s="279"/>
      <c r="L421" s="279"/>
      <c r="M421" s="279"/>
      <c r="N421" s="279"/>
      <c r="O421" s="279"/>
      <c r="P421" s="279"/>
    </row>
    <row r="422" spans="4:16" x14ac:dyDescent="0.4">
      <c r="D422" s="107"/>
      <c r="E422" s="107"/>
      <c r="F422" s="279"/>
      <c r="G422" s="279"/>
      <c r="H422" s="279"/>
      <c r="I422" s="279"/>
      <c r="J422" s="279"/>
      <c r="K422" s="279"/>
      <c r="L422" s="279"/>
      <c r="M422" s="279"/>
      <c r="N422" s="279"/>
      <c r="O422" s="279"/>
      <c r="P422" s="279"/>
    </row>
    <row r="423" spans="4:16" x14ac:dyDescent="0.4">
      <c r="D423" s="107"/>
      <c r="E423" s="107"/>
      <c r="F423" s="279"/>
      <c r="G423" s="279"/>
      <c r="H423" s="279"/>
      <c r="I423" s="279"/>
      <c r="J423" s="279"/>
      <c r="K423" s="279"/>
      <c r="L423" s="279"/>
      <c r="M423" s="279"/>
      <c r="N423" s="279"/>
      <c r="O423" s="279"/>
      <c r="P423" s="279"/>
    </row>
    <row r="424" spans="4:16" x14ac:dyDescent="0.4">
      <c r="D424" s="107"/>
      <c r="E424" s="107"/>
      <c r="F424" s="279"/>
      <c r="G424" s="279"/>
      <c r="H424" s="279"/>
      <c r="I424" s="279"/>
      <c r="J424" s="279"/>
      <c r="K424" s="279"/>
      <c r="L424" s="279"/>
      <c r="M424" s="279"/>
      <c r="N424" s="279"/>
      <c r="O424" s="279"/>
      <c r="P424" s="279"/>
    </row>
    <row r="425" spans="4:16" x14ac:dyDescent="0.4">
      <c r="D425" s="107"/>
      <c r="E425" s="107"/>
      <c r="F425" s="279"/>
      <c r="G425" s="279"/>
      <c r="H425" s="279"/>
      <c r="I425" s="279"/>
      <c r="J425" s="279"/>
      <c r="K425" s="279"/>
      <c r="L425" s="279"/>
      <c r="M425" s="279"/>
      <c r="N425" s="279"/>
      <c r="O425" s="279"/>
      <c r="P425" s="279"/>
    </row>
    <row r="426" spans="4:16" x14ac:dyDescent="0.4">
      <c r="D426" s="107"/>
      <c r="E426" s="107"/>
      <c r="F426" s="279"/>
      <c r="G426" s="279"/>
      <c r="H426" s="279"/>
      <c r="I426" s="279"/>
      <c r="J426" s="279"/>
      <c r="K426" s="279"/>
      <c r="L426" s="279"/>
      <c r="M426" s="279"/>
      <c r="N426" s="279"/>
      <c r="O426" s="279"/>
      <c r="P426" s="279"/>
    </row>
    <row r="427" spans="4:16" x14ac:dyDescent="0.4">
      <c r="D427" s="107"/>
      <c r="E427" s="107"/>
      <c r="F427" s="279"/>
      <c r="G427" s="279"/>
      <c r="H427" s="279"/>
      <c r="I427" s="279"/>
      <c r="J427" s="279"/>
      <c r="K427" s="279"/>
      <c r="L427" s="279"/>
      <c r="M427" s="279"/>
      <c r="N427" s="279"/>
      <c r="O427" s="279"/>
      <c r="P427" s="279"/>
    </row>
    <row r="428" spans="4:16" x14ac:dyDescent="0.4">
      <c r="D428" s="107"/>
      <c r="E428" s="107"/>
      <c r="F428" s="279"/>
      <c r="G428" s="279"/>
      <c r="H428" s="279"/>
      <c r="I428" s="279"/>
      <c r="J428" s="279"/>
      <c r="K428" s="279"/>
      <c r="L428" s="279"/>
      <c r="M428" s="279"/>
      <c r="N428" s="279"/>
      <c r="O428" s="279"/>
      <c r="P428" s="279"/>
    </row>
    <row r="429" spans="4:16" x14ac:dyDescent="0.4">
      <c r="D429" s="107"/>
      <c r="E429" s="107"/>
      <c r="F429" s="279"/>
      <c r="G429" s="279"/>
      <c r="H429" s="279"/>
      <c r="I429" s="279"/>
      <c r="J429" s="279"/>
      <c r="K429" s="279"/>
      <c r="L429" s="279"/>
      <c r="M429" s="279"/>
      <c r="N429" s="279"/>
      <c r="O429" s="279"/>
      <c r="P429" s="279"/>
    </row>
    <row r="430" spans="4:16" x14ac:dyDescent="0.4">
      <c r="D430" s="107"/>
      <c r="E430" s="107"/>
      <c r="F430" s="279"/>
      <c r="G430" s="279"/>
      <c r="H430" s="279"/>
      <c r="I430" s="279"/>
      <c r="J430" s="279"/>
      <c r="K430" s="279"/>
      <c r="L430" s="279"/>
      <c r="M430" s="279"/>
      <c r="N430" s="279"/>
      <c r="O430" s="279"/>
      <c r="P430" s="279"/>
    </row>
    <row r="431" spans="4:16" x14ac:dyDescent="0.4">
      <c r="D431" s="107"/>
      <c r="E431" s="107"/>
      <c r="F431" s="279"/>
      <c r="G431" s="279"/>
      <c r="H431" s="279"/>
      <c r="I431" s="279"/>
      <c r="J431" s="279"/>
      <c r="K431" s="279"/>
      <c r="L431" s="279"/>
      <c r="M431" s="279"/>
      <c r="N431" s="279"/>
      <c r="O431" s="279"/>
      <c r="P431" s="279"/>
    </row>
    <row r="432" spans="4:16" x14ac:dyDescent="0.4">
      <c r="D432" s="107"/>
      <c r="E432" s="107"/>
      <c r="F432" s="279"/>
      <c r="G432" s="279"/>
      <c r="H432" s="279"/>
      <c r="I432" s="279"/>
      <c r="J432" s="279"/>
      <c r="K432" s="279"/>
      <c r="L432" s="279"/>
      <c r="M432" s="279"/>
      <c r="N432" s="279"/>
      <c r="O432" s="279"/>
      <c r="P432" s="279"/>
    </row>
    <row r="433" spans="4:16" x14ac:dyDescent="0.4">
      <c r="D433" s="107"/>
      <c r="E433" s="107"/>
      <c r="F433" s="279"/>
      <c r="G433" s="279"/>
      <c r="H433" s="279"/>
      <c r="I433" s="279"/>
      <c r="J433" s="279"/>
      <c r="K433" s="279"/>
      <c r="L433" s="279"/>
      <c r="M433" s="279"/>
      <c r="N433" s="279"/>
      <c r="O433" s="279"/>
      <c r="P433" s="279"/>
    </row>
    <row r="434" spans="4:16" x14ac:dyDescent="0.4">
      <c r="D434" s="107"/>
      <c r="E434" s="107"/>
      <c r="F434" s="279"/>
      <c r="G434" s="279"/>
      <c r="H434" s="279"/>
      <c r="I434" s="279"/>
      <c r="J434" s="279"/>
      <c r="K434" s="279"/>
      <c r="L434" s="279"/>
      <c r="M434" s="279"/>
      <c r="N434" s="279"/>
      <c r="O434" s="279"/>
      <c r="P434" s="279"/>
    </row>
    <row r="435" spans="4:16" x14ac:dyDescent="0.4">
      <c r="D435" s="107"/>
      <c r="E435" s="107"/>
      <c r="F435" s="279"/>
      <c r="G435" s="279"/>
      <c r="H435" s="279"/>
      <c r="I435" s="279"/>
      <c r="J435" s="279"/>
      <c r="K435" s="279"/>
      <c r="L435" s="279"/>
      <c r="M435" s="279"/>
      <c r="N435" s="279"/>
      <c r="O435" s="279"/>
      <c r="P435" s="279"/>
    </row>
    <row r="436" spans="4:16" x14ac:dyDescent="0.4">
      <c r="D436" s="107"/>
      <c r="E436" s="107"/>
      <c r="F436" s="279"/>
      <c r="G436" s="279"/>
      <c r="H436" s="279"/>
      <c r="I436" s="279"/>
      <c r="J436" s="279"/>
      <c r="K436" s="279"/>
      <c r="L436" s="279"/>
      <c r="M436" s="279"/>
      <c r="N436" s="279"/>
      <c r="O436" s="279"/>
      <c r="P436" s="279"/>
    </row>
    <row r="437" spans="4:16" x14ac:dyDescent="0.4">
      <c r="D437" s="107"/>
      <c r="E437" s="107"/>
      <c r="F437" s="279"/>
      <c r="G437" s="279"/>
      <c r="H437" s="279"/>
      <c r="I437" s="279"/>
      <c r="J437" s="279"/>
      <c r="K437" s="279"/>
      <c r="L437" s="279"/>
      <c r="M437" s="279"/>
      <c r="N437" s="279"/>
      <c r="O437" s="279"/>
      <c r="P437" s="279"/>
    </row>
    <row r="438" spans="4:16" x14ac:dyDescent="0.4">
      <c r="D438" s="107"/>
      <c r="E438" s="107"/>
      <c r="F438" s="279"/>
      <c r="G438" s="279"/>
      <c r="H438" s="279"/>
      <c r="I438" s="279"/>
      <c r="J438" s="279"/>
      <c r="K438" s="279"/>
      <c r="L438" s="279"/>
      <c r="M438" s="279"/>
      <c r="N438" s="279"/>
      <c r="O438" s="279"/>
      <c r="P438" s="279"/>
    </row>
    <row r="439" spans="4:16" x14ac:dyDescent="0.4">
      <c r="D439" s="107"/>
      <c r="E439" s="107"/>
      <c r="F439" s="279"/>
      <c r="G439" s="279"/>
      <c r="H439" s="279"/>
      <c r="I439" s="279"/>
      <c r="J439" s="279"/>
      <c r="K439" s="279"/>
      <c r="L439" s="279"/>
      <c r="M439" s="279"/>
      <c r="N439" s="279"/>
      <c r="O439" s="279"/>
      <c r="P439" s="279"/>
    </row>
    <row r="440" spans="4:16" x14ac:dyDescent="0.4">
      <c r="D440" s="107"/>
      <c r="E440" s="107"/>
      <c r="F440" s="279"/>
      <c r="G440" s="279"/>
      <c r="H440" s="279"/>
      <c r="I440" s="279"/>
      <c r="J440" s="279"/>
      <c r="K440" s="279"/>
      <c r="L440" s="279"/>
      <c r="M440" s="279"/>
      <c r="N440" s="279"/>
      <c r="O440" s="279"/>
      <c r="P440" s="279"/>
    </row>
    <row r="441" spans="4:16" x14ac:dyDescent="0.4">
      <c r="D441" s="107"/>
      <c r="E441" s="107"/>
      <c r="F441" s="279"/>
      <c r="G441" s="279"/>
      <c r="H441" s="279"/>
      <c r="I441" s="279"/>
      <c r="J441" s="279"/>
      <c r="K441" s="279"/>
      <c r="L441" s="279"/>
      <c r="M441" s="279"/>
      <c r="N441" s="279"/>
      <c r="O441" s="279"/>
      <c r="P441" s="279"/>
    </row>
    <row r="442" spans="4:16" x14ac:dyDescent="0.4">
      <c r="D442" s="107"/>
      <c r="E442" s="107"/>
      <c r="F442" s="279"/>
      <c r="G442" s="279"/>
      <c r="H442" s="279"/>
      <c r="I442" s="279"/>
      <c r="J442" s="279"/>
      <c r="K442" s="279"/>
      <c r="L442" s="279"/>
      <c r="M442" s="279"/>
      <c r="N442" s="279"/>
      <c r="O442" s="279"/>
      <c r="P442" s="279"/>
    </row>
    <row r="443" spans="4:16" x14ac:dyDescent="0.4">
      <c r="D443" s="107"/>
      <c r="E443" s="107"/>
      <c r="F443" s="279"/>
      <c r="G443" s="279"/>
      <c r="H443" s="279"/>
      <c r="I443" s="279"/>
      <c r="J443" s="279"/>
      <c r="K443" s="279"/>
      <c r="L443" s="279"/>
      <c r="M443" s="279"/>
      <c r="N443" s="279"/>
      <c r="O443" s="279"/>
      <c r="P443" s="279"/>
    </row>
  </sheetData>
  <mergeCells count="11">
    <mergeCell ref="A158:G159"/>
    <mergeCell ref="A166:E166"/>
    <mergeCell ref="A270:E270"/>
    <mergeCell ref="A291:E291"/>
    <mergeCell ref="A298:E298"/>
    <mergeCell ref="A145:E145"/>
    <mergeCell ref="A1:G3"/>
    <mergeCell ref="A4:G5"/>
    <mergeCell ref="A13:E13"/>
    <mergeCell ref="A117:E117"/>
    <mergeCell ref="A138:E138"/>
  </mergeCells>
  <conditionalFormatting sqref="Y117:XFD304 Y306:XFD306">
    <cfRule type="cellIs" dxfId="1" priority="1" operator="lessThan">
      <formula>0</formula>
    </cfRule>
    <cfRule type="cellIs" dxfId="0" priority="2" operator="greaterThan">
      <formula>0</formula>
    </cfRule>
  </conditionalFormatting>
  <hyperlinks>
    <hyperlink ref="X9" location="Índice!A1" display="Índice" xr:uid="{12D238D7-05E4-4DA3-A76C-044CB1C00A4F}"/>
  </hyperlinks>
  <pageMargins left="0.7" right="0.7" top="0.75" bottom="0.75" header="0.3" footer="0.3"/>
  <pageSetup orientation="portrait" horizontalDpi="4294967294" verticalDpi="4294967294"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4FD3F-E3D0-4D70-85D0-35315B394B7D}">
  <dimension ref="A1:F199"/>
  <sheetViews>
    <sheetView showGridLines="0" zoomScale="90" zoomScaleNormal="90" workbookViewId="0">
      <selection activeCell="A5" sqref="A5:F5"/>
    </sheetView>
  </sheetViews>
  <sheetFormatPr baseColWidth="10" defaultColWidth="11.453125" defaultRowHeight="12.75" customHeight="1" x14ac:dyDescent="0.4"/>
  <cols>
    <col min="1" max="1" width="13.26953125" style="337" customWidth="1"/>
    <col min="2" max="2" width="21.7265625" style="337" customWidth="1"/>
    <col min="3" max="6" width="14.26953125" style="363" customWidth="1"/>
    <col min="7" max="16384" width="11.453125" style="334"/>
  </cols>
  <sheetData>
    <row r="1" spans="1:6" ht="62.25" customHeight="1" x14ac:dyDescent="0.4">
      <c r="A1" s="1949"/>
      <c r="B1" s="1949"/>
      <c r="C1" s="1949"/>
      <c r="D1" s="1949"/>
      <c r="E1" s="1949"/>
      <c r="F1" s="1949"/>
    </row>
    <row r="2" spans="1:6" s="336" customFormat="1" ht="12.75" customHeight="1" x14ac:dyDescent="0.45">
      <c r="A2" s="335"/>
      <c r="B2" s="334"/>
    </row>
    <row r="3" spans="1:6" ht="18.75" customHeight="1" x14ac:dyDescent="0.4">
      <c r="A3" s="1950" t="s">
        <v>1160</v>
      </c>
      <c r="B3" s="1950"/>
      <c r="C3" s="1950"/>
      <c r="D3" s="1950"/>
      <c r="E3" s="1950"/>
      <c r="F3" s="1950"/>
    </row>
    <row r="4" spans="1:6" ht="28.5" customHeight="1" x14ac:dyDescent="0.4">
      <c r="A4" s="1950"/>
      <c r="B4" s="1950"/>
      <c r="C4" s="1950"/>
      <c r="D4" s="1950"/>
      <c r="E4" s="1950"/>
      <c r="F4" s="1950"/>
    </row>
    <row r="5" spans="1:6" ht="26.25" customHeight="1" x14ac:dyDescent="0.4">
      <c r="A5" s="1951" t="s">
        <v>449</v>
      </c>
      <c r="B5" s="1951"/>
      <c r="C5" s="1951"/>
      <c r="D5" s="1951"/>
      <c r="E5" s="1951"/>
      <c r="F5" s="1952"/>
    </row>
    <row r="6" spans="1:6" ht="12.75" customHeight="1" x14ac:dyDescent="0.4">
      <c r="A6" s="1953" t="s">
        <v>450</v>
      </c>
      <c r="B6" s="1954"/>
      <c r="C6" s="1954"/>
      <c r="D6" s="1954"/>
      <c r="E6" s="1954"/>
      <c r="F6" s="1955"/>
    </row>
    <row r="7" spans="1:6" s="337" customFormat="1" ht="12.75" customHeight="1" x14ac:dyDescent="0.4">
      <c r="A7" s="1956" t="s">
        <v>451</v>
      </c>
      <c r="B7" s="1956" t="s">
        <v>452</v>
      </c>
      <c r="C7" s="1956" t="s">
        <v>195</v>
      </c>
      <c r="D7" s="1958" t="s">
        <v>453</v>
      </c>
      <c r="E7" s="1958"/>
      <c r="F7" s="1959"/>
    </row>
    <row r="8" spans="1:6" s="337" customFormat="1" ht="12.75" customHeight="1" x14ac:dyDescent="0.4">
      <c r="A8" s="1957"/>
      <c r="B8" s="1957"/>
      <c r="C8" s="1957"/>
      <c r="D8" s="338" t="s">
        <v>454</v>
      </c>
      <c r="E8" s="338" t="s">
        <v>455</v>
      </c>
      <c r="F8" s="339" t="s">
        <v>456</v>
      </c>
    </row>
    <row r="9" spans="1:6" s="337" customFormat="1" ht="12.75" customHeight="1" x14ac:dyDescent="0.4">
      <c r="A9" s="340">
        <v>2009</v>
      </c>
      <c r="B9" s="341" t="s">
        <v>457</v>
      </c>
      <c r="C9" s="342">
        <v>66.66</v>
      </c>
      <c r="D9" s="342">
        <v>0.67</v>
      </c>
      <c r="E9" s="342">
        <v>0.67</v>
      </c>
      <c r="F9" s="342"/>
    </row>
    <row r="10" spans="1:6" s="337" customFormat="1" ht="12.75" customHeight="1" x14ac:dyDescent="0.4">
      <c r="A10" s="343">
        <v>2009</v>
      </c>
      <c r="B10" s="344" t="s">
        <v>458</v>
      </c>
      <c r="C10" s="345">
        <v>67.459999999999994</v>
      </c>
      <c r="D10" s="345">
        <v>1.21</v>
      </c>
      <c r="E10" s="345">
        <v>1.89</v>
      </c>
      <c r="F10" s="345"/>
    </row>
    <row r="11" spans="1:6" s="337" customFormat="1" ht="12.75" customHeight="1" x14ac:dyDescent="0.4">
      <c r="A11" s="340">
        <v>2009</v>
      </c>
      <c r="B11" s="341" t="s">
        <v>459</v>
      </c>
      <c r="C11" s="342">
        <v>67.75</v>
      </c>
      <c r="D11" s="342">
        <v>0.43</v>
      </c>
      <c r="E11" s="342">
        <v>2.33</v>
      </c>
      <c r="F11" s="342"/>
    </row>
    <row r="12" spans="1:6" s="337" customFormat="1" ht="12.75" customHeight="1" x14ac:dyDescent="0.4">
      <c r="A12" s="343">
        <v>2009</v>
      </c>
      <c r="B12" s="344" t="s">
        <v>460</v>
      </c>
      <c r="C12" s="345">
        <v>67.87</v>
      </c>
      <c r="D12" s="345">
        <v>0.17</v>
      </c>
      <c r="E12" s="345">
        <v>2.5</v>
      </c>
      <c r="F12" s="345"/>
    </row>
    <row r="13" spans="1:6" s="337" customFormat="1" ht="12.75" customHeight="1" x14ac:dyDescent="0.4">
      <c r="A13" s="340">
        <v>2009</v>
      </c>
      <c r="B13" s="341" t="s">
        <v>461</v>
      </c>
      <c r="C13" s="342">
        <v>67.98</v>
      </c>
      <c r="D13" s="342">
        <v>0.17</v>
      </c>
      <c r="E13" s="342">
        <v>2.67</v>
      </c>
      <c r="F13" s="342"/>
    </row>
    <row r="14" spans="1:6" s="337" customFormat="1" ht="12.75" customHeight="1" x14ac:dyDescent="0.4">
      <c r="A14" s="343">
        <v>2009</v>
      </c>
      <c r="B14" s="344" t="s">
        <v>462</v>
      </c>
      <c r="C14" s="345">
        <v>68.150000000000006</v>
      </c>
      <c r="D14" s="345">
        <v>0.25</v>
      </c>
      <c r="E14" s="345">
        <v>2.92</v>
      </c>
      <c r="F14" s="345"/>
    </row>
    <row r="15" spans="1:6" s="337" customFormat="1" ht="12.75" customHeight="1" x14ac:dyDescent="0.4">
      <c r="A15" s="340">
        <v>2009</v>
      </c>
      <c r="B15" s="341" t="s">
        <v>463</v>
      </c>
      <c r="C15" s="342">
        <v>68.290000000000006</v>
      </c>
      <c r="D15" s="342">
        <v>0.21</v>
      </c>
      <c r="E15" s="342">
        <v>3.13</v>
      </c>
      <c r="F15" s="342"/>
    </row>
    <row r="16" spans="1:6" s="337" customFormat="1" ht="12.75" customHeight="1" x14ac:dyDescent="0.4">
      <c r="A16" s="343">
        <v>2009</v>
      </c>
      <c r="B16" s="344" t="s">
        <v>464</v>
      </c>
      <c r="C16" s="345">
        <v>68.44</v>
      </c>
      <c r="D16" s="345">
        <v>0.23</v>
      </c>
      <c r="E16" s="345">
        <v>3.37</v>
      </c>
      <c r="F16" s="345"/>
    </row>
    <row r="17" spans="1:6" s="337" customFormat="1" ht="12.75" customHeight="1" x14ac:dyDescent="0.4">
      <c r="A17" s="340">
        <v>2009</v>
      </c>
      <c r="B17" s="341" t="s">
        <v>465</v>
      </c>
      <c r="C17" s="342">
        <v>68.540000000000006</v>
      </c>
      <c r="D17" s="342">
        <v>0.14000000000000001</v>
      </c>
      <c r="E17" s="342">
        <v>3.51</v>
      </c>
      <c r="F17" s="342"/>
    </row>
    <row r="18" spans="1:6" s="337" customFormat="1" ht="12.75" customHeight="1" x14ac:dyDescent="0.4">
      <c r="A18" s="343">
        <v>2009</v>
      </c>
      <c r="B18" s="344" t="s">
        <v>466</v>
      </c>
      <c r="C18" s="345">
        <v>68.59</v>
      </c>
      <c r="D18" s="345">
        <v>0.08</v>
      </c>
      <c r="E18" s="345">
        <v>3.59</v>
      </c>
      <c r="F18" s="345"/>
    </row>
    <row r="19" spans="1:6" s="337" customFormat="1" ht="12.75" customHeight="1" x14ac:dyDescent="0.4">
      <c r="A19" s="340">
        <v>2009</v>
      </c>
      <c r="B19" s="341" t="s">
        <v>467</v>
      </c>
      <c r="C19" s="342">
        <v>68.67</v>
      </c>
      <c r="D19" s="342">
        <v>0.11</v>
      </c>
      <c r="E19" s="342">
        <v>3.71</v>
      </c>
      <c r="F19" s="342"/>
    </row>
    <row r="20" spans="1:6" s="337" customFormat="1" ht="12.75" customHeight="1" x14ac:dyDescent="0.4">
      <c r="A20" s="343">
        <v>2009</v>
      </c>
      <c r="B20" s="344" t="s">
        <v>468</v>
      </c>
      <c r="C20" s="345">
        <v>68.849999999999994</v>
      </c>
      <c r="D20" s="345">
        <v>0.26</v>
      </c>
      <c r="E20" s="345">
        <v>3.98</v>
      </c>
      <c r="F20" s="345"/>
    </row>
    <row r="21" spans="1:6" s="337" customFormat="1" ht="12.75" customHeight="1" x14ac:dyDescent="0.4">
      <c r="A21" s="340">
        <v>2010</v>
      </c>
      <c r="B21" s="341" t="s">
        <v>457</v>
      </c>
      <c r="C21" s="342">
        <v>69.540000000000006</v>
      </c>
      <c r="D21" s="342">
        <v>1</v>
      </c>
      <c r="E21" s="342">
        <v>1</v>
      </c>
      <c r="F21" s="342">
        <v>4.32</v>
      </c>
    </row>
    <row r="22" spans="1:6" s="337" customFormat="1" ht="12.75" customHeight="1" x14ac:dyDescent="0.4">
      <c r="A22" s="343">
        <v>2010</v>
      </c>
      <c r="B22" s="344" t="s">
        <v>458</v>
      </c>
      <c r="C22" s="345">
        <v>70.099999999999994</v>
      </c>
      <c r="D22" s="345">
        <v>0.81</v>
      </c>
      <c r="E22" s="345">
        <v>1.82</v>
      </c>
      <c r="F22" s="345">
        <v>3.91</v>
      </c>
    </row>
    <row r="23" spans="1:6" s="337" customFormat="1" ht="12.75" customHeight="1" x14ac:dyDescent="0.4">
      <c r="A23" s="340">
        <v>2010</v>
      </c>
      <c r="B23" s="341" t="s">
        <v>459</v>
      </c>
      <c r="C23" s="342">
        <v>70.209999999999994</v>
      </c>
      <c r="D23" s="342">
        <v>0.16</v>
      </c>
      <c r="E23" s="342">
        <v>1.98</v>
      </c>
      <c r="F23" s="342">
        <v>3.63</v>
      </c>
    </row>
    <row r="24" spans="1:6" s="337" customFormat="1" ht="12.75" customHeight="1" x14ac:dyDescent="0.4">
      <c r="A24" s="343">
        <v>2010</v>
      </c>
      <c r="B24" s="344" t="s">
        <v>460</v>
      </c>
      <c r="C24" s="345">
        <v>70.33</v>
      </c>
      <c r="D24" s="345">
        <v>0.17</v>
      </c>
      <c r="E24" s="345">
        <v>2.16</v>
      </c>
      <c r="F24" s="345">
        <v>3.63</v>
      </c>
    </row>
    <row r="25" spans="1:6" s="337" customFormat="1" ht="12.75" customHeight="1" x14ac:dyDescent="0.4">
      <c r="A25" s="340">
        <v>2010</v>
      </c>
      <c r="B25" s="341" t="s">
        <v>461</v>
      </c>
      <c r="C25" s="342">
        <v>70.510000000000005</v>
      </c>
      <c r="D25" s="342">
        <v>0.26</v>
      </c>
      <c r="E25" s="342">
        <v>2.42</v>
      </c>
      <c r="F25" s="342">
        <v>3.72</v>
      </c>
    </row>
    <row r="26" spans="1:6" s="337" customFormat="1" ht="12.75" customHeight="1" x14ac:dyDescent="0.4">
      <c r="A26" s="343">
        <v>2010</v>
      </c>
      <c r="B26" s="344" t="s">
        <v>462</v>
      </c>
      <c r="C26" s="345">
        <v>70.66</v>
      </c>
      <c r="D26" s="345">
        <v>0.21</v>
      </c>
      <c r="E26" s="345">
        <v>2.64</v>
      </c>
      <c r="F26" s="345">
        <v>3.69</v>
      </c>
    </row>
    <row r="27" spans="1:6" s="337" customFormat="1" ht="12.75" customHeight="1" x14ac:dyDescent="0.4">
      <c r="A27" s="340">
        <v>2010</v>
      </c>
      <c r="B27" s="341" t="s">
        <v>463</v>
      </c>
      <c r="C27" s="342">
        <v>70.709999999999994</v>
      </c>
      <c r="D27" s="342">
        <v>7.0000000000000007E-2</v>
      </c>
      <c r="E27" s="342">
        <v>2.7</v>
      </c>
      <c r="F27" s="342">
        <v>3.54</v>
      </c>
    </row>
    <row r="28" spans="1:6" s="337" customFormat="1" ht="12.75" customHeight="1" x14ac:dyDescent="0.4">
      <c r="A28" s="343">
        <v>2010</v>
      </c>
      <c r="B28" s="344" t="s">
        <v>464</v>
      </c>
      <c r="C28" s="345">
        <v>70.83</v>
      </c>
      <c r="D28" s="345">
        <v>0.18</v>
      </c>
      <c r="E28" s="345">
        <v>2.89</v>
      </c>
      <c r="F28" s="345">
        <v>3.49</v>
      </c>
    </row>
    <row r="29" spans="1:6" s="337" customFormat="1" ht="12.75" customHeight="1" x14ac:dyDescent="0.4">
      <c r="A29" s="340">
        <v>2010</v>
      </c>
      <c r="B29" s="341" t="s">
        <v>465</v>
      </c>
      <c r="C29" s="342">
        <v>70.900000000000006</v>
      </c>
      <c r="D29" s="342">
        <v>0.09</v>
      </c>
      <c r="E29" s="342">
        <v>2.98</v>
      </c>
      <c r="F29" s="342">
        <v>3.44</v>
      </c>
    </row>
    <row r="30" spans="1:6" s="337" customFormat="1" ht="12.75" customHeight="1" x14ac:dyDescent="0.4">
      <c r="A30" s="343">
        <v>2010</v>
      </c>
      <c r="B30" s="344" t="s">
        <v>466</v>
      </c>
      <c r="C30" s="345">
        <v>70.97</v>
      </c>
      <c r="D30" s="345">
        <v>0.1</v>
      </c>
      <c r="E30" s="345">
        <v>3.08</v>
      </c>
      <c r="F30" s="345">
        <v>3.46</v>
      </c>
    </row>
    <row r="31" spans="1:6" s="337" customFormat="1" ht="12.75" customHeight="1" x14ac:dyDescent="0.4">
      <c r="A31" s="340">
        <v>2010</v>
      </c>
      <c r="B31" s="341" t="s">
        <v>467</v>
      </c>
      <c r="C31" s="342">
        <v>71.08</v>
      </c>
      <c r="D31" s="342">
        <v>0.16</v>
      </c>
      <c r="E31" s="342">
        <v>3.25</v>
      </c>
      <c r="F31" s="342">
        <v>3.51</v>
      </c>
    </row>
    <row r="32" spans="1:6" s="337" customFormat="1" ht="12.75" customHeight="1" x14ac:dyDescent="0.4">
      <c r="A32" s="343">
        <v>2010</v>
      </c>
      <c r="B32" s="344" t="s">
        <v>468</v>
      </c>
      <c r="C32" s="345">
        <v>71.290000000000006</v>
      </c>
      <c r="D32" s="345">
        <v>0.28999999999999998</v>
      </c>
      <c r="E32" s="345">
        <v>3.55</v>
      </c>
      <c r="F32" s="345">
        <v>3.55</v>
      </c>
    </row>
    <row r="33" spans="1:6" s="337" customFormat="1" ht="12.75" customHeight="1" x14ac:dyDescent="0.4">
      <c r="A33" s="340">
        <v>2011</v>
      </c>
      <c r="B33" s="341" t="s">
        <v>457</v>
      </c>
      <c r="C33" s="342">
        <v>72</v>
      </c>
      <c r="D33" s="342">
        <v>1</v>
      </c>
      <c r="E33" s="342">
        <v>1</v>
      </c>
      <c r="F33" s="342">
        <v>3.54</v>
      </c>
    </row>
    <row r="34" spans="1:6" s="337" customFormat="1" ht="12.75" customHeight="1" x14ac:dyDescent="0.4">
      <c r="A34" s="343">
        <v>2011</v>
      </c>
      <c r="B34" s="344" t="s">
        <v>458</v>
      </c>
      <c r="C34" s="345">
        <v>72.650000000000006</v>
      </c>
      <c r="D34" s="345">
        <v>0.9</v>
      </c>
      <c r="E34" s="345">
        <v>1.91</v>
      </c>
      <c r="F34" s="345">
        <v>3.63</v>
      </c>
    </row>
    <row r="35" spans="1:6" s="337" customFormat="1" ht="12.75" customHeight="1" x14ac:dyDescent="0.4">
      <c r="A35" s="340">
        <v>2011</v>
      </c>
      <c r="B35" s="341" t="s">
        <v>459</v>
      </c>
      <c r="C35" s="342">
        <v>72.83</v>
      </c>
      <c r="D35" s="342">
        <v>0.26</v>
      </c>
      <c r="E35" s="342">
        <v>2.17</v>
      </c>
      <c r="F35" s="342">
        <v>3.73</v>
      </c>
    </row>
    <row r="36" spans="1:6" s="337" customFormat="1" ht="12.75" customHeight="1" x14ac:dyDescent="0.4">
      <c r="A36" s="343">
        <v>2011</v>
      </c>
      <c r="B36" s="344" t="s">
        <v>460</v>
      </c>
      <c r="C36" s="345">
        <v>73.010000000000005</v>
      </c>
      <c r="D36" s="345">
        <v>0.24</v>
      </c>
      <c r="E36" s="345">
        <v>2.41</v>
      </c>
      <c r="F36" s="345">
        <v>3.8</v>
      </c>
    </row>
    <row r="37" spans="1:6" s="337" customFormat="1" ht="12.75" customHeight="1" x14ac:dyDescent="0.4">
      <c r="A37" s="340">
        <v>2011</v>
      </c>
      <c r="B37" s="341" t="s">
        <v>461</v>
      </c>
      <c r="C37" s="342">
        <v>73.209999999999994</v>
      </c>
      <c r="D37" s="342">
        <v>0.28000000000000003</v>
      </c>
      <c r="E37" s="342">
        <v>2.69</v>
      </c>
      <c r="F37" s="342">
        <v>3.82</v>
      </c>
    </row>
    <row r="38" spans="1:6" s="337" customFormat="1" ht="12.75" customHeight="1" x14ac:dyDescent="0.4">
      <c r="A38" s="343">
        <v>2011</v>
      </c>
      <c r="B38" s="344" t="s">
        <v>462</v>
      </c>
      <c r="C38" s="345">
        <v>73.510000000000005</v>
      </c>
      <c r="D38" s="345">
        <v>0.41</v>
      </c>
      <c r="E38" s="345">
        <v>3.11</v>
      </c>
      <c r="F38" s="345">
        <v>4.03</v>
      </c>
    </row>
    <row r="39" spans="1:6" s="337" customFormat="1" ht="12.75" customHeight="1" x14ac:dyDescent="0.4">
      <c r="A39" s="340">
        <v>2011</v>
      </c>
      <c r="B39" s="341" t="s">
        <v>463</v>
      </c>
      <c r="C39" s="342">
        <v>73.61</v>
      </c>
      <c r="D39" s="342">
        <v>0.15</v>
      </c>
      <c r="E39" s="342">
        <v>3.26</v>
      </c>
      <c r="F39" s="342">
        <v>4.1100000000000003</v>
      </c>
    </row>
    <row r="40" spans="1:6" s="337" customFormat="1" ht="12.75" customHeight="1" x14ac:dyDescent="0.4">
      <c r="A40" s="343">
        <v>2011</v>
      </c>
      <c r="B40" s="344" t="s">
        <v>464</v>
      </c>
      <c r="C40" s="345">
        <v>73.56</v>
      </c>
      <c r="D40" s="345">
        <v>-7.0000000000000007E-2</v>
      </c>
      <c r="E40" s="345">
        <v>3.19</v>
      </c>
      <c r="F40" s="345">
        <v>3.85</v>
      </c>
    </row>
    <row r="41" spans="1:6" s="337" customFormat="1" ht="12.75" customHeight="1" x14ac:dyDescent="0.4">
      <c r="A41" s="340">
        <v>2011</v>
      </c>
      <c r="B41" s="341" t="s">
        <v>465</v>
      </c>
      <c r="C41" s="342">
        <v>73.680000000000007</v>
      </c>
      <c r="D41" s="342">
        <v>0.16</v>
      </c>
      <c r="E41" s="342">
        <v>3.35</v>
      </c>
      <c r="F41" s="342">
        <v>3.93</v>
      </c>
    </row>
    <row r="42" spans="1:6" s="337" customFormat="1" ht="12.75" customHeight="1" x14ac:dyDescent="0.4">
      <c r="A42" s="343">
        <v>2011</v>
      </c>
      <c r="B42" s="344" t="s">
        <v>466</v>
      </c>
      <c r="C42" s="345">
        <v>73.790000000000006</v>
      </c>
      <c r="D42" s="345">
        <v>0.14000000000000001</v>
      </c>
      <c r="E42" s="345">
        <v>3.5</v>
      </c>
      <c r="F42" s="345">
        <v>3.97</v>
      </c>
    </row>
    <row r="43" spans="1:6" s="337" customFormat="1" ht="12.75" customHeight="1" x14ac:dyDescent="0.4">
      <c r="A43" s="340">
        <v>2011</v>
      </c>
      <c r="B43" s="341" t="s">
        <v>467</v>
      </c>
      <c r="C43" s="342">
        <v>74.02</v>
      </c>
      <c r="D43" s="342">
        <v>0.31</v>
      </c>
      <c r="E43" s="342">
        <v>3.83</v>
      </c>
      <c r="F43" s="342">
        <v>4.13</v>
      </c>
    </row>
    <row r="44" spans="1:6" s="337" customFormat="1" ht="12.75" customHeight="1" x14ac:dyDescent="0.4">
      <c r="A44" s="343">
        <v>2011</v>
      </c>
      <c r="B44" s="344" t="s">
        <v>468</v>
      </c>
      <c r="C44" s="345">
        <v>74.38</v>
      </c>
      <c r="D44" s="345">
        <v>0.49</v>
      </c>
      <c r="E44" s="345">
        <v>4.34</v>
      </c>
      <c r="F44" s="345">
        <v>4.34</v>
      </c>
    </row>
    <row r="45" spans="1:6" s="337" customFormat="1" ht="12.75" customHeight="1" x14ac:dyDescent="0.4">
      <c r="A45" s="340">
        <v>2012</v>
      </c>
      <c r="B45" s="341" t="s">
        <v>457</v>
      </c>
      <c r="C45" s="342">
        <v>74.91</v>
      </c>
      <c r="D45" s="342">
        <v>0.71</v>
      </c>
      <c r="E45" s="342">
        <v>0.71</v>
      </c>
      <c r="F45" s="342">
        <v>4.05</v>
      </c>
    </row>
    <row r="46" spans="1:6" s="337" customFormat="1" ht="12.75" customHeight="1" x14ac:dyDescent="0.4">
      <c r="A46" s="343">
        <v>2012</v>
      </c>
      <c r="B46" s="344" t="s">
        <v>458</v>
      </c>
      <c r="C46" s="345">
        <v>75.55</v>
      </c>
      <c r="D46" s="345">
        <v>0.85</v>
      </c>
      <c r="E46" s="345">
        <v>1.57</v>
      </c>
      <c r="F46" s="345">
        <v>3.99</v>
      </c>
    </row>
    <row r="47" spans="1:6" s="337" customFormat="1" ht="12.75" customHeight="1" x14ac:dyDescent="0.4">
      <c r="A47" s="340">
        <v>2012</v>
      </c>
      <c r="B47" s="341" t="s">
        <v>459</v>
      </c>
      <c r="C47" s="342">
        <v>75.760000000000005</v>
      </c>
      <c r="D47" s="342">
        <v>0.28000000000000003</v>
      </c>
      <c r="E47" s="342">
        <v>1.85</v>
      </c>
      <c r="F47" s="342">
        <v>4.0199999999999996</v>
      </c>
    </row>
    <row r="48" spans="1:6" s="337" customFormat="1" ht="12.75" customHeight="1" x14ac:dyDescent="0.4">
      <c r="A48" s="343">
        <v>2012</v>
      </c>
      <c r="B48" s="344" t="s">
        <v>460</v>
      </c>
      <c r="C48" s="345">
        <v>76.02</v>
      </c>
      <c r="D48" s="345">
        <v>0.34</v>
      </c>
      <c r="E48" s="345">
        <v>2.2000000000000002</v>
      </c>
      <c r="F48" s="345">
        <v>4.12</v>
      </c>
    </row>
    <row r="49" spans="1:6" s="337" customFormat="1" ht="12.75" customHeight="1" x14ac:dyDescent="0.4">
      <c r="A49" s="340">
        <v>2012</v>
      </c>
      <c r="B49" s="341" t="s">
        <v>461</v>
      </c>
      <c r="C49" s="342">
        <v>76.209999999999994</v>
      </c>
      <c r="D49" s="342">
        <v>0.25</v>
      </c>
      <c r="E49" s="342">
        <v>2.4500000000000002</v>
      </c>
      <c r="F49" s="342">
        <v>4.09</v>
      </c>
    </row>
    <row r="50" spans="1:6" s="337" customFormat="1" ht="12.75" customHeight="1" x14ac:dyDescent="0.4">
      <c r="A50" s="343">
        <v>2012</v>
      </c>
      <c r="B50" s="344" t="s">
        <v>462</v>
      </c>
      <c r="C50" s="345">
        <v>76.430000000000007</v>
      </c>
      <c r="D50" s="345">
        <v>0.3</v>
      </c>
      <c r="E50" s="345">
        <v>2.76</v>
      </c>
      <c r="F50" s="345">
        <v>3.98</v>
      </c>
    </row>
    <row r="51" spans="1:6" s="337" customFormat="1" ht="12.75" customHeight="1" x14ac:dyDescent="0.4">
      <c r="A51" s="340">
        <v>2012</v>
      </c>
      <c r="B51" s="341" t="s">
        <v>463</v>
      </c>
      <c r="C51" s="342">
        <v>76.66</v>
      </c>
      <c r="D51" s="342">
        <v>0.28999999999999998</v>
      </c>
      <c r="E51" s="342">
        <v>3.05</v>
      </c>
      <c r="F51" s="342">
        <v>4.13</v>
      </c>
    </row>
    <row r="52" spans="1:6" s="337" customFormat="1" ht="12.75" customHeight="1" x14ac:dyDescent="0.4">
      <c r="A52" s="343">
        <v>2012</v>
      </c>
      <c r="B52" s="344" t="s">
        <v>464</v>
      </c>
      <c r="C52" s="345">
        <v>76.64</v>
      </c>
      <c r="D52" s="345">
        <v>-0.02</v>
      </c>
      <c r="E52" s="345">
        <v>3.04</v>
      </c>
      <c r="F52" s="345">
        <v>4.1900000000000004</v>
      </c>
    </row>
    <row r="53" spans="1:6" s="337" customFormat="1" ht="12.75" customHeight="1" x14ac:dyDescent="0.4">
      <c r="A53" s="340">
        <v>2012</v>
      </c>
      <c r="B53" s="341" t="s">
        <v>465</v>
      </c>
      <c r="C53" s="342">
        <v>76.790000000000006</v>
      </c>
      <c r="D53" s="342">
        <v>0.2</v>
      </c>
      <c r="E53" s="342">
        <v>3.24</v>
      </c>
      <c r="F53" s="342">
        <v>4.2300000000000004</v>
      </c>
    </row>
    <row r="54" spans="1:6" s="337" customFormat="1" ht="12.75" customHeight="1" x14ac:dyDescent="0.4">
      <c r="A54" s="343">
        <v>2012</v>
      </c>
      <c r="B54" s="344" t="s">
        <v>466</v>
      </c>
      <c r="C54" s="345">
        <v>76.92</v>
      </c>
      <c r="D54" s="345">
        <v>0.17</v>
      </c>
      <c r="E54" s="345">
        <v>3.42</v>
      </c>
      <c r="F54" s="345">
        <v>4.25</v>
      </c>
    </row>
    <row r="55" spans="1:6" s="337" customFormat="1" ht="12.75" customHeight="1" x14ac:dyDescent="0.4">
      <c r="A55" s="340">
        <v>2012</v>
      </c>
      <c r="B55" s="341" t="s">
        <v>467</v>
      </c>
      <c r="C55" s="342">
        <v>77.06</v>
      </c>
      <c r="D55" s="342">
        <v>0.18</v>
      </c>
      <c r="E55" s="342">
        <v>3.6</v>
      </c>
      <c r="F55" s="342">
        <v>4.1100000000000003</v>
      </c>
    </row>
    <row r="56" spans="1:6" s="337" customFormat="1" ht="12.75" customHeight="1" x14ac:dyDescent="0.4">
      <c r="A56" s="343">
        <v>2012</v>
      </c>
      <c r="B56" s="344" t="s">
        <v>468</v>
      </c>
      <c r="C56" s="345">
        <v>77.3</v>
      </c>
      <c r="D56" s="345">
        <v>0.31</v>
      </c>
      <c r="E56" s="345">
        <v>3.92</v>
      </c>
      <c r="F56" s="345">
        <v>3.92</v>
      </c>
    </row>
    <row r="57" spans="1:6" s="337" customFormat="1" ht="12.75" customHeight="1" x14ac:dyDescent="0.4">
      <c r="A57" s="340">
        <v>2013</v>
      </c>
      <c r="B57" s="341" t="s">
        <v>457</v>
      </c>
      <c r="C57" s="342">
        <v>77.62</v>
      </c>
      <c r="D57" s="342">
        <v>0.41</v>
      </c>
      <c r="E57" s="342">
        <v>0.41</v>
      </c>
      <c r="F57" s="342">
        <v>3.62</v>
      </c>
    </row>
    <row r="58" spans="1:6" s="337" customFormat="1" ht="12.75" customHeight="1" x14ac:dyDescent="0.4">
      <c r="A58" s="343">
        <v>2013</v>
      </c>
      <c r="B58" s="344" t="s">
        <v>458</v>
      </c>
      <c r="C58" s="345">
        <v>78.22</v>
      </c>
      <c r="D58" s="345">
        <v>0.77</v>
      </c>
      <c r="E58" s="345">
        <v>1.18</v>
      </c>
      <c r="F58" s="345">
        <v>3.53</v>
      </c>
    </row>
    <row r="59" spans="1:6" s="337" customFormat="1" ht="12.75" customHeight="1" x14ac:dyDescent="0.4">
      <c r="A59" s="340">
        <v>2013</v>
      </c>
      <c r="B59" s="341" t="s">
        <v>459</v>
      </c>
      <c r="C59" s="342">
        <v>78.5</v>
      </c>
      <c r="D59" s="342">
        <v>0.36</v>
      </c>
      <c r="E59" s="342">
        <v>1.55</v>
      </c>
      <c r="F59" s="342">
        <v>3.61</v>
      </c>
    </row>
    <row r="60" spans="1:6" s="337" customFormat="1" ht="12.75" customHeight="1" x14ac:dyDescent="0.4">
      <c r="A60" s="343">
        <v>2013</v>
      </c>
      <c r="B60" s="344" t="s">
        <v>460</v>
      </c>
      <c r="C60" s="345">
        <v>78.680000000000007</v>
      </c>
      <c r="D60" s="345">
        <v>0.23</v>
      </c>
      <c r="E60" s="345">
        <v>1.78</v>
      </c>
      <c r="F60" s="345">
        <v>3.5</v>
      </c>
    </row>
    <row r="61" spans="1:6" s="337" customFormat="1" ht="12.75" customHeight="1" x14ac:dyDescent="0.4">
      <c r="A61" s="340">
        <v>2013</v>
      </c>
      <c r="B61" s="341" t="s">
        <v>461</v>
      </c>
      <c r="C61" s="342">
        <v>78.92</v>
      </c>
      <c r="D61" s="342">
        <v>0.3</v>
      </c>
      <c r="E61" s="342">
        <v>2.09</v>
      </c>
      <c r="F61" s="342">
        <v>3.56</v>
      </c>
    </row>
    <row r="62" spans="1:6" s="337" customFormat="1" ht="12.75" customHeight="1" x14ac:dyDescent="0.4">
      <c r="A62" s="343">
        <v>2013</v>
      </c>
      <c r="B62" s="344" t="s">
        <v>462</v>
      </c>
      <c r="C62" s="345">
        <v>79.22</v>
      </c>
      <c r="D62" s="345">
        <v>0.38</v>
      </c>
      <c r="E62" s="345">
        <v>2.48</v>
      </c>
      <c r="F62" s="345">
        <v>3.64</v>
      </c>
    </row>
    <row r="63" spans="1:6" s="337" customFormat="1" ht="12.75" customHeight="1" x14ac:dyDescent="0.4">
      <c r="A63" s="340">
        <v>2013</v>
      </c>
      <c r="B63" s="341" t="s">
        <v>463</v>
      </c>
      <c r="C63" s="342">
        <v>79.459999999999994</v>
      </c>
      <c r="D63" s="342">
        <v>0.3</v>
      </c>
      <c r="E63" s="342">
        <v>2.79</v>
      </c>
      <c r="F63" s="342">
        <v>3.66</v>
      </c>
    </row>
    <row r="64" spans="1:6" s="337" customFormat="1" ht="12.75" customHeight="1" x14ac:dyDescent="0.4">
      <c r="A64" s="343">
        <v>2013</v>
      </c>
      <c r="B64" s="344" t="s">
        <v>464</v>
      </c>
      <c r="C64" s="345">
        <v>79.52</v>
      </c>
      <c r="D64" s="345">
        <v>7.0000000000000007E-2</v>
      </c>
      <c r="E64" s="345">
        <v>2.86</v>
      </c>
      <c r="F64" s="345">
        <v>3.75</v>
      </c>
    </row>
    <row r="65" spans="1:6" s="337" customFormat="1" ht="12.75" customHeight="1" x14ac:dyDescent="0.4">
      <c r="A65" s="340">
        <v>2013</v>
      </c>
      <c r="B65" s="341" t="s">
        <v>465</v>
      </c>
      <c r="C65" s="342">
        <v>79.650000000000006</v>
      </c>
      <c r="D65" s="342">
        <v>0.17</v>
      </c>
      <c r="E65" s="342">
        <v>3.04</v>
      </c>
      <c r="F65" s="342">
        <v>3.72</v>
      </c>
    </row>
    <row r="66" spans="1:6" s="337" customFormat="1" ht="12.75" customHeight="1" x14ac:dyDescent="0.4">
      <c r="A66" s="343">
        <v>2013</v>
      </c>
      <c r="B66" s="344" t="s">
        <v>466</v>
      </c>
      <c r="C66" s="345">
        <v>79.72</v>
      </c>
      <c r="D66" s="345">
        <v>0.08</v>
      </c>
      <c r="E66" s="345">
        <v>3.12</v>
      </c>
      <c r="F66" s="345">
        <v>3.63</v>
      </c>
    </row>
    <row r="67" spans="1:6" s="337" customFormat="1" ht="12.75" customHeight="1" x14ac:dyDescent="0.4">
      <c r="A67" s="340">
        <v>2013</v>
      </c>
      <c r="B67" s="341" t="s">
        <v>467</v>
      </c>
      <c r="C67" s="342">
        <v>79.83</v>
      </c>
      <c r="D67" s="342">
        <v>0.14000000000000001</v>
      </c>
      <c r="E67" s="342">
        <v>3.27</v>
      </c>
      <c r="F67" s="342">
        <v>3.59</v>
      </c>
    </row>
    <row r="68" spans="1:6" s="337" customFormat="1" ht="12.75" customHeight="1" x14ac:dyDescent="0.4">
      <c r="A68" s="343">
        <v>2013</v>
      </c>
      <c r="B68" s="344" t="s">
        <v>468</v>
      </c>
      <c r="C68" s="345">
        <v>80.11</v>
      </c>
      <c r="D68" s="345">
        <v>0.35</v>
      </c>
      <c r="E68" s="345">
        <v>3.64</v>
      </c>
      <c r="F68" s="345">
        <v>3.64</v>
      </c>
    </row>
    <row r="69" spans="1:6" s="337" customFormat="1" ht="12.75" customHeight="1" x14ac:dyDescent="0.4">
      <c r="A69" s="340">
        <v>2014</v>
      </c>
      <c r="B69" s="341" t="s">
        <v>457</v>
      </c>
      <c r="C69" s="342">
        <v>80.53</v>
      </c>
      <c r="D69" s="342">
        <v>0.52</v>
      </c>
      <c r="E69" s="342">
        <v>0.52</v>
      </c>
      <c r="F69" s="342">
        <v>3.74</v>
      </c>
    </row>
    <row r="70" spans="1:6" s="337" customFormat="1" ht="12.75" customHeight="1" x14ac:dyDescent="0.4">
      <c r="A70" s="343">
        <v>2014</v>
      </c>
      <c r="B70" s="344" t="s">
        <v>458</v>
      </c>
      <c r="C70" s="345">
        <v>81.19</v>
      </c>
      <c r="D70" s="345">
        <v>0.82</v>
      </c>
      <c r="E70" s="345">
        <v>1.35</v>
      </c>
      <c r="F70" s="345">
        <v>3.8</v>
      </c>
    </row>
    <row r="71" spans="1:6" s="337" customFormat="1" ht="12.75" customHeight="1" x14ac:dyDescent="0.4">
      <c r="A71" s="340">
        <v>2014</v>
      </c>
      <c r="B71" s="341" t="s">
        <v>459</v>
      </c>
      <c r="C71" s="342">
        <v>81.44</v>
      </c>
      <c r="D71" s="342">
        <v>0.31</v>
      </c>
      <c r="E71" s="342">
        <v>1.66</v>
      </c>
      <c r="F71" s="342">
        <v>3.75</v>
      </c>
    </row>
    <row r="72" spans="1:6" s="337" customFormat="1" ht="12.75" customHeight="1" x14ac:dyDescent="0.4">
      <c r="A72" s="343">
        <v>2014</v>
      </c>
      <c r="B72" s="344" t="s">
        <v>460</v>
      </c>
      <c r="C72" s="345">
        <v>81.599999999999994</v>
      </c>
      <c r="D72" s="345">
        <v>0.2</v>
      </c>
      <c r="E72" s="345">
        <v>1.86</v>
      </c>
      <c r="F72" s="345">
        <v>3.72</v>
      </c>
    </row>
    <row r="73" spans="1:6" s="337" customFormat="1" ht="12.75" customHeight="1" x14ac:dyDescent="0.4">
      <c r="A73" s="340">
        <v>2014</v>
      </c>
      <c r="B73" s="341" t="s">
        <v>461</v>
      </c>
      <c r="C73" s="342">
        <v>81.819999999999993</v>
      </c>
      <c r="D73" s="342">
        <v>0.27</v>
      </c>
      <c r="E73" s="342">
        <v>2.14</v>
      </c>
      <c r="F73" s="342">
        <v>3.68</v>
      </c>
    </row>
    <row r="74" spans="1:6" s="337" customFormat="1" ht="12.75" customHeight="1" x14ac:dyDescent="0.4">
      <c r="A74" s="343">
        <v>2014</v>
      </c>
      <c r="B74" s="344" t="s">
        <v>462</v>
      </c>
      <c r="C74" s="345">
        <v>81.97</v>
      </c>
      <c r="D74" s="345">
        <v>0.18</v>
      </c>
      <c r="E74" s="345">
        <v>2.3199999999999998</v>
      </c>
      <c r="F74" s="345">
        <v>3.48</v>
      </c>
    </row>
    <row r="75" spans="1:6" s="337" customFormat="1" ht="12.75" customHeight="1" x14ac:dyDescent="0.4">
      <c r="A75" s="340">
        <v>2014</v>
      </c>
      <c r="B75" s="341" t="s">
        <v>463</v>
      </c>
      <c r="C75" s="342">
        <v>81.93</v>
      </c>
      <c r="D75" s="342">
        <v>-0.05</v>
      </c>
      <c r="E75" s="342">
        <v>2.27</v>
      </c>
      <c r="F75" s="342">
        <v>3.11</v>
      </c>
    </row>
    <row r="76" spans="1:6" s="337" customFormat="1" ht="12.75" customHeight="1" x14ac:dyDescent="0.4">
      <c r="A76" s="343">
        <v>2014</v>
      </c>
      <c r="B76" s="344" t="s">
        <v>464</v>
      </c>
      <c r="C76" s="345">
        <v>82.05</v>
      </c>
      <c r="D76" s="345">
        <v>0.14000000000000001</v>
      </c>
      <c r="E76" s="345">
        <v>2.41</v>
      </c>
      <c r="F76" s="345">
        <v>3.18</v>
      </c>
    </row>
    <row r="77" spans="1:6" s="337" customFormat="1" ht="12.75" customHeight="1" x14ac:dyDescent="0.4">
      <c r="A77" s="340">
        <v>2014</v>
      </c>
      <c r="B77" s="341" t="s">
        <v>465</v>
      </c>
      <c r="C77" s="342">
        <v>82.17</v>
      </c>
      <c r="D77" s="342">
        <v>0.16</v>
      </c>
      <c r="E77" s="342">
        <v>2.57</v>
      </c>
      <c r="F77" s="342">
        <v>3.16</v>
      </c>
    </row>
    <row r="78" spans="1:6" s="337" customFormat="1" ht="12.75" customHeight="1" x14ac:dyDescent="0.4">
      <c r="A78" s="343">
        <v>2014</v>
      </c>
      <c r="B78" s="344" t="s">
        <v>466</v>
      </c>
      <c r="C78" s="345">
        <v>82.37</v>
      </c>
      <c r="D78" s="345">
        <v>0.24</v>
      </c>
      <c r="E78" s="345">
        <v>2.81</v>
      </c>
      <c r="F78" s="345">
        <v>3.32</v>
      </c>
    </row>
    <row r="79" spans="1:6" s="337" customFormat="1" ht="12.75" customHeight="1" x14ac:dyDescent="0.4">
      <c r="A79" s="340">
        <v>2014</v>
      </c>
      <c r="B79" s="341" t="s">
        <v>467</v>
      </c>
      <c r="C79" s="342">
        <v>82.55</v>
      </c>
      <c r="D79" s="342">
        <v>0.23</v>
      </c>
      <c r="E79" s="342">
        <v>3.05</v>
      </c>
      <c r="F79" s="342">
        <v>3.41</v>
      </c>
    </row>
    <row r="80" spans="1:6" s="337" customFormat="1" ht="12.75" customHeight="1" x14ac:dyDescent="0.4">
      <c r="A80" s="343">
        <v>2014</v>
      </c>
      <c r="B80" s="344" t="s">
        <v>468</v>
      </c>
      <c r="C80" s="345">
        <v>82.94</v>
      </c>
      <c r="D80" s="345">
        <v>0.46</v>
      </c>
      <c r="E80" s="345">
        <v>3.52</v>
      </c>
      <c r="F80" s="345">
        <v>3.52</v>
      </c>
    </row>
    <row r="81" spans="1:6" s="337" customFormat="1" ht="12.75" customHeight="1" x14ac:dyDescent="0.4">
      <c r="A81" s="340">
        <v>2015</v>
      </c>
      <c r="B81" s="341" t="s">
        <v>457</v>
      </c>
      <c r="C81" s="342">
        <v>83.42</v>
      </c>
      <c r="D81" s="342">
        <v>0.59</v>
      </c>
      <c r="E81" s="342">
        <v>0.59</v>
      </c>
      <c r="F81" s="342">
        <v>3.6</v>
      </c>
    </row>
    <row r="82" spans="1:6" s="337" customFormat="1" ht="12.75" customHeight="1" x14ac:dyDescent="0.4">
      <c r="A82" s="343">
        <v>2015</v>
      </c>
      <c r="B82" s="344" t="s">
        <v>458</v>
      </c>
      <c r="C82" s="345">
        <v>84.23</v>
      </c>
      <c r="D82" s="345">
        <v>0.97</v>
      </c>
      <c r="E82" s="345">
        <v>1.56</v>
      </c>
      <c r="F82" s="345">
        <v>3.74</v>
      </c>
    </row>
    <row r="83" spans="1:6" s="337" customFormat="1" ht="12.75" customHeight="1" x14ac:dyDescent="0.4">
      <c r="A83" s="340">
        <v>2015</v>
      </c>
      <c r="B83" s="341" t="s">
        <v>459</v>
      </c>
      <c r="C83" s="342">
        <v>84.5</v>
      </c>
      <c r="D83" s="342">
        <v>0.32</v>
      </c>
      <c r="E83" s="342">
        <v>1.89</v>
      </c>
      <c r="F83" s="342">
        <v>3.76</v>
      </c>
    </row>
    <row r="84" spans="1:6" s="337" customFormat="1" ht="12.75" customHeight="1" x14ac:dyDescent="0.4">
      <c r="A84" s="343">
        <v>2015</v>
      </c>
      <c r="B84" s="344" t="s">
        <v>460</v>
      </c>
      <c r="C84" s="345">
        <v>84.81</v>
      </c>
      <c r="D84" s="345">
        <v>0.36</v>
      </c>
      <c r="E84" s="345">
        <v>2.2599999999999998</v>
      </c>
      <c r="F84" s="345">
        <v>3.93</v>
      </c>
    </row>
    <row r="85" spans="1:6" s="337" customFormat="1" ht="12.75" customHeight="1" x14ac:dyDescent="0.4">
      <c r="A85" s="340">
        <v>2015</v>
      </c>
      <c r="B85" s="341" t="s">
        <v>461</v>
      </c>
      <c r="C85" s="342">
        <v>85.05</v>
      </c>
      <c r="D85" s="342">
        <v>0.28999999999999998</v>
      </c>
      <c r="E85" s="342">
        <v>2.5499999999999998</v>
      </c>
      <c r="F85" s="342">
        <v>3.94</v>
      </c>
    </row>
    <row r="86" spans="1:6" s="337" customFormat="1" ht="12.75" customHeight="1" x14ac:dyDescent="0.4">
      <c r="A86" s="343">
        <v>2015</v>
      </c>
      <c r="B86" s="344" t="s">
        <v>462</v>
      </c>
      <c r="C86" s="345">
        <v>85.31</v>
      </c>
      <c r="D86" s="345">
        <v>0.3</v>
      </c>
      <c r="E86" s="345">
        <v>2.86</v>
      </c>
      <c r="F86" s="345">
        <v>4.07</v>
      </c>
    </row>
    <row r="87" spans="1:6" s="337" customFormat="1" ht="12.75" customHeight="1" x14ac:dyDescent="0.4">
      <c r="A87" s="340">
        <v>2015</v>
      </c>
      <c r="B87" s="341" t="s">
        <v>463</v>
      </c>
      <c r="C87" s="342">
        <v>85.36</v>
      </c>
      <c r="D87" s="342">
        <v>7.0000000000000007E-2</v>
      </c>
      <c r="E87" s="342">
        <v>2.93</v>
      </c>
      <c r="F87" s="342">
        <v>4.1900000000000004</v>
      </c>
    </row>
    <row r="88" spans="1:6" s="337" customFormat="1" ht="12.75" customHeight="1" x14ac:dyDescent="0.4">
      <c r="A88" s="343">
        <v>2015</v>
      </c>
      <c r="B88" s="344" t="s">
        <v>464</v>
      </c>
      <c r="C88" s="345">
        <v>85.55</v>
      </c>
      <c r="D88" s="345">
        <v>0.22</v>
      </c>
      <c r="E88" s="345">
        <v>3.15</v>
      </c>
      <c r="F88" s="345">
        <v>4.2699999999999996</v>
      </c>
    </row>
    <row r="89" spans="1:6" s="337" customFormat="1" ht="12.75" customHeight="1" x14ac:dyDescent="0.4">
      <c r="A89" s="340">
        <v>2015</v>
      </c>
      <c r="B89" s="341" t="s">
        <v>465</v>
      </c>
      <c r="C89" s="342">
        <v>85.91</v>
      </c>
      <c r="D89" s="342">
        <v>0.42</v>
      </c>
      <c r="E89" s="342">
        <v>3.58</v>
      </c>
      <c r="F89" s="342">
        <v>4.54</v>
      </c>
    </row>
    <row r="90" spans="1:6" s="337" customFormat="1" ht="12.75" customHeight="1" x14ac:dyDescent="0.4">
      <c r="A90" s="343">
        <v>2015</v>
      </c>
      <c r="B90" s="344" t="s">
        <v>466</v>
      </c>
      <c r="C90" s="345">
        <v>86.12</v>
      </c>
      <c r="D90" s="345">
        <v>0.25</v>
      </c>
      <c r="E90" s="345">
        <v>3.84</v>
      </c>
      <c r="F90" s="345">
        <v>4.5599999999999996</v>
      </c>
    </row>
    <row r="91" spans="1:6" s="337" customFormat="1" ht="12.75" customHeight="1" x14ac:dyDescent="0.4">
      <c r="A91" s="340">
        <v>2015</v>
      </c>
      <c r="B91" s="341" t="s">
        <v>467</v>
      </c>
      <c r="C91" s="342">
        <v>86.32</v>
      </c>
      <c r="D91" s="342">
        <v>0.23</v>
      </c>
      <c r="E91" s="342">
        <v>4.08</v>
      </c>
      <c r="F91" s="342">
        <v>4.5599999999999996</v>
      </c>
    </row>
    <row r="92" spans="1:6" s="337" customFormat="1" ht="12.75" customHeight="1" x14ac:dyDescent="0.4">
      <c r="A92" s="343">
        <v>2015</v>
      </c>
      <c r="B92" s="344" t="s">
        <v>468</v>
      </c>
      <c r="C92" s="345">
        <v>86.69</v>
      </c>
      <c r="D92" s="345">
        <v>0.44</v>
      </c>
      <c r="E92" s="345">
        <v>4.53</v>
      </c>
      <c r="F92" s="345">
        <v>4.53</v>
      </c>
    </row>
    <row r="93" spans="1:6" s="337" customFormat="1" ht="12.75" customHeight="1" x14ac:dyDescent="0.4">
      <c r="A93" s="340">
        <v>2016</v>
      </c>
      <c r="B93" s="341" t="s">
        <v>457</v>
      </c>
      <c r="C93" s="342">
        <v>87.34</v>
      </c>
      <c r="D93" s="342">
        <v>0.74</v>
      </c>
      <c r="E93" s="342">
        <v>0.74</v>
      </c>
      <c r="F93" s="342">
        <v>4.6900000000000004</v>
      </c>
    </row>
    <row r="94" spans="1:6" s="337" customFormat="1" ht="12.75" customHeight="1" x14ac:dyDescent="0.4">
      <c r="A94" s="343">
        <v>2016</v>
      </c>
      <c r="B94" s="344" t="s">
        <v>458</v>
      </c>
      <c r="C94" s="345">
        <v>88.48</v>
      </c>
      <c r="D94" s="345">
        <v>1.31</v>
      </c>
      <c r="E94" s="345">
        <v>2.06</v>
      </c>
      <c r="F94" s="345">
        <v>5.05</v>
      </c>
    </row>
    <row r="95" spans="1:6" s="337" customFormat="1" ht="12.75" customHeight="1" x14ac:dyDescent="0.4">
      <c r="A95" s="340">
        <v>2016</v>
      </c>
      <c r="B95" s="341" t="s">
        <v>459</v>
      </c>
      <c r="C95" s="342">
        <v>88.94</v>
      </c>
      <c r="D95" s="342">
        <v>0.51</v>
      </c>
      <c r="E95" s="342">
        <v>2.59</v>
      </c>
      <c r="F95" s="342">
        <v>5.25</v>
      </c>
    </row>
    <row r="96" spans="1:6" s="337" customFormat="1" ht="12.75" customHeight="1" x14ac:dyDescent="0.4">
      <c r="A96" s="343">
        <v>2016</v>
      </c>
      <c r="B96" s="344" t="s">
        <v>460</v>
      </c>
      <c r="C96" s="345">
        <v>89.4</v>
      </c>
      <c r="D96" s="345">
        <v>0.52</v>
      </c>
      <c r="E96" s="345">
        <v>3.12</v>
      </c>
      <c r="F96" s="345">
        <v>5.41</v>
      </c>
    </row>
    <row r="97" spans="1:6" s="337" customFormat="1" ht="12.75" customHeight="1" x14ac:dyDescent="0.4">
      <c r="A97" s="340">
        <v>2016</v>
      </c>
      <c r="B97" s="341" t="s">
        <v>461</v>
      </c>
      <c r="C97" s="342">
        <v>89.64</v>
      </c>
      <c r="D97" s="342">
        <v>0.28000000000000003</v>
      </c>
      <c r="E97" s="342">
        <v>3.4</v>
      </c>
      <c r="F97" s="342">
        <v>5.4</v>
      </c>
    </row>
    <row r="98" spans="1:6" s="337" customFormat="1" ht="12.75" customHeight="1" x14ac:dyDescent="0.4">
      <c r="A98" s="343">
        <v>2016</v>
      </c>
      <c r="B98" s="344" t="s">
        <v>462</v>
      </c>
      <c r="C98" s="345">
        <v>90.01</v>
      </c>
      <c r="D98" s="345">
        <v>0.41</v>
      </c>
      <c r="E98" s="345">
        <v>3.82</v>
      </c>
      <c r="F98" s="345">
        <v>5.51</v>
      </c>
    </row>
    <row r="99" spans="1:6" s="337" customFormat="1" ht="12.75" customHeight="1" x14ac:dyDescent="0.4">
      <c r="A99" s="340">
        <v>2016</v>
      </c>
      <c r="B99" s="341" t="s">
        <v>463</v>
      </c>
      <c r="C99" s="342">
        <v>90.19</v>
      </c>
      <c r="D99" s="342">
        <v>0.21</v>
      </c>
      <c r="E99" s="342">
        <v>4.04</v>
      </c>
      <c r="F99" s="342">
        <v>5.66</v>
      </c>
    </row>
    <row r="100" spans="1:6" s="337" customFormat="1" ht="12.75" customHeight="1" x14ac:dyDescent="0.4">
      <c r="A100" s="343">
        <v>2016</v>
      </c>
      <c r="B100" s="344" t="s">
        <v>464</v>
      </c>
      <c r="C100" s="345">
        <v>90.48</v>
      </c>
      <c r="D100" s="345">
        <v>0.32</v>
      </c>
      <c r="E100" s="345">
        <v>4.37</v>
      </c>
      <c r="F100" s="345">
        <v>5.76</v>
      </c>
    </row>
    <row r="101" spans="1:6" s="337" customFormat="1" ht="12.75" customHeight="1" x14ac:dyDescent="0.4">
      <c r="A101" s="340">
        <v>2016</v>
      </c>
      <c r="B101" s="341" t="s">
        <v>465</v>
      </c>
      <c r="C101" s="342">
        <v>90.75</v>
      </c>
      <c r="D101" s="342">
        <v>0.31</v>
      </c>
      <c r="E101" s="342">
        <v>4.6900000000000004</v>
      </c>
      <c r="F101" s="342">
        <v>5.64</v>
      </c>
    </row>
    <row r="102" spans="1:6" s="337" customFormat="1" ht="12.75" customHeight="1" x14ac:dyDescent="0.4">
      <c r="A102" s="343">
        <v>2016</v>
      </c>
      <c r="B102" s="344" t="s">
        <v>466</v>
      </c>
      <c r="C102" s="345">
        <v>90.91</v>
      </c>
      <c r="D102" s="345">
        <v>0.18</v>
      </c>
      <c r="E102" s="345">
        <v>4.87</v>
      </c>
      <c r="F102" s="345">
        <v>5.57</v>
      </c>
    </row>
    <row r="103" spans="1:6" s="337" customFormat="1" ht="12.75" customHeight="1" x14ac:dyDescent="0.4">
      <c r="A103" s="340">
        <v>2016</v>
      </c>
      <c r="B103" s="341" t="s">
        <v>467</v>
      </c>
      <c r="C103" s="342">
        <v>91.03</v>
      </c>
      <c r="D103" s="342">
        <v>0.13</v>
      </c>
      <c r="E103" s="342">
        <v>5</v>
      </c>
      <c r="F103" s="342">
        <v>5.46</v>
      </c>
    </row>
    <row r="104" spans="1:6" s="337" customFormat="1" ht="12.75" customHeight="1" x14ac:dyDescent="0.4">
      <c r="A104" s="343">
        <v>2016</v>
      </c>
      <c r="B104" s="344" t="s">
        <v>468</v>
      </c>
      <c r="C104" s="345">
        <v>91.43</v>
      </c>
      <c r="D104" s="345">
        <v>0.44</v>
      </c>
      <c r="E104" s="345">
        <v>5.46</v>
      </c>
      <c r="F104" s="345">
        <v>5.46</v>
      </c>
    </row>
    <row r="105" spans="1:6" s="337" customFormat="1" ht="12.75" customHeight="1" x14ac:dyDescent="0.4">
      <c r="A105" s="340">
        <v>2017</v>
      </c>
      <c r="B105" s="341" t="s">
        <v>457</v>
      </c>
      <c r="C105" s="342">
        <v>92.33</v>
      </c>
      <c r="D105" s="342">
        <v>0.99</v>
      </c>
      <c r="E105" s="342">
        <v>0.99</v>
      </c>
      <c r="F105" s="342">
        <v>5.71</v>
      </c>
    </row>
    <row r="106" spans="1:6" s="337" customFormat="1" ht="12.75" customHeight="1" x14ac:dyDescent="0.4">
      <c r="A106" s="343">
        <v>2017</v>
      </c>
      <c r="B106" s="344" t="s">
        <v>458</v>
      </c>
      <c r="C106" s="345">
        <v>93.6</v>
      </c>
      <c r="D106" s="345">
        <v>1.38</v>
      </c>
      <c r="E106" s="345">
        <v>2.37</v>
      </c>
      <c r="F106" s="345">
        <v>5.78</v>
      </c>
    </row>
    <row r="107" spans="1:6" s="337" customFormat="1" ht="12.75" customHeight="1" x14ac:dyDescent="0.4">
      <c r="A107" s="340">
        <v>2017</v>
      </c>
      <c r="B107" s="341" t="s">
        <v>459</v>
      </c>
      <c r="C107" s="342">
        <v>94.14</v>
      </c>
      <c r="D107" s="342">
        <v>0.57999999999999996</v>
      </c>
      <c r="E107" s="342">
        <v>2.97</v>
      </c>
      <c r="F107" s="342">
        <v>5.85</v>
      </c>
    </row>
    <row r="108" spans="1:6" s="337" customFormat="1" ht="12.75" customHeight="1" x14ac:dyDescent="0.4">
      <c r="A108" s="343">
        <v>2017</v>
      </c>
      <c r="B108" s="344" t="s">
        <v>460</v>
      </c>
      <c r="C108" s="345">
        <v>94.65</v>
      </c>
      <c r="D108" s="345">
        <v>0.54</v>
      </c>
      <c r="E108" s="345">
        <v>3.53</v>
      </c>
      <c r="F108" s="345">
        <v>5.87</v>
      </c>
    </row>
    <row r="109" spans="1:6" s="337" customFormat="1" ht="12.75" customHeight="1" x14ac:dyDescent="0.4">
      <c r="A109" s="340">
        <v>2017</v>
      </c>
      <c r="B109" s="341" t="s">
        <v>461</v>
      </c>
      <c r="C109" s="342">
        <v>94.88</v>
      </c>
      <c r="D109" s="342">
        <v>0.25</v>
      </c>
      <c r="E109" s="342">
        <v>3.78</v>
      </c>
      <c r="F109" s="342">
        <v>5.85</v>
      </c>
    </row>
    <row r="110" spans="1:6" s="337" customFormat="1" ht="12.75" customHeight="1" x14ac:dyDescent="0.4">
      <c r="A110" s="343">
        <v>2017</v>
      </c>
      <c r="B110" s="344" t="s">
        <v>462</v>
      </c>
      <c r="C110" s="345">
        <v>95.22</v>
      </c>
      <c r="D110" s="345">
        <v>0.35</v>
      </c>
      <c r="E110" s="345">
        <v>4.1500000000000004</v>
      </c>
      <c r="F110" s="345">
        <v>5.79</v>
      </c>
    </row>
    <row r="111" spans="1:6" s="337" customFormat="1" ht="12.75" customHeight="1" x14ac:dyDescent="0.4">
      <c r="A111" s="340">
        <v>2017</v>
      </c>
      <c r="B111" s="341" t="s">
        <v>463</v>
      </c>
      <c r="C111" s="342">
        <v>95.25</v>
      </c>
      <c r="D111" s="342">
        <v>0.04</v>
      </c>
      <c r="E111" s="342">
        <v>4.1900000000000004</v>
      </c>
      <c r="F111" s="342">
        <v>5.61</v>
      </c>
    </row>
    <row r="112" spans="1:6" s="337" customFormat="1" ht="12.75" customHeight="1" x14ac:dyDescent="0.4">
      <c r="A112" s="343">
        <v>2017</v>
      </c>
      <c r="B112" s="344" t="s">
        <v>464</v>
      </c>
      <c r="C112" s="345">
        <v>95.4</v>
      </c>
      <c r="D112" s="345">
        <v>0.16</v>
      </c>
      <c r="E112" s="345">
        <v>4.3499999999999996</v>
      </c>
      <c r="F112" s="345">
        <v>5.44</v>
      </c>
    </row>
    <row r="113" spans="1:6" s="337" customFormat="1" ht="12.75" customHeight="1" x14ac:dyDescent="0.4">
      <c r="A113" s="340">
        <v>2017</v>
      </c>
      <c r="B113" s="341" t="s">
        <v>465</v>
      </c>
      <c r="C113" s="342">
        <v>95.53</v>
      </c>
      <c r="D113" s="342">
        <v>0.13</v>
      </c>
      <c r="E113" s="342">
        <v>4.4800000000000004</v>
      </c>
      <c r="F113" s="342">
        <v>5.26</v>
      </c>
    </row>
    <row r="114" spans="1:6" s="337" customFormat="1" ht="12.75" customHeight="1" x14ac:dyDescent="0.4">
      <c r="A114" s="343">
        <v>2017</v>
      </c>
      <c r="B114" s="344" t="s">
        <v>466</v>
      </c>
      <c r="C114" s="345">
        <v>95.65</v>
      </c>
      <c r="D114" s="345">
        <v>0.13</v>
      </c>
      <c r="E114" s="345">
        <v>4.62</v>
      </c>
      <c r="F114" s="345">
        <v>5.21</v>
      </c>
    </row>
    <row r="115" spans="1:6" s="337" customFormat="1" ht="12.75" customHeight="1" x14ac:dyDescent="0.4">
      <c r="A115" s="340">
        <v>2017</v>
      </c>
      <c r="B115" s="341" t="s">
        <v>467</v>
      </c>
      <c r="C115" s="342">
        <v>95.87</v>
      </c>
      <c r="D115" s="342">
        <v>0.23</v>
      </c>
      <c r="E115" s="342">
        <v>4.8600000000000003</v>
      </c>
      <c r="F115" s="342">
        <v>5.32</v>
      </c>
    </row>
    <row r="116" spans="1:6" s="337" customFormat="1" ht="12.75" customHeight="1" x14ac:dyDescent="0.4">
      <c r="A116" s="343">
        <v>2017</v>
      </c>
      <c r="B116" s="344" t="s">
        <v>468</v>
      </c>
      <c r="C116" s="345">
        <v>96.48</v>
      </c>
      <c r="D116" s="345">
        <v>0.63</v>
      </c>
      <c r="E116" s="345">
        <v>5.52</v>
      </c>
      <c r="F116" s="345">
        <v>5.52</v>
      </c>
    </row>
    <row r="117" spans="1:6" s="337" customFormat="1" ht="12.75" customHeight="1" x14ac:dyDescent="0.4">
      <c r="A117" s="340">
        <v>2018</v>
      </c>
      <c r="B117" s="346" t="s">
        <v>457</v>
      </c>
      <c r="C117" s="347">
        <v>97.13</v>
      </c>
      <c r="D117" s="347">
        <v>0.68</v>
      </c>
      <c r="E117" s="347">
        <v>0.68</v>
      </c>
      <c r="F117" s="347">
        <v>5.2</v>
      </c>
    </row>
    <row r="118" spans="1:6" s="337" customFormat="1" ht="12.75" customHeight="1" x14ac:dyDescent="0.4">
      <c r="A118" s="343">
        <v>2018</v>
      </c>
      <c r="B118" s="344" t="s">
        <v>458</v>
      </c>
      <c r="C118" s="345">
        <v>98.17</v>
      </c>
      <c r="D118" s="345">
        <v>1.07</v>
      </c>
      <c r="E118" s="345">
        <v>1.76</v>
      </c>
      <c r="F118" s="345">
        <v>4.8899999999999997</v>
      </c>
    </row>
    <row r="119" spans="1:6" s="337" customFormat="1" ht="12.75" customHeight="1" x14ac:dyDescent="0.4">
      <c r="A119" s="340">
        <v>2018</v>
      </c>
      <c r="B119" s="341" t="s">
        <v>459</v>
      </c>
      <c r="C119" s="342">
        <v>98.51</v>
      </c>
      <c r="D119" s="342">
        <v>0.34</v>
      </c>
      <c r="E119" s="342">
        <v>2.11</v>
      </c>
      <c r="F119" s="342">
        <v>4.63</v>
      </c>
    </row>
    <row r="120" spans="1:6" s="337" customFormat="1" ht="12.75" customHeight="1" x14ac:dyDescent="0.4">
      <c r="A120" s="343">
        <v>2018</v>
      </c>
      <c r="B120" s="344" t="s">
        <v>460</v>
      </c>
      <c r="C120" s="345">
        <v>98.7</v>
      </c>
      <c r="D120" s="345">
        <v>0.19</v>
      </c>
      <c r="E120" s="345">
        <v>2.2999999999999998</v>
      </c>
      <c r="F120" s="345">
        <v>4.28</v>
      </c>
    </row>
    <row r="121" spans="1:6" s="337" customFormat="1" ht="12.75" customHeight="1" x14ac:dyDescent="0.4">
      <c r="A121" s="340">
        <v>2018</v>
      </c>
      <c r="B121" s="341" t="s">
        <v>461</v>
      </c>
      <c r="C121" s="342">
        <v>98.94</v>
      </c>
      <c r="D121" s="342">
        <v>0.24</v>
      </c>
      <c r="E121" s="342">
        <v>2.5499999999999998</v>
      </c>
      <c r="F121" s="342">
        <v>4.2699999999999996</v>
      </c>
    </row>
    <row r="122" spans="1:6" s="337" customFormat="1" ht="12.75" customHeight="1" x14ac:dyDescent="0.4">
      <c r="A122" s="343">
        <v>2018</v>
      </c>
      <c r="B122" s="344" t="s">
        <v>462</v>
      </c>
      <c r="C122" s="345">
        <v>99.23</v>
      </c>
      <c r="D122" s="345">
        <v>0.3</v>
      </c>
      <c r="E122" s="345">
        <v>2.86</v>
      </c>
      <c r="F122" s="345">
        <v>4.22</v>
      </c>
    </row>
    <row r="123" spans="1:6" s="337" customFormat="1" ht="12.75" customHeight="1" x14ac:dyDescent="0.4">
      <c r="A123" s="340">
        <v>2018</v>
      </c>
      <c r="B123" s="341" t="s">
        <v>463</v>
      </c>
      <c r="C123" s="342">
        <v>99.23</v>
      </c>
      <c r="D123" s="342">
        <v>0</v>
      </c>
      <c r="E123" s="342">
        <v>2.85</v>
      </c>
      <c r="F123" s="342">
        <v>4.17</v>
      </c>
    </row>
    <row r="124" spans="1:6" s="337" customFormat="1" ht="12.75" customHeight="1" x14ac:dyDescent="0.4">
      <c r="A124" s="343">
        <v>2018</v>
      </c>
      <c r="B124" s="344" t="s">
        <v>464</v>
      </c>
      <c r="C124" s="345">
        <v>99.3</v>
      </c>
      <c r="D124" s="345">
        <v>7.0000000000000007E-2</v>
      </c>
      <c r="E124" s="345">
        <v>2.93</v>
      </c>
      <c r="F124" s="345">
        <v>4.09</v>
      </c>
    </row>
    <row r="125" spans="1:6" s="337" customFormat="1" ht="12.75" customHeight="1" x14ac:dyDescent="0.4">
      <c r="A125" s="340">
        <v>2018</v>
      </c>
      <c r="B125" s="341" t="s">
        <v>465</v>
      </c>
      <c r="C125" s="342">
        <v>99.42</v>
      </c>
      <c r="D125" s="342">
        <v>0.12</v>
      </c>
      <c r="E125" s="342">
        <v>3.05</v>
      </c>
      <c r="F125" s="342">
        <v>4.08</v>
      </c>
    </row>
    <row r="126" spans="1:6" s="337" customFormat="1" ht="12.75" customHeight="1" x14ac:dyDescent="0.4">
      <c r="A126" s="343">
        <v>2018</v>
      </c>
      <c r="B126" s="344" t="s">
        <v>466</v>
      </c>
      <c r="C126" s="345">
        <v>99.52</v>
      </c>
      <c r="D126" s="345">
        <v>0.1</v>
      </c>
      <c r="E126" s="345">
        <v>3.16</v>
      </c>
      <c r="F126" s="345">
        <v>4.05</v>
      </c>
    </row>
    <row r="127" spans="1:6" s="337" customFormat="1" ht="12.75" customHeight="1" x14ac:dyDescent="0.4">
      <c r="A127" s="340">
        <v>2018</v>
      </c>
      <c r="B127" s="341" t="s">
        <v>467</v>
      </c>
      <c r="C127" s="342">
        <v>99.68</v>
      </c>
      <c r="D127" s="342">
        <v>0.16</v>
      </c>
      <c r="E127" s="342">
        <v>3.32</v>
      </c>
      <c r="F127" s="342">
        <v>3.97</v>
      </c>
    </row>
    <row r="128" spans="1:6" s="337" customFormat="1" ht="12.75" customHeight="1" x14ac:dyDescent="0.4">
      <c r="A128" s="343">
        <v>2018</v>
      </c>
      <c r="B128" s="344" t="s">
        <v>468</v>
      </c>
      <c r="C128" s="345">
        <v>100</v>
      </c>
      <c r="D128" s="345">
        <v>0.32</v>
      </c>
      <c r="E128" s="345">
        <v>3.65</v>
      </c>
      <c r="F128" s="345">
        <v>3.65</v>
      </c>
    </row>
    <row r="129" spans="1:6" s="348" customFormat="1" ht="12.75" customHeight="1" x14ac:dyDescent="0.4">
      <c r="A129" s="340">
        <v>2019</v>
      </c>
      <c r="B129" s="341" t="s">
        <v>457</v>
      </c>
      <c r="C129" s="342">
        <v>100.65</v>
      </c>
      <c r="D129" s="342">
        <v>0.65</v>
      </c>
      <c r="E129" s="342">
        <v>0.65</v>
      </c>
      <c r="F129" s="342">
        <v>3.63</v>
      </c>
    </row>
    <row r="130" spans="1:6" s="337" customFormat="1" ht="12.75" customHeight="1" x14ac:dyDescent="0.4">
      <c r="A130" s="343">
        <v>2019</v>
      </c>
      <c r="B130" s="344" t="s">
        <v>458</v>
      </c>
      <c r="C130" s="345">
        <v>101.46</v>
      </c>
      <c r="D130" s="345">
        <v>0.81</v>
      </c>
      <c r="E130" s="345">
        <v>1.46</v>
      </c>
      <c r="F130" s="345">
        <v>3.35</v>
      </c>
    </row>
    <row r="131" spans="1:6" s="337" customFormat="1" ht="12.75" customHeight="1" x14ac:dyDescent="0.4">
      <c r="A131" s="340">
        <v>2019</v>
      </c>
      <c r="B131" s="341" t="s">
        <v>459</v>
      </c>
      <c r="C131" s="342">
        <v>101.71</v>
      </c>
      <c r="D131" s="342">
        <v>0.25</v>
      </c>
      <c r="E131" s="342">
        <v>1.71</v>
      </c>
      <c r="F131" s="342">
        <v>3.25</v>
      </c>
    </row>
    <row r="132" spans="1:6" s="348" customFormat="1" ht="12.75" customHeight="1" x14ac:dyDescent="0.4">
      <c r="A132" s="343">
        <v>2019</v>
      </c>
      <c r="B132" s="344" t="s">
        <v>460</v>
      </c>
      <c r="C132" s="345">
        <v>102.1</v>
      </c>
      <c r="D132" s="345">
        <v>0.38</v>
      </c>
      <c r="E132" s="345">
        <v>2.1</v>
      </c>
      <c r="F132" s="345">
        <v>3.44</v>
      </c>
    </row>
    <row r="133" spans="1:6" s="348" customFormat="1" ht="12.75" customHeight="1" x14ac:dyDescent="0.4">
      <c r="A133" s="349">
        <v>2019</v>
      </c>
      <c r="B133" s="350" t="s">
        <v>461</v>
      </c>
      <c r="C133" s="351">
        <v>102.33</v>
      </c>
      <c r="D133" s="351">
        <v>0.23</v>
      </c>
      <c r="E133" s="351">
        <v>2.33</v>
      </c>
      <c r="F133" s="351">
        <v>3.43</v>
      </c>
    </row>
    <row r="134" spans="1:6" s="348" customFormat="1" ht="12.75" customHeight="1" x14ac:dyDescent="0.4">
      <c r="A134" s="343">
        <v>2019</v>
      </c>
      <c r="B134" s="344" t="s">
        <v>462</v>
      </c>
      <c r="C134" s="345">
        <v>102.59</v>
      </c>
      <c r="D134" s="345">
        <v>0.25</v>
      </c>
      <c r="E134" s="345">
        <v>2.59</v>
      </c>
      <c r="F134" s="345">
        <v>3.38</v>
      </c>
    </row>
    <row r="135" spans="1:6" s="348" customFormat="1" ht="12.75" customHeight="1" x14ac:dyDescent="0.4">
      <c r="A135" s="349">
        <v>2019</v>
      </c>
      <c r="B135" s="350" t="s">
        <v>463</v>
      </c>
      <c r="C135" s="351">
        <v>102.73</v>
      </c>
      <c r="D135" s="351">
        <v>0.13</v>
      </c>
      <c r="E135" s="351">
        <v>2.73</v>
      </c>
      <c r="F135" s="351">
        <v>3.52</v>
      </c>
    </row>
    <row r="136" spans="1:6" s="348" customFormat="1" ht="12.75" customHeight="1" x14ac:dyDescent="0.4">
      <c r="A136" s="343">
        <v>2019</v>
      </c>
      <c r="B136" s="344" t="s">
        <v>464</v>
      </c>
      <c r="C136" s="345">
        <v>102.89</v>
      </c>
      <c r="D136" s="345">
        <v>0.16</v>
      </c>
      <c r="E136" s="345">
        <v>2.89</v>
      </c>
      <c r="F136" s="345">
        <v>3.61</v>
      </c>
    </row>
    <row r="137" spans="1:6" s="348" customFormat="1" ht="12.75" customHeight="1" x14ac:dyDescent="0.4">
      <c r="A137" s="349">
        <v>2019</v>
      </c>
      <c r="B137" s="350" t="s">
        <v>465</v>
      </c>
      <c r="C137" s="351">
        <v>103.08</v>
      </c>
      <c r="D137" s="351">
        <v>0.19</v>
      </c>
      <c r="E137" s="351">
        <v>3.08</v>
      </c>
      <c r="F137" s="351">
        <v>3.68</v>
      </c>
    </row>
    <row r="138" spans="1:6" s="348" customFormat="1" ht="12.75" customHeight="1" x14ac:dyDescent="0.4">
      <c r="A138" s="343">
        <v>2019</v>
      </c>
      <c r="B138" s="344" t="s">
        <v>466</v>
      </c>
      <c r="C138" s="345">
        <v>103.18</v>
      </c>
      <c r="D138" s="345">
        <v>0.09</v>
      </c>
      <c r="E138" s="345">
        <v>3.18</v>
      </c>
      <c r="F138" s="345">
        <v>3.67</v>
      </c>
    </row>
    <row r="139" spans="1:6" s="348" customFormat="1" ht="12.75" customHeight="1" x14ac:dyDescent="0.4">
      <c r="A139" s="349">
        <v>2019</v>
      </c>
      <c r="B139" s="350" t="s">
        <v>467</v>
      </c>
      <c r="C139" s="351">
        <v>103.34</v>
      </c>
      <c r="D139" s="351">
        <v>0.16</v>
      </c>
      <c r="E139" s="351">
        <v>3.34</v>
      </c>
      <c r="F139" s="351">
        <v>3.67</v>
      </c>
    </row>
    <row r="140" spans="1:6" s="348" customFormat="1" ht="12.75" customHeight="1" x14ac:dyDescent="0.4">
      <c r="A140" s="343">
        <v>2019</v>
      </c>
      <c r="B140" s="344" t="s">
        <v>468</v>
      </c>
      <c r="C140" s="345">
        <v>103.75</v>
      </c>
      <c r="D140" s="345">
        <v>0.39</v>
      </c>
      <c r="E140" s="345">
        <v>3.75</v>
      </c>
      <c r="F140" s="345">
        <v>3.75</v>
      </c>
    </row>
    <row r="141" spans="1:6" s="348" customFormat="1" ht="12.75" customHeight="1" x14ac:dyDescent="0.4">
      <c r="A141" s="349">
        <v>2020</v>
      </c>
      <c r="B141" s="350" t="s">
        <v>457</v>
      </c>
      <c r="C141" s="351">
        <v>104.29</v>
      </c>
      <c r="D141" s="351">
        <v>0.52</v>
      </c>
      <c r="E141" s="351">
        <v>0.52</v>
      </c>
      <c r="F141" s="351">
        <v>3.61</v>
      </c>
    </row>
    <row r="142" spans="1:6" s="348" customFormat="1" ht="12.75" customHeight="1" x14ac:dyDescent="0.4">
      <c r="A142" s="343">
        <v>2020</v>
      </c>
      <c r="B142" s="344" t="s">
        <v>458</v>
      </c>
      <c r="C142" s="345">
        <v>105.03</v>
      </c>
      <c r="D142" s="345">
        <v>0.71</v>
      </c>
      <c r="E142" s="345">
        <v>1.24</v>
      </c>
      <c r="F142" s="345">
        <v>3.52</v>
      </c>
    </row>
    <row r="143" spans="1:6" s="348" customFormat="1" ht="12.75" customHeight="1" x14ac:dyDescent="0.4">
      <c r="A143" s="349">
        <v>2020</v>
      </c>
      <c r="B143" s="350" t="s">
        <v>459</v>
      </c>
      <c r="C143" s="351">
        <v>105.33</v>
      </c>
      <c r="D143" s="351">
        <v>0.28999999999999998</v>
      </c>
      <c r="E143" s="351">
        <v>1.53</v>
      </c>
      <c r="F143" s="351">
        <v>3.56</v>
      </c>
    </row>
    <row r="144" spans="1:6" s="348" customFormat="1" ht="12.75" customHeight="1" x14ac:dyDescent="0.4">
      <c r="A144" s="343">
        <v>2020</v>
      </c>
      <c r="B144" s="344" t="s">
        <v>460</v>
      </c>
      <c r="C144" s="345">
        <v>105.18</v>
      </c>
      <c r="D144" s="345">
        <v>-0.14000000000000001</v>
      </c>
      <c r="E144" s="345">
        <v>1.38</v>
      </c>
      <c r="F144" s="345">
        <v>3.01</v>
      </c>
    </row>
    <row r="145" spans="1:6" s="348" customFormat="1" ht="12.75" customHeight="1" x14ac:dyDescent="0.4">
      <c r="A145" s="349">
        <v>2020</v>
      </c>
      <c r="B145" s="350" t="s">
        <v>461</v>
      </c>
      <c r="C145" s="351">
        <v>105.02</v>
      </c>
      <c r="D145" s="351">
        <v>-0.15</v>
      </c>
      <c r="E145" s="351">
        <v>1.23</v>
      </c>
      <c r="F145" s="351">
        <v>2.63</v>
      </c>
    </row>
    <row r="146" spans="1:6" s="348" customFormat="1" ht="12.75" customHeight="1" x14ac:dyDescent="0.4">
      <c r="A146" s="343">
        <v>2020</v>
      </c>
      <c r="B146" s="344" t="s">
        <v>462</v>
      </c>
      <c r="C146" s="345">
        <v>104.99</v>
      </c>
      <c r="D146" s="345">
        <v>-0.03</v>
      </c>
      <c r="E146" s="345">
        <v>1.2</v>
      </c>
      <c r="F146" s="345">
        <v>2.34</v>
      </c>
    </row>
    <row r="147" spans="1:6" s="352" customFormat="1" ht="12.75" customHeight="1" x14ac:dyDescent="0.25">
      <c r="A147" s="349">
        <v>2020</v>
      </c>
      <c r="B147" s="350" t="s">
        <v>463</v>
      </c>
      <c r="C147" s="351">
        <v>105.11</v>
      </c>
      <c r="D147" s="351">
        <v>0.11</v>
      </c>
      <c r="E147" s="351">
        <v>1.31</v>
      </c>
      <c r="F147" s="351">
        <v>2.3199999999999998</v>
      </c>
    </row>
    <row r="148" spans="1:6" s="352" customFormat="1" ht="12.75" customHeight="1" x14ac:dyDescent="0.25">
      <c r="A148" s="343">
        <v>2020</v>
      </c>
      <c r="B148" s="344" t="s">
        <v>464</v>
      </c>
      <c r="C148" s="345">
        <v>105.13</v>
      </c>
      <c r="D148" s="345">
        <v>0.14000000000000001</v>
      </c>
      <c r="E148" s="345">
        <v>1.34</v>
      </c>
      <c r="F148" s="345">
        <v>2.19</v>
      </c>
    </row>
    <row r="149" spans="1:6" s="352" customFormat="1" ht="12.75" customHeight="1" x14ac:dyDescent="0.25">
      <c r="A149" s="349">
        <v>2020</v>
      </c>
      <c r="B149" s="350" t="s">
        <v>465</v>
      </c>
      <c r="C149" s="351">
        <v>105.35</v>
      </c>
      <c r="D149" s="351">
        <v>0.2</v>
      </c>
      <c r="E149" s="351">
        <v>1.54</v>
      </c>
      <c r="F149" s="351">
        <v>2.2000000000000002</v>
      </c>
    </row>
    <row r="150" spans="1:6" s="352" customFormat="1" ht="12.75" customHeight="1" x14ac:dyDescent="0.25">
      <c r="A150" s="343">
        <v>2020</v>
      </c>
      <c r="B150" s="344" t="s">
        <v>466</v>
      </c>
      <c r="C150" s="345">
        <v>105.38</v>
      </c>
      <c r="D150" s="345">
        <v>0.03</v>
      </c>
      <c r="E150" s="345">
        <v>1.57</v>
      </c>
      <c r="F150" s="345">
        <v>2.13</v>
      </c>
    </row>
    <row r="151" spans="1:6" s="352" customFormat="1" ht="12.75" customHeight="1" x14ac:dyDescent="0.25">
      <c r="A151" s="349">
        <v>2020</v>
      </c>
      <c r="B151" s="350" t="s">
        <v>467</v>
      </c>
      <c r="C151" s="351">
        <v>105.37</v>
      </c>
      <c r="D151" s="351">
        <v>0</v>
      </c>
      <c r="E151" s="351">
        <v>1.57</v>
      </c>
      <c r="F151" s="351">
        <v>1.97</v>
      </c>
    </row>
    <row r="152" spans="1:6" s="352" customFormat="1" ht="12.75" customHeight="1" x14ac:dyDescent="0.25">
      <c r="A152" s="343">
        <v>2020</v>
      </c>
      <c r="B152" s="344" t="s">
        <v>468</v>
      </c>
      <c r="C152" s="345">
        <v>105.41</v>
      </c>
      <c r="D152" s="345">
        <v>0.03</v>
      </c>
      <c r="E152" s="345">
        <v>1.6</v>
      </c>
      <c r="F152" s="345">
        <v>1.6</v>
      </c>
    </row>
    <row r="153" spans="1:6" s="352" customFormat="1" ht="12.75" customHeight="1" x14ac:dyDescent="0.25">
      <c r="A153" s="349">
        <v>2021</v>
      </c>
      <c r="B153" s="350" t="s">
        <v>457</v>
      </c>
      <c r="C153" s="351">
        <v>105.63</v>
      </c>
      <c r="D153" s="351">
        <v>0.21</v>
      </c>
      <c r="E153" s="351">
        <v>0.21</v>
      </c>
      <c r="F153" s="351">
        <v>1.28</v>
      </c>
    </row>
    <row r="154" spans="1:6" s="352" customFormat="1" ht="12.75" customHeight="1" x14ac:dyDescent="0.25">
      <c r="A154" s="343">
        <v>2021</v>
      </c>
      <c r="B154" s="344" t="s">
        <v>458</v>
      </c>
      <c r="C154" s="345">
        <v>106.27</v>
      </c>
      <c r="D154" s="345">
        <v>0.61</v>
      </c>
      <c r="E154" s="345">
        <v>0.82</v>
      </c>
      <c r="F154" s="345">
        <v>1.18</v>
      </c>
    </row>
    <row r="155" spans="1:6" s="352" customFormat="1" ht="12.75" customHeight="1" x14ac:dyDescent="0.25">
      <c r="A155" s="349">
        <v>2021</v>
      </c>
      <c r="B155" s="350" t="s">
        <v>459</v>
      </c>
      <c r="C155" s="351">
        <v>106.49</v>
      </c>
      <c r="D155" s="351">
        <v>0.21</v>
      </c>
      <c r="E155" s="351">
        <v>1.03</v>
      </c>
      <c r="F155" s="351">
        <v>1.1000000000000001</v>
      </c>
    </row>
    <row r="156" spans="1:6" s="352" customFormat="1" ht="12.75" customHeight="1" x14ac:dyDescent="0.25">
      <c r="A156" s="343">
        <v>2021</v>
      </c>
      <c r="B156" s="344" t="s">
        <v>460</v>
      </c>
      <c r="C156" s="345">
        <v>106.72</v>
      </c>
      <c r="D156" s="345">
        <v>0.21</v>
      </c>
      <c r="E156" s="345">
        <v>1.24</v>
      </c>
      <c r="F156" s="345">
        <v>1.46</v>
      </c>
    </row>
    <row r="157" spans="1:6" s="352" customFormat="1" ht="12.75" customHeight="1" x14ac:dyDescent="0.25">
      <c r="A157" s="349">
        <v>2021</v>
      </c>
      <c r="B157" s="350" t="s">
        <v>461</v>
      </c>
      <c r="C157" s="351">
        <v>106.8</v>
      </c>
      <c r="D157" s="351">
        <v>0.08</v>
      </c>
      <c r="E157" s="351">
        <v>1.32</v>
      </c>
      <c r="F157" s="351">
        <v>1.7</v>
      </c>
    </row>
    <row r="158" spans="1:6" s="352" customFormat="1" ht="12.75" customHeight="1" x14ac:dyDescent="0.25">
      <c r="A158" s="343">
        <v>2021</v>
      </c>
      <c r="B158" s="344" t="s">
        <v>462</v>
      </c>
      <c r="C158" s="345">
        <v>106.92</v>
      </c>
      <c r="D158" s="345">
        <v>0.12</v>
      </c>
      <c r="E158" s="345">
        <v>1.44</v>
      </c>
      <c r="F158" s="345">
        <v>1.84</v>
      </c>
    </row>
    <row r="159" spans="1:6" s="352" customFormat="1" ht="12.75" customHeight="1" x14ac:dyDescent="0.25">
      <c r="A159" s="349">
        <v>2021</v>
      </c>
      <c r="B159" s="350" t="s">
        <v>463</v>
      </c>
      <c r="C159" s="351">
        <v>107.21</v>
      </c>
      <c r="D159" s="351">
        <v>0.27</v>
      </c>
      <c r="E159" s="351">
        <v>1.71</v>
      </c>
      <c r="F159" s="351">
        <v>2.12</v>
      </c>
    </row>
    <row r="160" spans="1:6" s="352" customFormat="1" ht="12.75" customHeight="1" x14ac:dyDescent="0.25">
      <c r="A160" s="343">
        <v>2021</v>
      </c>
      <c r="B160" s="344" t="s">
        <v>464</v>
      </c>
      <c r="C160" s="345">
        <v>107.56</v>
      </c>
      <c r="D160" s="345">
        <v>0.32</v>
      </c>
      <c r="E160" s="345">
        <v>2.04</v>
      </c>
      <c r="F160" s="345">
        <v>2.2999999999999998</v>
      </c>
    </row>
    <row r="161" spans="1:6" s="352" customFormat="1" ht="12.75" customHeight="1" x14ac:dyDescent="0.25">
      <c r="A161" s="349">
        <v>2021</v>
      </c>
      <c r="B161" s="350" t="s">
        <v>465</v>
      </c>
      <c r="C161" s="351">
        <v>107.68</v>
      </c>
      <c r="D161" s="351">
        <v>0.11</v>
      </c>
      <c r="E161" s="351">
        <v>2.15</v>
      </c>
      <c r="F161" s="351">
        <v>2.21</v>
      </c>
    </row>
    <row r="162" spans="1:6" s="352" customFormat="1" ht="12.75" customHeight="1" x14ac:dyDescent="0.25">
      <c r="A162" s="343">
        <v>2021</v>
      </c>
      <c r="B162" s="344" t="s">
        <v>466</v>
      </c>
      <c r="C162" s="345">
        <v>107.46</v>
      </c>
      <c r="D162" s="345">
        <v>-0.2</v>
      </c>
      <c r="E162" s="345">
        <v>1.95</v>
      </c>
      <c r="F162" s="345">
        <v>1.98</v>
      </c>
    </row>
    <row r="163" spans="1:6" s="352" customFormat="1" ht="12.75" customHeight="1" x14ac:dyDescent="0.25">
      <c r="A163" s="349">
        <v>2021</v>
      </c>
      <c r="B163" s="350" t="s">
        <v>467</v>
      </c>
      <c r="C163" s="351">
        <v>107.71</v>
      </c>
      <c r="D163" s="351">
        <v>0.24</v>
      </c>
      <c r="E163" s="351">
        <v>2.19</v>
      </c>
      <c r="F163" s="351">
        <v>2.2200000000000002</v>
      </c>
    </row>
    <row r="164" spans="1:6" s="352" customFormat="1" ht="12.75" customHeight="1" x14ac:dyDescent="0.25">
      <c r="A164" s="343">
        <v>2021</v>
      </c>
      <c r="B164" s="344" t="s">
        <v>468</v>
      </c>
      <c r="C164" s="345">
        <v>108.02</v>
      </c>
      <c r="D164" s="345">
        <v>0.28999999999999998</v>
      </c>
      <c r="E164" s="345">
        <v>2.48</v>
      </c>
      <c r="F164" s="345">
        <v>2.48</v>
      </c>
    </row>
    <row r="165" spans="1:6" s="351" customFormat="1" ht="13.15" customHeight="1" x14ac:dyDescent="0.35">
      <c r="A165" s="349">
        <v>2022</v>
      </c>
      <c r="B165" s="350" t="s">
        <v>457</v>
      </c>
      <c r="C165" s="351">
        <v>109.01</v>
      </c>
      <c r="D165" s="351">
        <v>0.91</v>
      </c>
      <c r="E165" s="351">
        <v>0.91</v>
      </c>
      <c r="F165" s="351">
        <v>3.2</v>
      </c>
    </row>
    <row r="166" spans="1:6" s="353" customFormat="1" ht="12.75" customHeight="1" x14ac:dyDescent="0.3">
      <c r="A166" s="343">
        <v>2022</v>
      </c>
      <c r="B166" s="344" t="s">
        <v>458</v>
      </c>
      <c r="C166" s="345">
        <v>110.28</v>
      </c>
      <c r="D166" s="345">
        <v>1.17</v>
      </c>
      <c r="E166" s="345">
        <v>2.09</v>
      </c>
      <c r="F166" s="345">
        <v>3.77</v>
      </c>
    </row>
    <row r="167" spans="1:6" s="351" customFormat="1" ht="12.75" customHeight="1" x14ac:dyDescent="0.35">
      <c r="A167" s="349">
        <v>2022</v>
      </c>
      <c r="B167" s="350" t="s">
        <v>459</v>
      </c>
      <c r="C167" s="351">
        <v>110.89</v>
      </c>
      <c r="D167" s="351">
        <v>0.56000000000000005</v>
      </c>
      <c r="E167" s="351">
        <v>2.65</v>
      </c>
      <c r="F167" s="351">
        <v>4.13</v>
      </c>
    </row>
    <row r="168" spans="1:6" s="351" customFormat="1" ht="12.75" customHeight="1" x14ac:dyDescent="0.35">
      <c r="A168" s="343">
        <v>2022</v>
      </c>
      <c r="B168" s="344" t="s">
        <v>460</v>
      </c>
      <c r="C168" s="345">
        <v>111.58</v>
      </c>
      <c r="D168" s="345">
        <v>0.62</v>
      </c>
      <c r="E168" s="345">
        <v>3.29</v>
      </c>
      <c r="F168" s="345">
        <v>4.55</v>
      </c>
    </row>
    <row r="169" spans="1:6" s="351" customFormat="1" ht="12.75" customHeight="1" x14ac:dyDescent="0.35">
      <c r="A169" s="340">
        <v>2022</v>
      </c>
      <c r="B169" s="341" t="s">
        <v>461</v>
      </c>
      <c r="C169" s="342">
        <v>112.2</v>
      </c>
      <c r="D169" s="342">
        <v>0.55000000000000004</v>
      </c>
      <c r="E169" s="342">
        <v>3.86</v>
      </c>
      <c r="F169" s="342">
        <v>5.05</v>
      </c>
    </row>
    <row r="170" spans="1:6" s="352" customFormat="1" ht="12.75" customHeight="1" x14ac:dyDescent="0.25">
      <c r="A170" s="343">
        <v>2022</v>
      </c>
      <c r="B170" s="344" t="s">
        <v>462</v>
      </c>
      <c r="C170" s="345">
        <v>112.7</v>
      </c>
      <c r="D170" s="345">
        <v>0.45</v>
      </c>
      <c r="E170" s="345">
        <v>4.33</v>
      </c>
      <c r="F170" s="345">
        <v>5.4</v>
      </c>
    </row>
    <row r="171" spans="1:6" s="351" customFormat="1" ht="12.75" customHeight="1" x14ac:dyDescent="0.35">
      <c r="A171" s="340">
        <v>2022</v>
      </c>
      <c r="B171" s="341" t="s">
        <v>463</v>
      </c>
      <c r="C171" s="342">
        <v>113.05</v>
      </c>
      <c r="D171" s="342">
        <v>0.31</v>
      </c>
      <c r="E171" s="342">
        <v>4.6500000000000004</v>
      </c>
      <c r="F171" s="342">
        <v>5.44</v>
      </c>
    </row>
    <row r="172" spans="1:6" s="352" customFormat="1" ht="12.75" customHeight="1" x14ac:dyDescent="0.25">
      <c r="A172" s="343">
        <v>2022</v>
      </c>
      <c r="B172" s="344" t="s">
        <v>464</v>
      </c>
      <c r="C172" s="345">
        <v>113.63</v>
      </c>
      <c r="D172" s="345">
        <v>0.52</v>
      </c>
      <c r="E172" s="345">
        <v>5.19</v>
      </c>
      <c r="F172" s="345">
        <v>5.65</v>
      </c>
    </row>
    <row r="173" spans="1:6" s="351" customFormat="1" ht="12.75" customHeight="1" x14ac:dyDescent="0.35">
      <c r="A173" s="340">
        <v>2022</v>
      </c>
      <c r="B173" s="341" t="s">
        <v>465</v>
      </c>
      <c r="C173" s="342">
        <v>114.16</v>
      </c>
      <c r="D173" s="342">
        <v>0.46</v>
      </c>
      <c r="E173" s="342">
        <v>5.68</v>
      </c>
      <c r="F173" s="342">
        <v>6.02</v>
      </c>
    </row>
    <row r="174" spans="1:6" s="352" customFormat="1" ht="12.75" customHeight="1" x14ac:dyDescent="0.25">
      <c r="A174" s="343">
        <v>2022</v>
      </c>
      <c r="B174" s="344" t="s">
        <v>466</v>
      </c>
      <c r="C174" s="345">
        <v>114.61</v>
      </c>
      <c r="D174" s="345">
        <v>0.4</v>
      </c>
      <c r="E174" s="345">
        <v>6.1</v>
      </c>
      <c r="F174" s="345">
        <v>6.66</v>
      </c>
    </row>
    <row r="175" spans="1:6" s="352" customFormat="1" ht="12.75" customHeight="1" x14ac:dyDescent="0.25">
      <c r="A175" s="349">
        <v>2022</v>
      </c>
      <c r="B175" s="350" t="s">
        <v>467</v>
      </c>
      <c r="C175" s="351">
        <v>115.12</v>
      </c>
      <c r="D175" s="351">
        <v>0.44</v>
      </c>
      <c r="E175" s="351">
        <v>6.57</v>
      </c>
      <c r="F175" s="351">
        <v>6.87</v>
      </c>
    </row>
    <row r="176" spans="1:6" s="353" customFormat="1" ht="12.75" customHeight="1" x14ac:dyDescent="0.3">
      <c r="A176" s="343">
        <v>2022</v>
      </c>
      <c r="B176" s="344" t="s">
        <v>468</v>
      </c>
      <c r="C176" s="345">
        <v>115.97</v>
      </c>
      <c r="D176" s="345">
        <v>0.74</v>
      </c>
      <c r="E176" s="345">
        <v>7.35</v>
      </c>
      <c r="F176" s="345">
        <v>7.35</v>
      </c>
    </row>
    <row r="177" spans="1:6" s="351" customFormat="1" ht="12.75" customHeight="1" x14ac:dyDescent="0.35">
      <c r="A177" s="349">
        <v>2023</v>
      </c>
      <c r="B177" s="350" t="s">
        <v>457</v>
      </c>
      <c r="C177" s="351">
        <v>117.93</v>
      </c>
      <c r="D177" s="351">
        <v>1.69</v>
      </c>
      <c r="E177" s="351">
        <v>1.69</v>
      </c>
      <c r="F177" s="351">
        <v>8.19</v>
      </c>
    </row>
    <row r="178" spans="1:6" s="353" customFormat="1" ht="12.75" customHeight="1" x14ac:dyDescent="0.3">
      <c r="A178" s="343">
        <v>2023</v>
      </c>
      <c r="B178" s="344" t="s">
        <v>458</v>
      </c>
      <c r="C178" s="345">
        <v>119.92</v>
      </c>
      <c r="D178" s="345">
        <v>1.69</v>
      </c>
      <c r="E178" s="345">
        <v>3.41</v>
      </c>
      <c r="F178" s="345">
        <v>8.74</v>
      </c>
    </row>
    <row r="179" spans="1:6" s="351" customFormat="1" ht="12.75" customHeight="1" x14ac:dyDescent="0.35">
      <c r="A179" s="349">
        <v>2023</v>
      </c>
      <c r="B179" s="350" t="s">
        <v>459</v>
      </c>
      <c r="C179" s="351">
        <v>120.98</v>
      </c>
      <c r="D179" s="351">
        <v>0.89</v>
      </c>
      <c r="E179" s="351">
        <v>4.33</v>
      </c>
      <c r="F179" s="351">
        <v>9.1</v>
      </c>
    </row>
    <row r="180" spans="1:6" s="351" customFormat="1" ht="12.75" customHeight="1" x14ac:dyDescent="0.35">
      <c r="A180" s="343">
        <v>2023</v>
      </c>
      <c r="B180" s="344" t="s">
        <v>460</v>
      </c>
      <c r="C180" s="345">
        <v>122.04</v>
      </c>
      <c r="D180" s="345">
        <v>0.87</v>
      </c>
      <c r="E180" s="345">
        <v>5.24</v>
      </c>
      <c r="F180" s="345">
        <v>9.3699999999999992</v>
      </c>
    </row>
    <row r="181" spans="1:6" s="351" customFormat="1" ht="12.75" customHeight="1" x14ac:dyDescent="0.35">
      <c r="A181" s="340">
        <v>2023</v>
      </c>
      <c r="B181" s="341" t="s">
        <v>461</v>
      </c>
      <c r="C181" s="342">
        <v>122.75</v>
      </c>
      <c r="D181" s="342">
        <v>0.57999999999999996</v>
      </c>
      <c r="E181" s="342">
        <v>5.85</v>
      </c>
      <c r="F181" s="342">
        <v>9.41</v>
      </c>
    </row>
    <row r="182" spans="1:6" s="352" customFormat="1" ht="12.75" customHeight="1" x14ac:dyDescent="0.25">
      <c r="A182" s="343">
        <v>2023</v>
      </c>
      <c r="B182" s="344" t="s">
        <v>462</v>
      </c>
      <c r="C182" s="345">
        <v>123.25</v>
      </c>
      <c r="D182" s="345">
        <v>0.41</v>
      </c>
      <c r="E182" s="345">
        <v>6.28</v>
      </c>
      <c r="F182" s="345">
        <v>9.36</v>
      </c>
    </row>
    <row r="183" spans="1:6" s="351" customFormat="1" ht="12.75" customHeight="1" x14ac:dyDescent="0.35">
      <c r="A183" s="340">
        <v>2023</v>
      </c>
      <c r="B183" s="341" t="s">
        <v>463</v>
      </c>
      <c r="C183" s="342">
        <v>123.79</v>
      </c>
      <c r="D183" s="342">
        <v>0.43</v>
      </c>
      <c r="E183" s="342">
        <v>6.74</v>
      </c>
      <c r="F183" s="342">
        <v>9.5</v>
      </c>
    </row>
    <row r="184" spans="1:6" s="352" customFormat="1" ht="12.75" customHeight="1" x14ac:dyDescent="0.25">
      <c r="A184" s="343">
        <v>2023</v>
      </c>
      <c r="B184" s="344" t="s">
        <v>464</v>
      </c>
      <c r="C184" s="345">
        <v>124.38</v>
      </c>
      <c r="D184" s="345">
        <v>0.48</v>
      </c>
      <c r="E184" s="345">
        <v>7.26</v>
      </c>
      <c r="F184" s="345">
        <v>9.4600000000000009</v>
      </c>
    </row>
    <row r="185" spans="1:6" s="351" customFormat="1" ht="12.75" customHeight="1" x14ac:dyDescent="0.35">
      <c r="A185" s="340">
        <v>2023</v>
      </c>
      <c r="B185" s="341" t="s">
        <v>465</v>
      </c>
      <c r="C185" s="342">
        <v>125.02</v>
      </c>
      <c r="D185" s="342">
        <v>0.51</v>
      </c>
      <c r="E185" s="342">
        <v>7.8</v>
      </c>
      <c r="F185" s="342">
        <v>9.51</v>
      </c>
    </row>
    <row r="186" spans="1:6" s="352" customFormat="1" ht="12.75" customHeight="1" x14ac:dyDescent="0.25">
      <c r="A186" s="343">
        <v>2023</v>
      </c>
      <c r="B186" s="344" t="s">
        <v>466</v>
      </c>
      <c r="C186" s="345">
        <v>125.41</v>
      </c>
      <c r="D186" s="345">
        <v>0.32</v>
      </c>
      <c r="E186" s="345">
        <v>8.14</v>
      </c>
      <c r="F186" s="345">
        <v>9.42</v>
      </c>
    </row>
    <row r="187" spans="1:6" s="352" customFormat="1" ht="12.75" customHeight="1" x14ac:dyDescent="0.25">
      <c r="A187" s="349">
        <v>2023</v>
      </c>
      <c r="B187" s="350" t="s">
        <v>467</v>
      </c>
      <c r="C187" s="351">
        <v>125.92</v>
      </c>
      <c r="D187" s="351">
        <v>0.41</v>
      </c>
      <c r="E187" s="351">
        <v>8.59</v>
      </c>
      <c r="F187" s="351">
        <v>9.39</v>
      </c>
    </row>
    <row r="188" spans="1:6" s="353" customFormat="1" ht="12.75" customHeight="1" x14ac:dyDescent="0.3">
      <c r="A188" s="343">
        <v>2023</v>
      </c>
      <c r="B188" s="344" t="s">
        <v>468</v>
      </c>
      <c r="C188" s="345">
        <v>126.78</v>
      </c>
      <c r="D188" s="345">
        <v>0.68</v>
      </c>
      <c r="E188" s="345">
        <v>9.33</v>
      </c>
      <c r="F188" s="345">
        <v>9.33</v>
      </c>
    </row>
    <row r="189" spans="1:6" s="352" customFormat="1" ht="12.75" customHeight="1" x14ac:dyDescent="0.25">
      <c r="A189" s="340">
        <v>2024</v>
      </c>
      <c r="B189" s="341" t="s">
        <v>457</v>
      </c>
      <c r="C189" s="342">
        <v>128.16</v>
      </c>
      <c r="D189" s="342">
        <v>1.0900000000000001</v>
      </c>
      <c r="E189" s="342">
        <v>1.0900000000000001</v>
      </c>
      <c r="F189" s="342">
        <v>8.68</v>
      </c>
    </row>
    <row r="190" spans="1:6" s="352" customFormat="1" ht="12.75" customHeight="1" x14ac:dyDescent="0.25">
      <c r="A190" s="343">
        <v>2024</v>
      </c>
      <c r="B190" s="344" t="s">
        <v>458</v>
      </c>
      <c r="C190" s="345">
        <v>130.16999999999999</v>
      </c>
      <c r="D190" s="345">
        <v>1.57</v>
      </c>
      <c r="E190" s="345">
        <v>2.67</v>
      </c>
      <c r="F190" s="345">
        <v>8.5500000000000007</v>
      </c>
    </row>
    <row r="191" spans="1:6" s="353" customFormat="1" ht="12.75" customHeight="1" x14ac:dyDescent="0.3">
      <c r="A191" s="340">
        <v>2024</v>
      </c>
      <c r="B191" s="341" t="s">
        <v>459</v>
      </c>
      <c r="C191" s="342">
        <v>131.37</v>
      </c>
      <c r="D191" s="342">
        <v>0.92</v>
      </c>
      <c r="E191" s="342">
        <v>3.62</v>
      </c>
      <c r="F191" s="342">
        <v>8.58</v>
      </c>
    </row>
    <row r="192" spans="1:6" s="352" customFormat="1" ht="12.75" customHeight="1" x14ac:dyDescent="0.25">
      <c r="A192" s="343">
        <v>2024</v>
      </c>
      <c r="B192" s="344" t="s">
        <v>460</v>
      </c>
      <c r="C192" s="345">
        <v>132.18</v>
      </c>
      <c r="D192" s="345">
        <v>0.62</v>
      </c>
      <c r="E192" s="345">
        <v>4.26</v>
      </c>
      <c r="F192" s="345">
        <v>8.31</v>
      </c>
    </row>
    <row r="193" spans="1:6" s="352" customFormat="1" ht="12.75" customHeight="1" x14ac:dyDescent="0.25">
      <c r="A193" s="340">
        <v>2024</v>
      </c>
      <c r="B193" s="341" t="s">
        <v>461</v>
      </c>
      <c r="C193" s="342">
        <v>132.91</v>
      </c>
      <c r="D193" s="342">
        <v>0.55000000000000004</v>
      </c>
      <c r="E193" s="342">
        <v>4.83</v>
      </c>
      <c r="F193" s="342">
        <v>8.2799999999999994</v>
      </c>
    </row>
    <row r="194" spans="1:6" s="353" customFormat="1" ht="12.75" customHeight="1" x14ac:dyDescent="0.3">
      <c r="A194" s="354">
        <v>2024</v>
      </c>
      <c r="B194" s="355" t="s">
        <v>462</v>
      </c>
      <c r="C194" s="356">
        <v>133.4</v>
      </c>
      <c r="D194" s="356">
        <v>0.37</v>
      </c>
      <c r="E194" s="356">
        <v>5.21</v>
      </c>
      <c r="F194" s="356">
        <v>8.23</v>
      </c>
    </row>
    <row r="195" spans="1:6" s="360" customFormat="1" ht="12.75" customHeight="1" x14ac:dyDescent="0.3">
      <c r="A195" s="357"/>
      <c r="B195" s="358"/>
      <c r="C195" s="359"/>
      <c r="D195" s="359"/>
      <c r="E195" s="359"/>
      <c r="F195" s="359"/>
    </row>
    <row r="196" spans="1:6" s="337" customFormat="1" ht="12.75" customHeight="1" x14ac:dyDescent="0.4">
      <c r="A196" s="361" t="s">
        <v>469</v>
      </c>
      <c r="B196" s="334"/>
      <c r="C196" s="342"/>
      <c r="D196" s="342"/>
      <c r="E196" s="342"/>
      <c r="F196" s="342"/>
    </row>
    <row r="197" spans="1:6" s="337" customFormat="1" ht="12.75" customHeight="1" x14ac:dyDescent="0.4">
      <c r="A197" s="361" t="s">
        <v>470</v>
      </c>
      <c r="B197" s="334"/>
      <c r="C197" s="362"/>
      <c r="D197" s="362"/>
      <c r="E197" s="362"/>
      <c r="F197" s="362"/>
    </row>
    <row r="198" spans="1:6" s="337" customFormat="1" ht="12.75" customHeight="1" x14ac:dyDescent="0.4">
      <c r="A198" s="361" t="s">
        <v>471</v>
      </c>
      <c r="B198" s="334"/>
      <c r="C198" s="362"/>
      <c r="D198" s="362"/>
      <c r="E198" s="362"/>
      <c r="F198" s="362"/>
    </row>
    <row r="199" spans="1:6" s="337" customFormat="1" ht="12.75" customHeight="1" x14ac:dyDescent="0.4">
      <c r="A199" s="1948" t="s">
        <v>472</v>
      </c>
      <c r="B199" s="1948"/>
      <c r="C199" s="1948"/>
      <c r="D199" s="1948"/>
      <c r="E199" s="362"/>
      <c r="F199" s="362"/>
    </row>
  </sheetData>
  <mergeCells count="9">
    <mergeCell ref="A199:D199"/>
    <mergeCell ref="A1:F1"/>
    <mergeCell ref="A3:F4"/>
    <mergeCell ref="A5:F5"/>
    <mergeCell ref="A6:F6"/>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DB341-3D9E-4667-B12A-9DB7E1905A41}">
  <dimension ref="A2:Q91"/>
  <sheetViews>
    <sheetView topLeftCell="A9" zoomScale="80" zoomScaleNormal="80" workbookViewId="0">
      <selection activeCell="E29" sqref="E29"/>
    </sheetView>
  </sheetViews>
  <sheetFormatPr baseColWidth="10" defaultRowHeight="14.5" x14ac:dyDescent="0.35"/>
  <cols>
    <col min="3" max="3" width="12.81640625" bestFit="1" customWidth="1"/>
    <col min="4" max="4" width="14.90625" customWidth="1"/>
    <col min="9" max="9" width="15.08984375" customWidth="1"/>
  </cols>
  <sheetData>
    <row r="2" spans="1:17" x14ac:dyDescent="0.35">
      <c r="B2" s="326" t="s">
        <v>437</v>
      </c>
      <c r="C2" s="326"/>
      <c r="D2" s="326"/>
      <c r="E2" s="326"/>
      <c r="F2" s="326"/>
      <c r="H2" t="s">
        <v>438</v>
      </c>
      <c r="I2" t="s">
        <v>439</v>
      </c>
      <c r="O2" s="326" t="s">
        <v>473</v>
      </c>
      <c r="P2" s="326"/>
      <c r="Q2" s="326"/>
    </row>
    <row r="3" spans="1:17" x14ac:dyDescent="0.35">
      <c r="G3" t="s">
        <v>440</v>
      </c>
      <c r="H3" s="327">
        <f>AVERAGE(C6:C23)</f>
        <v>3.9722680989679935</v>
      </c>
      <c r="I3" s="327">
        <f>AVERAGE(C14:C23)</f>
        <v>3.4270825781423886</v>
      </c>
    </row>
    <row r="4" spans="1:17" x14ac:dyDescent="0.35">
      <c r="B4" s="328" t="s">
        <v>178</v>
      </c>
      <c r="C4" s="328" t="s">
        <v>441</v>
      </c>
      <c r="D4" s="329"/>
      <c r="H4" s="327"/>
      <c r="I4" s="327"/>
      <c r="O4" s="328" t="s">
        <v>178</v>
      </c>
      <c r="P4" s="328" t="s">
        <v>441</v>
      </c>
      <c r="Q4" s="329"/>
    </row>
    <row r="5" spans="1:17" x14ac:dyDescent="0.35">
      <c r="B5" s="329" t="s">
        <v>442</v>
      </c>
      <c r="C5" s="329" t="s">
        <v>443</v>
      </c>
      <c r="D5" s="330" t="s">
        <v>455</v>
      </c>
      <c r="O5" s="329" t="s">
        <v>442</v>
      </c>
      <c r="P5" s="329" t="s">
        <v>443</v>
      </c>
      <c r="Q5" s="330" t="s">
        <v>455</v>
      </c>
    </row>
    <row r="6" spans="1:17" ht="16" x14ac:dyDescent="0.35">
      <c r="A6" s="365">
        <v>1</v>
      </c>
      <c r="B6" s="331">
        <v>2006</v>
      </c>
      <c r="C6" s="332">
        <v>1.37</v>
      </c>
      <c r="D6" s="330"/>
      <c r="N6" s="365">
        <v>1</v>
      </c>
      <c r="O6" s="331">
        <v>2010</v>
      </c>
      <c r="P6" s="364">
        <v>3.55</v>
      </c>
      <c r="Q6" s="330"/>
    </row>
    <row r="7" spans="1:17" ht="16" x14ac:dyDescent="0.35">
      <c r="A7" s="365">
        <v>2</v>
      </c>
      <c r="B7" s="331">
        <v>2007</v>
      </c>
      <c r="C7" s="332">
        <v>8.26</v>
      </c>
      <c r="D7" s="330"/>
      <c r="N7" s="365">
        <v>2</v>
      </c>
      <c r="O7" s="331">
        <v>2011</v>
      </c>
      <c r="P7" s="364">
        <f>IPC!F44</f>
        <v>4.34</v>
      </c>
      <c r="Q7" s="330"/>
    </row>
    <row r="8" spans="1:17" ht="16" x14ac:dyDescent="0.35">
      <c r="A8" s="365">
        <v>3</v>
      </c>
      <c r="B8" s="331">
        <v>2008</v>
      </c>
      <c r="C8" s="332">
        <v>5.6</v>
      </c>
      <c r="D8" s="330"/>
      <c r="N8" s="365">
        <v>3</v>
      </c>
      <c r="O8" s="331">
        <v>2012</v>
      </c>
      <c r="P8" s="364">
        <f>IPC!F56</f>
        <v>3.92</v>
      </c>
      <c r="Q8" s="330"/>
    </row>
    <row r="9" spans="1:17" ht="16" x14ac:dyDescent="0.35">
      <c r="A9" s="365">
        <v>4</v>
      </c>
      <c r="B9" s="331">
        <v>2009</v>
      </c>
      <c r="C9" s="332">
        <v>3.1</v>
      </c>
      <c r="D9" s="330"/>
      <c r="N9" s="365">
        <v>4</v>
      </c>
      <c r="O9" s="331">
        <v>2013</v>
      </c>
      <c r="P9" s="364">
        <f>IPC!F68</f>
        <v>3.64</v>
      </c>
      <c r="Q9" s="330"/>
    </row>
    <row r="10" spans="1:17" ht="16" x14ac:dyDescent="0.35">
      <c r="A10" s="365">
        <v>5</v>
      </c>
      <c r="B10" s="331">
        <v>2010</v>
      </c>
      <c r="C10" s="332">
        <v>2.7</v>
      </c>
      <c r="D10" s="330"/>
      <c r="N10" s="365">
        <v>5</v>
      </c>
      <c r="O10" s="331">
        <v>2014</v>
      </c>
      <c r="P10" s="364">
        <f>IPC!F80</f>
        <v>3.52</v>
      </c>
      <c r="Q10" s="330"/>
    </row>
    <row r="11" spans="1:17" ht="16" x14ac:dyDescent="0.35">
      <c r="A11" s="365">
        <v>6</v>
      </c>
      <c r="B11" s="331">
        <v>2011</v>
      </c>
      <c r="C11" s="332">
        <v>5.8</v>
      </c>
      <c r="D11" s="330"/>
      <c r="N11" s="365">
        <v>6</v>
      </c>
      <c r="O11" s="331">
        <v>2015</v>
      </c>
      <c r="P11" s="364">
        <f>IPC!F92</f>
        <v>4.53</v>
      </c>
      <c r="Q11" s="330"/>
    </row>
    <row r="12" spans="1:17" ht="16" x14ac:dyDescent="0.35">
      <c r="A12" s="365">
        <v>7</v>
      </c>
      <c r="B12" s="331">
        <v>2012</v>
      </c>
      <c r="C12" s="332">
        <v>5.5</v>
      </c>
      <c r="D12" s="330"/>
      <c r="N12" s="365">
        <v>7</v>
      </c>
      <c r="O12" s="331">
        <v>2016</v>
      </c>
      <c r="P12" s="364">
        <f>IPC!F104</f>
        <v>5.46</v>
      </c>
      <c r="Q12" s="330"/>
    </row>
    <row r="13" spans="1:17" ht="16" x14ac:dyDescent="0.35">
      <c r="A13" s="365">
        <v>8</v>
      </c>
      <c r="B13" s="717">
        <v>2013</v>
      </c>
      <c r="C13" s="332">
        <v>4.9000000000000004</v>
      </c>
      <c r="D13" s="330"/>
      <c r="N13" s="365">
        <v>8</v>
      </c>
      <c r="O13" s="331">
        <v>2017</v>
      </c>
      <c r="P13" s="364">
        <f>IPC!F116</f>
        <v>5.52</v>
      </c>
      <c r="Q13" s="330"/>
    </row>
    <row r="14" spans="1:17" ht="16" x14ac:dyDescent="0.35">
      <c r="A14" s="365">
        <v>9</v>
      </c>
      <c r="B14" s="331">
        <v>2014</v>
      </c>
      <c r="C14" s="332">
        <v>4.9000000000000004</v>
      </c>
      <c r="D14" s="330"/>
      <c r="N14" s="365">
        <v>9</v>
      </c>
      <c r="O14" s="331">
        <v>2018</v>
      </c>
      <c r="P14" s="364">
        <f>IPC!F128</f>
        <v>3.65</v>
      </c>
      <c r="Q14" s="330"/>
    </row>
    <row r="15" spans="1:17" ht="16" x14ac:dyDescent="0.35">
      <c r="A15" s="365">
        <v>10</v>
      </c>
      <c r="B15" s="331">
        <v>2015</v>
      </c>
      <c r="C15" s="332">
        <v>4.3</v>
      </c>
      <c r="D15" s="330"/>
      <c r="N15" s="365">
        <v>10</v>
      </c>
      <c r="O15" s="331">
        <v>2019</v>
      </c>
      <c r="P15" s="364">
        <f>IPC!F140</f>
        <v>3.75</v>
      </c>
      <c r="Q15" s="330"/>
    </row>
    <row r="16" spans="1:17" ht="16" x14ac:dyDescent="0.35">
      <c r="A16" s="365">
        <v>11</v>
      </c>
      <c r="B16" s="331">
        <v>2016</v>
      </c>
      <c r="C16" s="332">
        <v>5</v>
      </c>
      <c r="D16" s="330"/>
      <c r="N16" s="365">
        <v>11</v>
      </c>
      <c r="O16" s="331">
        <v>2020</v>
      </c>
      <c r="P16" s="364">
        <f>IPC!F152</f>
        <v>1.6</v>
      </c>
      <c r="Q16" s="330"/>
    </row>
    <row r="17" spans="1:17" ht="16" x14ac:dyDescent="0.35">
      <c r="A17" s="365">
        <v>12</v>
      </c>
      <c r="B17" s="331">
        <v>2017</v>
      </c>
      <c r="C17" s="332">
        <v>3.8</v>
      </c>
      <c r="D17" s="330"/>
      <c r="N17" s="365">
        <v>12</v>
      </c>
      <c r="O17" s="331">
        <v>2021</v>
      </c>
      <c r="P17" s="364">
        <f>IPC!F164</f>
        <v>2.48</v>
      </c>
      <c r="Q17" s="330"/>
    </row>
    <row r="18" spans="1:17" ht="16" x14ac:dyDescent="0.35">
      <c r="A18" s="365">
        <v>13</v>
      </c>
      <c r="B18" s="717">
        <v>2018</v>
      </c>
      <c r="C18" s="332">
        <v>7.4708257814238834</v>
      </c>
      <c r="D18" s="330"/>
      <c r="N18" s="365">
        <v>13</v>
      </c>
      <c r="O18" s="331">
        <v>2022</v>
      </c>
      <c r="P18" s="364">
        <f>IPC!F176</f>
        <v>7.35</v>
      </c>
      <c r="Q18" s="330"/>
    </row>
    <row r="19" spans="1:17" ht="16" x14ac:dyDescent="0.35">
      <c r="A19" s="365">
        <v>14</v>
      </c>
      <c r="B19" s="331">
        <v>2019</v>
      </c>
      <c r="C19" s="332">
        <v>3.7</v>
      </c>
      <c r="D19" s="330"/>
      <c r="N19" s="365">
        <v>14</v>
      </c>
      <c r="O19" s="331">
        <v>2023</v>
      </c>
      <c r="P19" s="364">
        <f>IPC!F188</f>
        <v>9.33</v>
      </c>
      <c r="Q19" s="330"/>
    </row>
    <row r="20" spans="1:17" ht="16" x14ac:dyDescent="0.35">
      <c r="A20" s="365">
        <v>15</v>
      </c>
      <c r="B20" s="331">
        <v>2020</v>
      </c>
      <c r="C20" s="332">
        <v>-4.0999999999999996</v>
      </c>
      <c r="D20" s="330"/>
      <c r="N20" s="486">
        <v>1</v>
      </c>
      <c r="O20" s="331">
        <v>2024</v>
      </c>
      <c r="P20" s="364">
        <f>-0.0004*POWER(N20,6)+0.0179*POWER(N20,5)-0.3121*POWER(N20,4)+2.5813*POWER(N20,3)-10.391*POWER(N20,2)+18.615*POWER(N20,1)-7.0972</f>
        <v>3.4134999999999982</v>
      </c>
      <c r="Q20" s="330"/>
    </row>
    <row r="21" spans="1:17" ht="16.5" x14ac:dyDescent="0.35">
      <c r="A21" s="365">
        <v>16</v>
      </c>
      <c r="B21" s="331" t="s">
        <v>201</v>
      </c>
      <c r="C21" s="332">
        <v>0.7</v>
      </c>
      <c r="D21" s="330"/>
      <c r="N21" s="486">
        <v>2</v>
      </c>
      <c r="O21" s="331">
        <v>2025</v>
      </c>
      <c r="P21" s="368">
        <f t="shared" ref="P21:P27" si="0">-0.0004*POWER(N21,6)+0.0179*POWER(N21,5)-0.3121*POWER(N21,4)+2.5813*POWER(N21,3)-10.391*POWER(N21,2)+18.615*POWER(N21,1)-7.0972</f>
        <v>4.7727999999999975</v>
      </c>
      <c r="Q21" s="385"/>
    </row>
    <row r="22" spans="1:17" ht="16.5" x14ac:dyDescent="0.35">
      <c r="A22" s="365">
        <v>17</v>
      </c>
      <c r="B22" s="331" t="s">
        <v>202</v>
      </c>
      <c r="C22" s="332">
        <v>8.3000000000000007</v>
      </c>
      <c r="D22" s="330"/>
      <c r="N22" s="486">
        <v>3</v>
      </c>
      <c r="O22" s="331">
        <v>2026</v>
      </c>
      <c r="P22" s="368">
        <f t="shared" si="0"/>
        <v>3.70190000000001</v>
      </c>
      <c r="Q22" s="385"/>
    </row>
    <row r="23" spans="1:17" ht="16.5" x14ac:dyDescent="0.35">
      <c r="A23" s="365">
        <v>18</v>
      </c>
      <c r="B23" s="331" t="s">
        <v>203</v>
      </c>
      <c r="C23" s="332">
        <v>0.2</v>
      </c>
      <c r="D23" s="330"/>
      <c r="N23" s="486">
        <v>4</v>
      </c>
      <c r="O23" s="331">
        <v>2027</v>
      </c>
      <c r="P23" s="368">
        <f t="shared" si="0"/>
        <v>3.103600000000001</v>
      </c>
      <c r="Q23" s="333"/>
    </row>
    <row r="24" spans="1:17" ht="16.5" x14ac:dyDescent="0.35">
      <c r="A24" s="486">
        <v>1</v>
      </c>
      <c r="B24" s="331" t="s">
        <v>444</v>
      </c>
      <c r="C24" s="487">
        <f>-0.0001*POWER(A24,6)+0.0078*POWER(A24,5)-0.1769*POWER(A24,4)+1.9316*POWER(A24,3)-10.379*POWER(A24,2)+24.817*POWER(A24,1)-14.343</f>
        <v>1.8574000000000019</v>
      </c>
      <c r="D24" s="333"/>
      <c r="N24" s="486">
        <v>5</v>
      </c>
      <c r="O24" s="331">
        <v>2028</v>
      </c>
      <c r="P24" s="368">
        <f t="shared" si="0"/>
        <v>3.4903000000000342</v>
      </c>
      <c r="Q24" s="333"/>
    </row>
    <row r="25" spans="1:17" ht="16.5" x14ac:dyDescent="0.35">
      <c r="A25" s="486">
        <v>2</v>
      </c>
      <c r="B25" s="331" t="s">
        <v>445</v>
      </c>
      <c r="C25" s="487">
        <f t="shared" ref="C25:C28" si="1">-0.0001*POWER(A25,6)+0.0078*POWER(A25,5)-0.1769*POWER(A25,4)+1.9316*POWER(A25,3)-10.379*POWER(A25,2)+24.817*POWER(A25,1)-14.343</f>
        <v>6.6406000000000027</v>
      </c>
      <c r="D25" s="333"/>
      <c r="N25" s="486">
        <v>6</v>
      </c>
      <c r="O25" s="331">
        <v>2029</v>
      </c>
      <c r="P25" s="368">
        <f t="shared" si="0"/>
        <v>4.1240000000000672</v>
      </c>
      <c r="Q25" s="333"/>
    </row>
    <row r="26" spans="1:17" ht="16.5" x14ac:dyDescent="0.35">
      <c r="A26" s="486">
        <v>3</v>
      </c>
      <c r="B26" s="331" t="s">
        <v>446</v>
      </c>
      <c r="C26" s="487">
        <f t="shared" si="1"/>
        <v>6.343799999999991</v>
      </c>
      <c r="D26" s="333"/>
      <c r="N26" s="486">
        <v>7</v>
      </c>
      <c r="O26" s="331">
        <v>2030</v>
      </c>
      <c r="P26" s="368">
        <f t="shared" si="0"/>
        <v>3.8683000000001622</v>
      </c>
      <c r="Q26" s="333"/>
    </row>
    <row r="27" spans="1:17" ht="16.5" x14ac:dyDescent="0.35">
      <c r="A27" s="486">
        <v>4</v>
      </c>
      <c r="B27" s="331" t="s">
        <v>447</v>
      </c>
      <c r="C27" s="487">
        <f t="shared" si="1"/>
        <v>4.7746000000000102</v>
      </c>
      <c r="D27" s="333"/>
      <c r="N27" s="486">
        <v>8</v>
      </c>
      <c r="O27" s="331">
        <v>2031</v>
      </c>
      <c r="P27" s="368">
        <f t="shared" si="0"/>
        <v>1.7524000000000379</v>
      </c>
      <c r="Q27" s="333"/>
    </row>
    <row r="28" spans="1:17" ht="16.5" x14ac:dyDescent="0.35">
      <c r="A28" s="486">
        <v>5</v>
      </c>
      <c r="B28" s="331" t="s">
        <v>448</v>
      </c>
      <c r="C28" s="487">
        <f t="shared" si="1"/>
        <v>3.9670000000000307</v>
      </c>
      <c r="D28" s="333"/>
    </row>
    <row r="40" spans="2:8" x14ac:dyDescent="0.35">
      <c r="G40" s="366"/>
      <c r="H40" t="s">
        <v>474</v>
      </c>
    </row>
    <row r="42" spans="2:8" x14ac:dyDescent="0.35">
      <c r="G42" s="365"/>
      <c r="H42" t="s">
        <v>475</v>
      </c>
    </row>
    <row r="48" spans="2:8" x14ac:dyDescent="0.35">
      <c r="B48" s="326"/>
      <c r="C48" s="326"/>
      <c r="D48" s="326"/>
      <c r="E48" s="326"/>
    </row>
    <row r="50" spans="1:4" x14ac:dyDescent="0.35">
      <c r="B50" s="328"/>
      <c r="C50" s="328"/>
      <c r="D50" s="329"/>
    </row>
    <row r="51" spans="1:4" x14ac:dyDescent="0.35">
      <c r="B51" s="329"/>
      <c r="C51" s="329"/>
      <c r="D51" s="330"/>
    </row>
    <row r="52" spans="1:4" ht="16" x14ac:dyDescent="0.35">
      <c r="A52" s="365"/>
      <c r="B52" s="331"/>
      <c r="C52" s="480"/>
      <c r="D52" s="330"/>
    </row>
    <row r="53" spans="1:4" ht="16" x14ac:dyDescent="0.35">
      <c r="A53" s="365"/>
      <c r="B53" s="331"/>
      <c r="C53" s="480"/>
      <c r="D53" s="330"/>
    </row>
    <row r="54" spans="1:4" ht="16" x14ac:dyDescent="0.35">
      <c r="A54" s="365"/>
      <c r="B54" s="331"/>
      <c r="C54" s="480"/>
      <c r="D54" s="330"/>
    </row>
    <row r="55" spans="1:4" ht="16" x14ac:dyDescent="0.35">
      <c r="A55" s="365"/>
      <c r="B55" s="331"/>
      <c r="C55" s="480"/>
      <c r="D55" s="330"/>
    </row>
    <row r="56" spans="1:4" ht="16" x14ac:dyDescent="0.35">
      <c r="A56" s="365"/>
      <c r="B56" s="331"/>
      <c r="C56" s="480"/>
      <c r="D56" s="330"/>
    </row>
    <row r="57" spans="1:4" ht="16" x14ac:dyDescent="0.35">
      <c r="A57" s="365"/>
      <c r="B57" s="331"/>
      <c r="C57" s="480"/>
      <c r="D57" s="330"/>
    </row>
    <row r="58" spans="1:4" ht="16" x14ac:dyDescent="0.35">
      <c r="A58" s="365"/>
      <c r="B58" s="331"/>
      <c r="C58" s="481"/>
      <c r="D58" s="330"/>
    </row>
    <row r="59" spans="1:4" ht="16" x14ac:dyDescent="0.35">
      <c r="A59" s="365"/>
      <c r="B59" s="331"/>
      <c r="C59" s="481"/>
      <c r="D59" s="330"/>
    </row>
    <row r="60" spans="1:4" ht="16" x14ac:dyDescent="0.35">
      <c r="A60" s="365"/>
      <c r="B60" s="331"/>
      <c r="C60" s="481"/>
      <c r="D60" s="330"/>
    </row>
    <row r="61" spans="1:4" ht="16" x14ac:dyDescent="0.35">
      <c r="A61" s="365"/>
      <c r="B61" s="331"/>
      <c r="C61" s="481"/>
      <c r="D61" s="330"/>
    </row>
    <row r="62" spans="1:4" ht="16" x14ac:dyDescent="0.35">
      <c r="A62" s="365"/>
      <c r="B62" s="331"/>
      <c r="C62" s="480"/>
      <c r="D62" s="330"/>
    </row>
    <row r="63" spans="1:4" ht="16" x14ac:dyDescent="0.35">
      <c r="A63" s="365"/>
      <c r="B63" s="331"/>
      <c r="C63" s="480"/>
      <c r="D63" s="330"/>
    </row>
    <row r="64" spans="1:4" ht="16" x14ac:dyDescent="0.35">
      <c r="A64" s="365"/>
      <c r="B64" s="331"/>
      <c r="C64" s="480"/>
      <c r="D64" s="330"/>
    </row>
    <row r="65" spans="1:4" ht="16" x14ac:dyDescent="0.35">
      <c r="A65" s="365"/>
      <c r="B65" s="331"/>
      <c r="C65" s="480"/>
      <c r="D65" s="330"/>
    </row>
    <row r="66" spans="1:4" ht="16" x14ac:dyDescent="0.35">
      <c r="A66" s="365"/>
      <c r="B66" s="331"/>
      <c r="C66" s="480"/>
      <c r="D66" s="330"/>
    </row>
    <row r="67" spans="1:4" ht="16" x14ac:dyDescent="0.35">
      <c r="A67" s="365"/>
      <c r="B67" s="331"/>
      <c r="C67" s="480"/>
      <c r="D67" s="330"/>
    </row>
    <row r="68" spans="1:4" ht="16" x14ac:dyDescent="0.35">
      <c r="A68" s="365"/>
      <c r="B68" s="331"/>
      <c r="C68" s="480"/>
      <c r="D68" s="330"/>
    </row>
    <row r="69" spans="1:4" ht="16" x14ac:dyDescent="0.35">
      <c r="A69" s="365"/>
      <c r="B69" s="331"/>
      <c r="C69" s="480"/>
      <c r="D69" s="330"/>
    </row>
    <row r="70" spans="1:4" ht="16" x14ac:dyDescent="0.35">
      <c r="A70" s="366"/>
      <c r="B70" s="331"/>
      <c r="C70" s="482"/>
      <c r="D70" s="333"/>
    </row>
    <row r="71" spans="1:4" ht="16" x14ac:dyDescent="0.35">
      <c r="A71" s="366"/>
      <c r="B71" s="331"/>
      <c r="C71" s="482"/>
      <c r="D71" s="333"/>
    </row>
    <row r="72" spans="1:4" ht="16" x14ac:dyDescent="0.35">
      <c r="A72" s="366"/>
      <c r="B72" s="331"/>
      <c r="C72" s="482"/>
      <c r="D72" s="333"/>
    </row>
    <row r="73" spans="1:4" ht="16" x14ac:dyDescent="0.35">
      <c r="A73" s="366"/>
      <c r="B73" s="331"/>
      <c r="C73" s="482"/>
      <c r="D73" s="333"/>
    </row>
    <row r="74" spans="1:4" ht="16" x14ac:dyDescent="0.35">
      <c r="A74" s="366"/>
      <c r="B74" s="331"/>
      <c r="C74" s="482"/>
      <c r="D74" s="333"/>
    </row>
    <row r="75" spans="1:4" x14ac:dyDescent="0.35">
      <c r="B75" s="326"/>
      <c r="C75" s="483"/>
    </row>
    <row r="76" spans="1:4" x14ac:dyDescent="0.35">
      <c r="B76" s="326"/>
      <c r="C76" s="483"/>
    </row>
    <row r="77" spans="1:4" x14ac:dyDescent="0.35">
      <c r="B77" s="326"/>
      <c r="C77" s="483"/>
    </row>
    <row r="78" spans="1:4" x14ac:dyDescent="0.35">
      <c r="B78" s="326"/>
      <c r="C78" s="483"/>
    </row>
    <row r="79" spans="1:4" x14ac:dyDescent="0.35">
      <c r="B79" s="326"/>
      <c r="C79" s="483"/>
    </row>
    <row r="80" spans="1:4" x14ac:dyDescent="0.35">
      <c r="B80" s="326"/>
      <c r="C80" s="483"/>
    </row>
    <row r="81" spans="2:3" x14ac:dyDescent="0.35">
      <c r="B81" s="326"/>
      <c r="C81" s="483"/>
    </row>
    <row r="82" spans="2:3" x14ac:dyDescent="0.35">
      <c r="B82" s="326"/>
      <c r="C82" s="483"/>
    </row>
    <row r="83" spans="2:3" x14ac:dyDescent="0.35">
      <c r="B83" s="326"/>
      <c r="C83" s="483"/>
    </row>
    <row r="84" spans="2:3" x14ac:dyDescent="0.35">
      <c r="B84" s="326"/>
      <c r="C84" s="483"/>
    </row>
    <row r="85" spans="2:3" x14ac:dyDescent="0.35">
      <c r="B85" s="326"/>
      <c r="C85" s="483"/>
    </row>
    <row r="86" spans="2:3" x14ac:dyDescent="0.35">
      <c r="B86" s="326"/>
      <c r="C86" s="483"/>
    </row>
    <row r="87" spans="2:3" x14ac:dyDescent="0.35">
      <c r="B87" s="326"/>
      <c r="C87" s="483"/>
    </row>
    <row r="88" spans="2:3" x14ac:dyDescent="0.35">
      <c r="B88" s="326"/>
      <c r="C88" s="483"/>
    </row>
    <row r="89" spans="2:3" x14ac:dyDescent="0.35">
      <c r="B89" s="326"/>
      <c r="C89" s="483"/>
    </row>
    <row r="90" spans="2:3" x14ac:dyDescent="0.35">
      <c r="B90" s="326"/>
      <c r="C90" s="483"/>
    </row>
    <row r="91" spans="2:3" x14ac:dyDescent="0.35">
      <c r="B91" s="326"/>
    </row>
  </sheetData>
  <sheetProtection algorithmName="SHA-512" hashValue="9b8yFvFmu7rs/z2GjYrVpQ/kl6pl5z0rt5Q4sEmVTOz9MQH4PSMYgcqqAgquoOXxDzC3WdUSoagvNnZgdLAGLA==" saltValue="WX1N6GqgBO9xOl1W3FYp5A==" spinCount="100000" sheet="1" objects="1" scenario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t u g w 6 0 A A A D 3 A A A A E g A A A E N v b m Z p Z y 9 Q Y W N r Y W d l L n h t b I S P s Q r C M B i E d 8 F 3 K N m b p C k i l L / p 0 N W i I I h r a I M N t o k 0 q e m 7 O f h I v o I t W n V z v L s P 7 u 5 x u 0 M 2 t E 1 w l Z 1 V R q c o w h Q F 1 g l d i c Z o m S J t U M a X C 9 i J 8 i x O M h h p b Z P B V i m q n b s k h H j v s Y + x 6 U 6 E U R q R Y 7 H Z l 7 V s B f r A 6 j 8 c K j 3 V l h J x O L z W c I a j m O I V W 2 M K Z D a h U P o L s H H w l P 6 Y k P e N 6 z v J p Q 3 z L Z B Z A n l / 4 E 8 A A A D / / w M A U E s D B B Q A A g A I A A A A I Q D v x s z Q M w I A A L o O A A A T A A A A R m 9 y b X V s Y X M v U 2 V j d G l v b j E u b e x X w W 4 a M R C 9 I + U f R u 5 l a c m S Z Y E D 1 V Z q k k q J l K p R s l I P K w 7 D 2 o A l r 2 3 Z T m m F + K R + R X + s X p a k I Y D K c u g h B c k g n r x v Z t 4 b r W Y s y x 1 X E u 6 r 3 + h 9 o 2 G n a B i F N y T F k U C I C C Q g m D t p g P 9 8 M X z C p E e + s l F 4 b t T M M n O h p G P S 2 Y B M n d N 2 0 G 5 r w 2 X O N Y p Q K s c l c 2 G u C n / a X F K e M 9 u 2 K N B w F U 5 d Q Z q t i v o x I P v u D P 7 6 S R E Q N B r H D V A G V + n n m z K T K 1 e I s L z I g i q X F s z n 5 E K J h 0 J G p A U k / X h + 8 2 l 5 A y n L H 5 C a / E F g 9 1 S O 0 X L b g w / w 1 p / 0 r v y 6 z H I l r E a Z E B I T M h z 4 d I O s r M p j w + Z A u u l p P u W C B l H 1 R 6 B 1 K 6 T T b E G t W B X 5 K m B J v n + s f p M s f J 2 r M j u v t 0 x 4 V 4 e h s 8 H Q W x M q P g q 1 W 6 h 6 D P E G Q 3 d N 6 u 6 / l X q Z / N 4 M m + V H / 5 1 Z 9 R i 6 G w z x m t 2 9 o 9 2 v 3 e 5 6 D L 0 t r j 1 v m P 6 x Y Y 4 N 8 7 e G q c f Q 3 + I a W f i e y + 7 U 7 J 4 J P 9 E q k + z d d G T 4 b B D l W k G O x Y g j V e X U u R w 4 w 9 S g t G N l i q q n 0 x + a 2 W C P s b W 1 N q E 6 / x g 4 f / 3 F S L c N j 3 f g 3 R 1 4 b w f e X 8 M X z Z M G l 9 u L f b k A s L O z C I J b n D D w 8 m 5 d B W 7 p u J r I b V B u B Z v r w G w 2 C y 2 X X h 9 t 2 D c e K j N p a z q u t g E f 1 P i N g O s 8 9 J j f B i C 7 L r R g h e f A c i d J S B T G f 9 x 5 S i p Z Z T D P r m n y l C s Z L r J L d D g 8 y M x H l r q O H a w o l O / J o 6 o H q P o b A A D / / w M A U E s B A i 0 A F A A G A A g A A A A h A C r d q k D S A A A A N w E A A B M A A A A A A A A A A A A A A A A A A A A A A F t D b 2 5 0 Z W 5 0 X 1 R 5 c G V z X S 5 4 b W x Q S w E C L Q A U A A I A C A A A A C E A h t u g w 6 0 A A A D 3 A A A A E g A A A A A A A A A A A A A A A A A L A w A A Q 2 9 u Z m l n L 1 B h Y 2 t h Z 2 U u e G 1 s U E s B A i 0 A F A A C A A g A A A A h A O / G z N A z A g A A u g 4 A A B M A A A A A A A A A A A A A A A A A 6 A M A A E Z v c m 1 1 b G F z L 1 N l Y 3 R p b 2 4 x L m 1 Q S w U G A A A A A A M A A w D C A A A A T A 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g b A A A A A A A A R h 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Y W J s Y S U y M D E 8 L 0 l 0 Z W 1 Q Y X R o P j w v S X R l b U x v Y 2 F 0 a W 9 u P j x T d G F i b G V F b n R y a W V z P j x F b n R y e S B U e X B l P S J B Z G R l Z F R v R G F 0 Y U 1 v Z G V s I i B W Y W x 1 Z T 0 i b D A i L z 4 8 R W 5 0 c n k g V H l w Z T 0 i Q n V m Z m V y T m V 4 d F J l Z n J l c 2 g i I F Z h b H V l P S J s M S I v P j x F b n R y e S B U e X B l P S J G a W x s Q 2 9 1 b n Q i I F Z h b H V l P S J s N D I i L z 4 8 R W 5 0 c n k g V H l w Z T 0 i R m l s b E V u Y W J s Z W Q i I F Z h b H V l P S J s M C I v P j x F b n R y e S B U e X B l P S J G a W x s R X J y b 3 J D b 2 R l I i B W Y W x 1 Z T 0 i c 1 V u a 2 5 v d 2 4 i L z 4 8 R W 5 0 c n k g V H l w Z T 0 i R m l s b E V y c m 9 y Q 2 9 1 b n Q i I F Z h b H V l P S J s M C I v P j x F b n R y e S B U e X B l P S J G a W x s T G F z d F V w Z G F 0 Z W Q i I F Z h b H V l P S J k M j A y N C 0 w N y 0 z M V Q x N D o 0 N D o 1 N y 4 1 M T k z N T M z W i I v P j x F b n R y e S B U e X B l P S J G a W x s Q 2 9 s d W 1 u V H l w Z X M i I F Z h b H V l P S J z Q m d Z R 0 J n W U c i L z 4 8 R W 5 0 c n k g V H l w Z T 0 i R m l s b E N v b H V t b k 5 h b W V z I i B W Y W x 1 Z T 0 i c 1 s m c X V v d D t D b 2 x 1 b W 4 x J n F 1 b 3 Q 7 L C Z x d W 9 0 O 0 N v b H V t b j I m c X V v d D s s J n F 1 b 3 Q 7 Q 2 9 s d W 1 u M y Z x d W 9 0 O y w m c X V v d D t D b 2 x 1 b W 4 0 J n F 1 b 3 Q 7 L C Z x d W 9 0 O 0 N v b H V t b j U m c X V v d D s s J n F 1 b 3 Q 7 Q 2 9 s d W 1 u N 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2 R m Y z M w M j U t N z Q 5 Z S 0 0 Y T M 4 L T k 0 O T M t N z N m N T F i M D R j N W E w I i 8 + P E V u d H J 5 I F R 5 c G U 9 I l J l b G F 0 a W 9 u c 2 h p c E l u Z m 9 D b 2 5 0 Y W l u Z X I i I F Z h b H V l P S J z e y Z x d W 9 0 O 2 N v b H V t b k N v d W 5 0 J n F 1 b 3 Q 7 O j Y s J n F 1 b 3 Q 7 a 2 V 5 Q 2 9 s d W 1 u T m F t Z X M m c X V v d D s 6 W 1 0 s J n F 1 b 3 Q 7 c X V l c n l S Z W x h d G l v b n N o a X B z J n F 1 b 3 Q 7 O l t d L C Z x d W 9 0 O 2 N v b H V t b k l k Z W 5 0 a X R p Z X M m c X V v d D s 6 W y Z x d W 9 0 O 1 N l Y 3 R p b 2 4 x L 1 R h Y m x h I D E v Q X V 0 b 1 J l b W 9 2 Z W R D b 2 x 1 b W 5 z M S 5 7 Q 2 9 s d W 1 u M S w w f S Z x d W 9 0 O y w m c X V v d D t T Z W N 0 a W 9 u M S 9 U Y W J s Y S A x L 0 F 1 d G 9 S Z W 1 v d m V k Q 2 9 s d W 1 u c z E u e 0 N v b H V t b j I s M X 0 m c X V v d D s s J n F 1 b 3 Q 7 U 2 V j d G l v b j E v V G F i b G E g M S 9 B d X R v U m V t b 3 Z l Z E N v b H V t b n M x L n t D b 2 x 1 b W 4 z L D J 9 J n F 1 b 3 Q 7 L C Z x d W 9 0 O 1 N l Y 3 R p b 2 4 x L 1 R h Y m x h I D E v Q X V 0 b 1 J l b W 9 2 Z W R D b 2 x 1 b W 5 z M S 5 7 Q 2 9 s d W 1 u N C w z f S Z x d W 9 0 O y w m c X V v d D t T Z W N 0 a W 9 u M S 9 U Y W J s Y S A x L 0 F 1 d G 9 S Z W 1 v d m V k Q 2 9 s d W 1 u c z E u e 0 N v b H V t b j U s N H 0 m c X V v d D s s J n F 1 b 3 Q 7 U 2 V j d G l v b j E v V G F i b G E g M S 9 B d X R v U m V t b 3 Z l Z E N v b H V t b n M x L n t D b 2 x 1 b W 4 2 L D V 9 J n F 1 b 3 Q 7 X S w m c X V v d D t D b 2 x 1 b W 5 D b 3 V u d C Z x d W 9 0 O z o 2 L C Z x d W 9 0 O 0 t l e U N v b H V t b k 5 h b W V z J n F 1 b 3 Q 7 O l t d L C Z x d W 9 0 O 0 N v b H V t b k l k Z W 5 0 a X R p Z X M m c X V v d D s 6 W y Z x d W 9 0 O 1 N l Y 3 R p b 2 4 x L 1 R h Y m x h I D E v Q X V 0 b 1 J l b W 9 2 Z W R D b 2 x 1 b W 5 z M S 5 7 Q 2 9 s d W 1 u M S w w f S Z x d W 9 0 O y w m c X V v d D t T Z W N 0 a W 9 u M S 9 U Y W J s Y S A x L 0 F 1 d G 9 S Z W 1 v d m V k Q 2 9 s d W 1 u c z E u e 0 N v b H V t b j I s M X 0 m c X V v d D s s J n F 1 b 3 Q 7 U 2 V j d G l v b j E v V G F i b G E g M S 9 B d X R v U m V t b 3 Z l Z E N v b H V t b n M x L n t D b 2 x 1 b W 4 z L D J 9 J n F 1 b 3 Q 7 L C Z x d W 9 0 O 1 N l Y 3 R p b 2 4 x L 1 R h Y m x h I D E v Q X V 0 b 1 J l b W 9 2 Z W R D b 2 x 1 b W 5 z M S 5 7 Q 2 9 s d W 1 u N C w z f S Z x d W 9 0 O y w m c X V v d D t T Z W N 0 a W 9 u M S 9 U Y W J s Y S A x L 0 F 1 d G 9 S Z W 1 v d m V k Q 2 9 s d W 1 u c z E u e 0 N v b H V t b j U s N H 0 m c X V v d D s s J n F 1 b 3 Q 7 U 2 V j d G l v b j E v V G F i b G E g M S 9 B d X R v U m V t b 3 Z l Z E N v b H V t b n M x L n t D b 2 x 1 b W 4 2 L D V 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Y W J s Z T A w M S U y M C h Q Y W d l J T I w M S k 8 L 0 l 0 Z W 1 Q Y X R o P j w v S X R l b U x v Y 2 F 0 a W 9 u P j x T d G F i b G V F b n R y a W V z P j x F b n R y e S B U e X B l P S J B Z G R l Z F R v R G F 0 Y U 1 v Z G V s I i B W Y W x 1 Z T 0 i b D A i L z 4 8 R W 5 0 c n k g V H l w Z T 0 i Q n V m Z m V y T m V 4 d F J l Z n J l c 2 g i I F Z h b H V l P S J s M S I v P j x F b n R y e S B U e X B l P S J G a W x s Q 2 9 1 b n Q i I F Z h b H V l P S J s N j E i L z 4 8 R W 5 0 c n k g V H l w Z T 0 i R m l s b E V u Y W J s Z W Q i I F Z h b H V l P S J s M C I v P j x F b n R y e S B U e X B l P S J G a W x s R X J y b 3 J D b 2 R l I i B W Y W x 1 Z T 0 i c 1 V u a 2 5 v d 2 4 i L z 4 8 R W 5 0 c n k g V H l w Z T 0 i R m l s b E V y c m 9 y Q 2 9 1 b n Q i I F Z h b H V l P S J s M C I v P j x F b n R y e S B U e X B l P S J G a W x s T G F z d F V w Z G F 0 Z W Q i I F Z h b H V l P S J k M j A y N C 0 w O C 0 w M V Q y M T o y N z o w M i 4 0 N D Q 1 O T U 1 W i I v P j x F b n R y e S B U e X B l P S J G a W x s Q 2 9 s d W 1 u V H l w Z X M i I F Z h b H V l P S J z Q m d Z P S I v P j x F b n R y e S B U e X B l P S J G a W x s Q 2 9 s d W 1 u T m F t Z X M i I F Z h b H V l P S J z W y Z x d W 9 0 O 0 N v b H V t b j E m c X V v d D s s J n F 1 b 3 Q 7 Q 2 9 s d W 1 u M 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j g 5 Z j Q z N D I t Y T R k Z S 0 0 Z G I z L W F k N D c t N j V h Z T l m Z W F j M 2 N l I i 8 + P E V u d H J 5 I F R 5 c G U 9 I l J l b G F 0 a W 9 u c 2 h p c E l u Z m 9 D b 2 5 0 Y W l u Z X I i I F Z h b H V l P S J z e y Z x d W 9 0 O 2 N v b H V t b k N v d W 5 0 J n F 1 b 3 Q 7 O j I s J n F 1 b 3 Q 7 a 2 V 5 Q 2 9 s d W 1 u T m F t Z X M m c X V v d D s 6 W 1 0 s J n F 1 b 3 Q 7 c X V l c n l S Z W x h d G l v b n N o a X B z J n F 1 b 3 Q 7 O l t d L C Z x d W 9 0 O 2 N v b H V t b k l k Z W 5 0 a X R p Z X M m c X V v d D s 6 W y Z x d W 9 0 O 1 N l Y 3 R p b 2 4 x L 1 R h Y m x l M D A x I C h Q Y W d l I D E p L 0 F 1 d G 9 S Z W 1 v d m V k Q 2 9 s d W 1 u c z E u e 0 N v b H V t b j E s M H 0 m c X V v d D s s J n F 1 b 3 Q 7 U 2 V j d G l v b j E v V G F i b G U w M D E g K F B h Z 2 U g M S k v Q X V 0 b 1 J l b W 9 2 Z W R D b 2 x 1 b W 5 z M S 5 7 Q 2 9 s d W 1 u M i w x f S Z x d W 9 0 O 1 0 s J n F 1 b 3 Q 7 Q 2 9 s d W 1 u Q 2 9 1 b n Q m c X V v d D s 6 M i w m c X V v d D t L Z X l D b 2 x 1 b W 5 O Y W 1 l c y Z x d W 9 0 O z p b X S w m c X V v d D t D b 2 x 1 b W 5 J Z G V u d G l 0 a W V z J n F 1 b 3 Q 7 O l s m c X V v d D t T Z W N 0 a W 9 u M S 9 U Y W J s Z T A w M S A o U G F n Z S A x K S 9 B d X R v U m V t b 3 Z l Z E N v b H V t b n M x L n t D b 2 x 1 b W 4 x L D B 9 J n F 1 b 3 Q 7 L C Z x d W 9 0 O 1 N l Y 3 R p b 2 4 x L 1 R h Y m x l M D A x I C h Q Y W d l I D E p L 0 F 1 d G 9 S Z W 1 v d m V k Q 2 9 s d W 1 u c z E u e 0 N v b H V t b j I s 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R h Y m x l M D A x J T I w K F B h Z 2 U l M j A x K S 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g t M D F U M j E 6 M j c 6 M D I u N D Q 0 N T k 1 N 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B l N T M y M 2 Y w L T Q y Z D Q t N D M 0 Z i 1 i O W Y 5 L T U 5 M j V k M z B i O D E 1 N i I v P j x F b n R y e S B U e X B l P S J S Z W x h d G l v b n N o a X B J b m Z v Q 2 9 u d G F p b m V y I i B W Y W x 1 Z T 0 i c 3 s m c X V v d D t j b 2 x 1 b W 5 D b 3 V u d C Z x d W 9 0 O z o y L C Z x d W 9 0 O 2 t l e U N v b H V t b k 5 h b W V z J n F 1 b 3 Q 7 O l t d L C Z x d W 9 0 O 3 F 1 Z X J 5 U m V s Y X R p b 2 5 z a G l w c y Z x d W 9 0 O z p b X S w m c X V v d D t j b 2 x 1 b W 5 J Z G V u d G l 0 a W V z J n F 1 b 3 Q 7 O l s m c X V v d D t T Z W N 0 a W 9 u M S 9 U Y W J s Z T A w M S A o U G F n Z S A x K S 9 B d X R v U m V t b 3 Z l Z E N v b H V t b n M x L n t D b 2 x 1 b W 4 x L D B 9 J n F 1 b 3 Q 7 L C Z x d W 9 0 O 1 N l Y 3 R p b 2 4 x L 1 R h Y m x l M D A x I C h Q Y W d l I D E p L 0 F 1 d G 9 S Z W 1 v d m V k Q 2 9 s d W 1 u c z E u e 0 N v b H V t b j I s M X 0 m c X V v d D t d L C Z x d W 9 0 O 0 N v b H V t b k N v d W 5 0 J n F 1 b 3 Q 7 O j I s J n F 1 b 3 Q 7 S 2 V 5 Q 2 9 s d W 1 u T m F t Z X M m c X V v d D s 6 W 1 0 s J n F 1 b 3 Q 7 Q 2 9 s d W 1 u S W R l b n R p d G l l c y Z x d W 9 0 O z p b J n F 1 b 3 Q 7 U 2 V j d G l v b j E v V G F i b G U w M D E g K F B h Z 2 U g M S k v Q X V 0 b 1 J l b W 9 2 Z W R D b 2 x 1 b W 5 z M S 5 7 Q 2 9 s d W 1 u M S w w f S Z x d W 9 0 O y w m c X V v d D t T Z W N 0 a W 9 u M S 9 U Y W J s Z T A w M S A o U G F n Z S A x K S 9 B d X R v U m V t b 3 Z l Z E N v b H V t b n M x L n t D b 2 x 1 b W 4 y L D F 9 J n F 1 b 3 Q 7 X S w m c X V v d D t S Z W x h d G l v b n N o a X B J b m Z v J n F 1 b 3 Q 7 O l t d f S I v P j x F b n R y e S B U e X B l P S J S Z X N 1 b H R U e X B l I i B W Y W x 1 Z T 0 i c 1 R h Y m x l I i 8 + P E V u d H J 5 I F R 5 c G U 9 I k Z p b G x P Y m p l Y 3 R U e X B l I i B W Y W x 1 Z T 0 i c 0 N v b m 5 l Y 3 R p b 2 5 P b m x 5 I i 8 + P E V u d H J 5 I F R 5 c G U 9 I k x v Y W R l Z F R v Q W 5 h b H l z a X N T Z X J 2 a W N l c y I g V m F s d W U 9 I m w w I i 8 + P C 9 T d G F i b G V F b n R y a W V z P j w v S X R l b T 4 8 S X R l b T 4 8 S X R l b U x v Y 2 F 0 a W 9 u P j x J d G V t V H l w Z T 5 G b 3 J t d W x h P C 9 J d G V t V H l w Z T 4 8 S X R l b V B h d G g + U 2 V j d G l v b j E v V G F i b G E l M j A x L 0 9 y a W d l b j w v S X R l b V B h d G g + P C 9 J d G V t T G 9 j Y X R p b 2 4 + P F N 0 Y W J s Z U V u d H J p Z X M v P j w v S X R l b T 4 8 S X R l b T 4 8 S X R l b U x v Y 2 F 0 a W 9 u P j x J d G V t V H l w Z T 5 G b 3 J t d W x h P C 9 J d G V t V H l w Z T 4 8 S X R l b V B h d G g + U 2 V j d G l v b j E v V G F i b G E l M j A x L 1 R h Y m x h J T I w Z X h 0 c m E l Q z M l Q U R k Y S U y M G E l M j B w Y X J 0 a X I l M j B k Z S U y M E h U T U w 8 L 0 l 0 Z W 1 Q Y X R o P j w v S X R l b U x v Y 2 F 0 a W 9 u P j x T d G F i b G V F b n R y a W V z L z 4 8 L 0 l 0 Z W 0 + P E l 0 Z W 0 + P E l 0 Z W 1 M b 2 N h d G l v b j 4 8 S X R l b V R 5 c G U + R m 9 y b X V s Y T w v S X R l b V R 5 c G U + P E l 0 Z W 1 Q Y X R o P l N l Y 3 R p b 2 4 x L 1 R h Y m x h J T I w M S 9 U a X B v J T I w Y 2 F t Y m l h Z G 8 8 L 0 l 0 Z W 1 Q Y X R o P j w v S X R l b U x v Y 2 F 0 a W 9 u P j x T d G F i b G V F b n R y a W V z L z 4 8 L 0 l 0 Z W 0 + P E l 0 Z W 0 + P E l 0 Z W 1 M b 2 N h d G l v b j 4 8 S X R l b V R 5 c G U + R m 9 y b X V s Y T w v S X R l b V R 5 c G U + P E l 0 Z W 1 Q Y X R o P l N l Y 3 R p b 2 4 x L 1 R h Y m x l M D A x J T I w K F B h Z 2 U l M j A x K S 9 P c m l n Z W 4 8 L 0 l 0 Z W 1 Q Y X R o P j w v S X R l b U x v Y 2 F 0 a W 9 u P j x T d G F i b G V F b n R y a W V z L z 4 8 L 0 l 0 Z W 0 + P E l 0 Z W 0 + P E l 0 Z W 1 M b 2 N h d G l v b j 4 8 S X R l b V R 5 c G U + R m 9 y b X V s Y T w v S X R l b V R 5 c G U + P E l 0 Z W 1 Q Y X R o P l N l Y 3 R p b 2 4 x L 1 R h Y m x l M D A x J T I w K F B h Z 2 U l M j A x K S 9 U Y W J s Z T A w M T w v S X R l b V B h d G g + P C 9 J d G V t T G 9 j Y X R p b 2 4 + P F N 0 Y W J s Z U V u d H J p Z X M v P j w v S X R l b T 4 8 S X R l b T 4 8 S X R l b U x v Y 2 F 0 a W 9 u P j x J d G V t V H l w Z T 5 G b 3 J t d W x h P C 9 J d G V t V H l w Z T 4 8 S X R l b V B h d G g + U 2 V j d G l v b j E v V G F i b G U w M D E l M j A o U G F n Z S U y M D E p L 1 R p c G 8 l M j B j Y W 1 i a W F k b z w v S X R l b V B h d G g + P C 9 J d G V t T G 9 j Y X R p b 2 4 + P F N 0 Y W J s Z U V u d H J p Z X M v P j w v S X R l b T 4 8 S X R l b T 4 8 S X R l b U x v Y 2 F 0 a W 9 u P j x J d G V t V H l w Z T 5 G b 3 J t d W x h P C 9 J d G V t V H l w Z T 4 8 S X R l b V B h d G g + U 2 V j d G l v b j E v V G F i b G U w M D E l M j A o U G F n Z S U y M D E p J T I w K D I p L 0 9 y a W d l b j w v S X R l b V B h d G g + P C 9 J d G V t T G 9 j Y X R p b 2 4 + P F N 0 Y W J s Z U V u d H J p Z X M v P j w v S X R l b T 4 8 S X R l b T 4 8 S X R l b U x v Y 2 F 0 a W 9 u P j x J d G V t V H l w Z T 5 G b 3 J t d W x h P C 9 J d G V t V H l w Z T 4 8 S X R l b V B h d G g + U 2 V j d G l v b j E v V G F i b G U w M D E l M j A o U G F n Z S U y M D E p J T I w K D I p L 1 R h Y m x l M D A x P C 9 J d G V t U G F 0 a D 4 8 L 0 l 0 Z W 1 M b 2 N h d G l v b j 4 8 U 3 R h Y m x l R W 5 0 c m l l c y 8 + P C 9 J d G V t P j x J d G V t P j x J d G V t T G 9 j Y X R p b 2 4 + P E l 0 Z W 1 U e X B l P k Z v c m 1 1 b G E 8 L 0 l 0 Z W 1 U e X B l P j x J d G V t U G F 0 a D 5 T Z W N 0 a W 9 u M S 9 U Y W J s Z T A w M S U y M C h Q Y W d l J T I w M S k l M j A o M i k v V G l w b y U y M G N h b W J p Y W R v 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Q o 6 L S s D a a Q 5 y T c a / K U 3 y U A A A A A A I A A A A A A B B m A A A A A Q A A I A A A A B l l Z x 5 Z K v C p 1 w g Q e 1 p j d y v v D v z V n 3 F 8 p 6 A F H K t t v d W B A A A A A A 6 A A A A A A g A A I A A A A M E c 6 A m i l c c Z J L F X l O 1 I d Z l 5 V Z v 4 h m 9 5 n Y y c l m k U R Z 1 I U A A A A B o W 9 D m J V M / L l y A r p 9 Y J 9 R d P Y U F L 2 G n 6 v e Q U 6 7 A y O G S R 0 0 a G s G L g I p S N V z 3 q N I O D b 8 s v w t D K E 8 f / t 7 O 6 9 C i B M L r d A l G S G I m B 8 J o W v g R 4 G O G U Q A A A A E r I r D D r E c s D V c r R W 8 E P L j s 4 y h t R 3 B E d q r 9 e L 6 I 2 K u P v C 2 c G u C L f B G V I p 3 5 S E S / V w 3 M U i l C E F P t D T m G S A a J J i + U = < / D a t a M a s h u p > 
</file>

<file path=customXml/itemProps1.xml><?xml version="1.0" encoding="utf-8"?>
<ds:datastoreItem xmlns:ds="http://schemas.openxmlformats.org/officeDocument/2006/customXml" ds:itemID="{85E7B70D-4C0A-4038-9E24-7742F5443B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Generalidades Proyecto</vt:lpstr>
      <vt:lpstr>Estudio de Mercados</vt:lpstr>
      <vt:lpstr>Estudio Técnico</vt:lpstr>
      <vt:lpstr>Est. Organizacional y Legal</vt:lpstr>
      <vt:lpstr>Est. Viabilidad Financiera</vt:lpstr>
      <vt:lpstr>PIB</vt:lpstr>
      <vt:lpstr>IPC</vt:lpstr>
      <vt:lpstr>Proyecciones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 Ali Oviedo Beltran</dc:creator>
  <cp:lastModifiedBy>Said Ali Oviedo Beltran</cp:lastModifiedBy>
  <dcterms:created xsi:type="dcterms:W3CDTF">2024-07-24T01:56:08Z</dcterms:created>
  <dcterms:modified xsi:type="dcterms:W3CDTF">2024-08-12T15:28:13Z</dcterms:modified>
</cp:coreProperties>
</file>