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340" windowHeight="8460" firstSheet="5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24519"/>
</workbook>
</file>

<file path=xl/calcChain.xml><?xml version="1.0" encoding="utf-8"?>
<calcChain xmlns="http://schemas.openxmlformats.org/spreadsheetml/2006/main">
  <c r="I34" i="15"/>
  <c r="I33"/>
  <c r="I32"/>
  <c r="G45"/>
  <c r="G44"/>
  <c r="G43"/>
  <c r="C33"/>
  <c r="C35"/>
  <c r="C34"/>
  <c r="C37" i="6"/>
  <c r="O35"/>
  <c r="I14" i="13" l="1"/>
  <c r="AG43" i="2"/>
  <c r="AF43"/>
  <c r="AD43"/>
  <c r="V18"/>
  <c r="X17"/>
  <c r="X16"/>
  <c r="X15"/>
  <c r="X18" s="1"/>
  <c r="Y18"/>
  <c r="W18"/>
  <c r="Y11"/>
  <c r="W11"/>
  <c r="V11"/>
  <c r="X10"/>
  <c r="X9"/>
  <c r="F39" i="10"/>
  <c r="F40" s="1"/>
  <c r="F41" s="1"/>
  <c r="E40"/>
  <c r="E41" s="1"/>
  <c r="E39"/>
  <c r="H38"/>
  <c r="J38" s="1"/>
  <c r="H37"/>
  <c r="J37" s="1"/>
  <c r="H36"/>
  <c r="J36" s="1"/>
  <c r="H35"/>
  <c r="J35" s="1"/>
  <c r="H34"/>
  <c r="J34" s="1"/>
  <c r="H33"/>
  <c r="J33" s="1"/>
  <c r="H32"/>
  <c r="J32" s="1"/>
  <c r="H31"/>
  <c r="J31" s="1"/>
  <c r="H30"/>
  <c r="J30" s="1"/>
  <c r="H29"/>
  <c r="J29" s="1"/>
  <c r="J24" i="12"/>
  <c r="J25"/>
  <c r="J26"/>
  <c r="J27"/>
  <c r="J28"/>
  <c r="J29"/>
  <c r="J30"/>
  <c r="J31"/>
  <c r="J32"/>
  <c r="J2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3"/>
  <c r="J33" s="1"/>
  <c r="J34" s="1"/>
  <c r="J35" s="1"/>
  <c r="J12" i="11"/>
  <c r="J11"/>
  <c r="J10"/>
  <c r="J9"/>
  <c r="J8"/>
  <c r="J7"/>
  <c r="J6"/>
  <c r="J5"/>
  <c r="J4"/>
  <c r="Q6" i="9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5"/>
  <c r="G11" i="10"/>
  <c r="H11" s="1"/>
  <c r="J11" s="1"/>
  <c r="G12"/>
  <c r="H12" s="1"/>
  <c r="J12" s="1"/>
  <c r="G13"/>
  <c r="H13" s="1"/>
  <c r="J13" s="1"/>
  <c r="G14"/>
  <c r="H14" s="1"/>
  <c r="J14" s="1"/>
  <c r="G15"/>
  <c r="H15" s="1"/>
  <c r="J15" s="1"/>
  <c r="G16"/>
  <c r="H16" s="1"/>
  <c r="J16" s="1"/>
  <c r="G17"/>
  <c r="H17" s="1"/>
  <c r="J17" s="1"/>
  <c r="G18"/>
  <c r="H18" s="1"/>
  <c r="J18" s="1"/>
  <c r="G19"/>
  <c r="H19" s="1"/>
  <c r="J19" s="1"/>
  <c r="G20"/>
  <c r="H20" s="1"/>
  <c r="J20" s="1"/>
  <c r="G21"/>
  <c r="H21" s="1"/>
  <c r="J21" s="1"/>
  <c r="G22"/>
  <c r="H22" s="1"/>
  <c r="J22" s="1"/>
  <c r="G23"/>
  <c r="H23" s="1"/>
  <c r="J23" s="1"/>
  <c r="G24"/>
  <c r="H24" s="1"/>
  <c r="J24" s="1"/>
  <c r="G25"/>
  <c r="H25" s="1"/>
  <c r="J25" s="1"/>
  <c r="G26"/>
  <c r="H26" s="1"/>
  <c r="J26" s="1"/>
  <c r="G27"/>
  <c r="H27" s="1"/>
  <c r="J27" s="1"/>
  <c r="G28"/>
  <c r="H28" s="1"/>
  <c r="J28" s="1"/>
  <c r="G29"/>
  <c r="G30"/>
  <c r="G31"/>
  <c r="G32"/>
  <c r="G33"/>
  <c r="G34"/>
  <c r="G35"/>
  <c r="G36"/>
  <c r="G37"/>
  <c r="G38"/>
  <c r="G10"/>
  <c r="H10" s="1"/>
  <c r="J10" s="1"/>
  <c r="G9"/>
  <c r="H9" s="1"/>
  <c r="BR38" i="8"/>
  <c r="BR39" s="1"/>
  <c r="BR40" s="1"/>
  <c r="BQ38"/>
  <c r="BQ39" s="1"/>
  <c r="BQ40" s="1"/>
  <c r="BP38"/>
  <c r="BP39" s="1"/>
  <c r="BP40" s="1"/>
  <c r="BO38"/>
  <c r="BO39" s="1"/>
  <c r="BO40" s="1"/>
  <c r="BN38"/>
  <c r="BS37"/>
  <c r="BS36"/>
  <c r="BS35"/>
  <c r="BS34"/>
  <c r="BS33"/>
  <c r="BS32"/>
  <c r="BS31"/>
  <c r="BS30"/>
  <c r="BS29"/>
  <c r="BS28"/>
  <c r="BS27"/>
  <c r="BS26"/>
  <c r="BS25"/>
  <c r="BS24"/>
  <c r="BS23"/>
  <c r="BS22"/>
  <c r="BS21"/>
  <c r="BS20"/>
  <c r="BS19"/>
  <c r="BS18"/>
  <c r="BS17"/>
  <c r="BS16"/>
  <c r="BS15"/>
  <c r="BS14"/>
  <c r="BS13"/>
  <c r="BS12"/>
  <c r="BS11"/>
  <c r="BS10"/>
  <c r="BS9"/>
  <c r="BS8"/>
  <c r="BJ8"/>
  <c r="BI38"/>
  <c r="BI39" s="1"/>
  <c r="BI40" s="1"/>
  <c r="BH38"/>
  <c r="BH39" s="1"/>
  <c r="BH40" s="1"/>
  <c r="BG38"/>
  <c r="BG39" s="1"/>
  <c r="BG40" s="1"/>
  <c r="BF38"/>
  <c r="BF39" s="1"/>
  <c r="BF40" s="1"/>
  <c r="BE38"/>
  <c r="BJ37"/>
  <c r="BJ36"/>
  <c r="BJ35"/>
  <c r="BJ34"/>
  <c r="BJ33"/>
  <c r="BJ32"/>
  <c r="BJ31"/>
  <c r="BJ30"/>
  <c r="BJ29"/>
  <c r="BJ28"/>
  <c r="BJ27"/>
  <c r="BJ26"/>
  <c r="BJ25"/>
  <c r="BJ24"/>
  <c r="BJ23"/>
  <c r="BJ22"/>
  <c r="BJ21"/>
  <c r="BJ20"/>
  <c r="BJ19"/>
  <c r="BJ18"/>
  <c r="BJ17"/>
  <c r="BJ16"/>
  <c r="BJ15"/>
  <c r="BJ14"/>
  <c r="BJ13"/>
  <c r="BJ12"/>
  <c r="BJ11"/>
  <c r="BJ10"/>
  <c r="BJ9"/>
  <c r="AZ38"/>
  <c r="AZ39" s="1"/>
  <c r="AZ40" s="1"/>
  <c r="AY38"/>
  <c r="AY39" s="1"/>
  <c r="AY40" s="1"/>
  <c r="AX38"/>
  <c r="AX39" s="1"/>
  <c r="AX40" s="1"/>
  <c r="AW38"/>
  <c r="AW39" s="1"/>
  <c r="AW40" s="1"/>
  <c r="AV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AQ38"/>
  <c r="AQ39" s="1"/>
  <c r="AQ40" s="1"/>
  <c r="AP38"/>
  <c r="AP39" s="1"/>
  <c r="AP40" s="1"/>
  <c r="AO38"/>
  <c r="AO39" s="1"/>
  <c r="AO40" s="1"/>
  <c r="AN38"/>
  <c r="AN39" s="1"/>
  <c r="AN40" s="1"/>
  <c r="AM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8"/>
  <c r="Z38" s="1"/>
  <c r="Z39" s="1"/>
  <c r="Z40" s="1"/>
  <c r="AE38"/>
  <c r="AE39" s="1"/>
  <c r="AE40" s="1"/>
  <c r="AH38"/>
  <c r="AH39" s="1"/>
  <c r="AH40" s="1"/>
  <c r="AG38"/>
  <c r="AG39" s="1"/>
  <c r="AG40" s="1"/>
  <c r="AF38"/>
  <c r="AF39" s="1"/>
  <c r="AF40" s="1"/>
  <c r="AD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V38"/>
  <c r="V39" s="1"/>
  <c r="V40" s="1"/>
  <c r="Y38"/>
  <c r="Y39" s="1"/>
  <c r="Y40" s="1"/>
  <c r="X38"/>
  <c r="X39" s="1"/>
  <c r="X40" s="1"/>
  <c r="W38"/>
  <c r="W39" s="1"/>
  <c r="W40" s="1"/>
  <c r="U3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9"/>
  <c r="BT9" s="1"/>
  <c r="Q8"/>
  <c r="BT8" s="1"/>
  <c r="M38"/>
  <c r="P38"/>
  <c r="P39" s="1"/>
  <c r="P40" s="1"/>
  <c r="O38"/>
  <c r="O39" s="1"/>
  <c r="O40" s="1"/>
  <c r="N38"/>
  <c r="N39" s="1"/>
  <c r="N40" s="1"/>
  <c r="M39"/>
  <c r="M40" s="1"/>
  <c r="L38"/>
  <c r="G39"/>
  <c r="G40" s="1"/>
  <c r="G38"/>
  <c r="C38"/>
  <c r="H13"/>
  <c r="BT13" s="1"/>
  <c r="H14"/>
  <c r="BT14" s="1"/>
  <c r="H15"/>
  <c r="BT15" s="1"/>
  <c r="H16"/>
  <c r="BT16" s="1"/>
  <c r="H17"/>
  <c r="BT17" s="1"/>
  <c r="H18"/>
  <c r="BT18" s="1"/>
  <c r="H19"/>
  <c r="BT19" s="1"/>
  <c r="H20"/>
  <c r="BT20" s="1"/>
  <c r="H21"/>
  <c r="BT21" s="1"/>
  <c r="H22"/>
  <c r="BT22" s="1"/>
  <c r="H23"/>
  <c r="BT23" s="1"/>
  <c r="H24"/>
  <c r="BT24" s="1"/>
  <c r="H25"/>
  <c r="BT25" s="1"/>
  <c r="H26"/>
  <c r="BT26" s="1"/>
  <c r="H27"/>
  <c r="BT27" s="1"/>
  <c r="H28"/>
  <c r="BT28" s="1"/>
  <c r="H29"/>
  <c r="BT29" s="1"/>
  <c r="H30"/>
  <c r="BT30" s="1"/>
  <c r="H31"/>
  <c r="BT31" s="1"/>
  <c r="H32"/>
  <c r="BT32" s="1"/>
  <c r="H33"/>
  <c r="BT33" s="1"/>
  <c r="H34"/>
  <c r="BT34" s="1"/>
  <c r="H35"/>
  <c r="BT35" s="1"/>
  <c r="H36"/>
  <c r="BT36" s="1"/>
  <c r="H37"/>
  <c r="BT37" s="1"/>
  <c r="H12"/>
  <c r="BT12" s="1"/>
  <c r="H11"/>
  <c r="BT11" s="1"/>
  <c r="H10"/>
  <c r="H38" s="1"/>
  <c r="H39" s="1"/>
  <c r="H40" s="1"/>
  <c r="F38"/>
  <c r="F39" s="1"/>
  <c r="F40" s="1"/>
  <c r="E39"/>
  <c r="E40" s="1"/>
  <c r="E38"/>
  <c r="D38"/>
  <c r="D39" s="1"/>
  <c r="D40" s="1"/>
  <c r="M9" i="3"/>
  <c r="D3"/>
  <c r="E3"/>
  <c r="H3"/>
  <c r="D4"/>
  <c r="E4"/>
  <c r="H4"/>
  <c r="D5"/>
  <c r="E5"/>
  <c r="H5"/>
  <c r="D6"/>
  <c r="H6"/>
  <c r="D7"/>
  <c r="E7"/>
  <c r="H7"/>
  <c r="D8"/>
  <c r="E8"/>
  <c r="H8"/>
  <c r="D9"/>
  <c r="E9"/>
  <c r="H9"/>
  <c r="D10"/>
  <c r="E10"/>
  <c r="H10"/>
  <c r="D11"/>
  <c r="E11"/>
  <c r="H11"/>
  <c r="D12"/>
  <c r="E12"/>
  <c r="I12" s="1"/>
  <c r="D13"/>
  <c r="E13"/>
  <c r="H13"/>
  <c r="D14"/>
  <c r="E14"/>
  <c r="H14"/>
  <c r="D15"/>
  <c r="E15"/>
  <c r="H15"/>
  <c r="D16"/>
  <c r="E16"/>
  <c r="H16"/>
  <c r="D17"/>
  <c r="E17"/>
  <c r="H17"/>
  <c r="D18"/>
  <c r="E18"/>
  <c r="H18"/>
  <c r="D19"/>
  <c r="E19"/>
  <c r="H19"/>
  <c r="D20"/>
  <c r="E20"/>
  <c r="H20"/>
  <c r="D21"/>
  <c r="E21"/>
  <c r="H21"/>
  <c r="D22"/>
  <c r="E22"/>
  <c r="H22"/>
  <c r="D23"/>
  <c r="E23"/>
  <c r="H23"/>
  <c r="D24"/>
  <c r="E24"/>
  <c r="H24"/>
  <c r="D25"/>
  <c r="E25"/>
  <c r="H25"/>
  <c r="D26"/>
  <c r="E26"/>
  <c r="H26"/>
  <c r="D27"/>
  <c r="E27"/>
  <c r="H27"/>
  <c r="D28"/>
  <c r="E28"/>
  <c r="H28"/>
  <c r="D29"/>
  <c r="E29"/>
  <c r="H29"/>
  <c r="D30"/>
  <c r="E30"/>
  <c r="H30"/>
  <c r="I30"/>
  <c r="D31"/>
  <c r="E31"/>
  <c r="H31"/>
  <c r="I31"/>
  <c r="D32"/>
  <c r="E32"/>
  <c r="H32"/>
  <c r="I32"/>
  <c r="C33"/>
  <c r="D33"/>
  <c r="D34" s="1"/>
  <c r="D35" s="1"/>
  <c r="F33"/>
  <c r="F34"/>
  <c r="F35"/>
  <c r="G31" i="7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0"/>
  <c r="G9"/>
  <c r="G8"/>
  <c r="G7"/>
  <c r="G6"/>
  <c r="G5"/>
  <c r="G4"/>
  <c r="G3"/>
  <c r="G2"/>
  <c r="L6" i="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5"/>
  <c r="L35" s="1"/>
  <c r="L36" s="1"/>
  <c r="L37" s="1"/>
  <c r="K36"/>
  <c r="K37" s="1"/>
  <c r="K35"/>
  <c r="J7"/>
  <c r="J8"/>
  <c r="J11"/>
  <c r="J12"/>
  <c r="J13"/>
  <c r="J15"/>
  <c r="J17"/>
  <c r="J18"/>
  <c r="J20"/>
  <c r="J21"/>
  <c r="J22"/>
  <c r="J24"/>
  <c r="J25"/>
  <c r="J26"/>
  <c r="J27"/>
  <c r="J28"/>
  <c r="J29"/>
  <c r="J30"/>
  <c r="J31"/>
  <c r="J32"/>
  <c r="J33"/>
  <c r="J34"/>
  <c r="I23"/>
  <c r="J23" s="1"/>
  <c r="I21"/>
  <c r="I19"/>
  <c r="J19" s="1"/>
  <c r="I17"/>
  <c r="I16"/>
  <c r="J16" s="1"/>
  <c r="I15"/>
  <c r="I14"/>
  <c r="J14" s="1"/>
  <c r="I10"/>
  <c r="J10" s="1"/>
  <c r="I9"/>
  <c r="J9" s="1"/>
  <c r="I6"/>
  <c r="J6" s="1"/>
  <c r="I5"/>
  <c r="I35" s="1"/>
  <c r="I36" s="1"/>
  <c r="I37" s="1"/>
  <c r="H15"/>
  <c r="H16"/>
  <c r="H18"/>
  <c r="H20"/>
  <c r="H22"/>
  <c r="H23"/>
  <c r="H24"/>
  <c r="H25"/>
  <c r="H26"/>
  <c r="H27"/>
  <c r="H28"/>
  <c r="H29"/>
  <c r="H30"/>
  <c r="H31"/>
  <c r="H32"/>
  <c r="H33"/>
  <c r="H34"/>
  <c r="G21"/>
  <c r="H21" s="1"/>
  <c r="G19"/>
  <c r="H19" s="1"/>
  <c r="G17"/>
  <c r="H17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H35" s="1"/>
  <c r="H36" s="1"/>
  <c r="H37" s="1"/>
  <c r="F6"/>
  <c r="M6" s="1"/>
  <c r="O6" s="1"/>
  <c r="F7"/>
  <c r="M7" s="1"/>
  <c r="O7" s="1"/>
  <c r="F8"/>
  <c r="M8" s="1"/>
  <c r="O8" s="1"/>
  <c r="F9"/>
  <c r="M9" s="1"/>
  <c r="O9" s="1"/>
  <c r="F10"/>
  <c r="M10" s="1"/>
  <c r="O10" s="1"/>
  <c r="F11"/>
  <c r="M11" s="1"/>
  <c r="O11" s="1"/>
  <c r="F12"/>
  <c r="M12" s="1"/>
  <c r="O12" s="1"/>
  <c r="F15"/>
  <c r="M15" s="1"/>
  <c r="O15" s="1"/>
  <c r="F16"/>
  <c r="F19"/>
  <c r="M19" s="1"/>
  <c r="O19" s="1"/>
  <c r="F20"/>
  <c r="M20" s="1"/>
  <c r="O20" s="1"/>
  <c r="F21"/>
  <c r="M21" s="1"/>
  <c r="O21" s="1"/>
  <c r="F22"/>
  <c r="M22" s="1"/>
  <c r="O22" s="1"/>
  <c r="F23"/>
  <c r="M23" s="1"/>
  <c r="O23" s="1"/>
  <c r="F24"/>
  <c r="M24" s="1"/>
  <c r="O24" s="1"/>
  <c r="F25"/>
  <c r="M25" s="1"/>
  <c r="O25" s="1"/>
  <c r="F26"/>
  <c r="M26" s="1"/>
  <c r="O26" s="1"/>
  <c r="F27"/>
  <c r="M27" s="1"/>
  <c r="O27" s="1"/>
  <c r="F28"/>
  <c r="M28" s="1"/>
  <c r="O28" s="1"/>
  <c r="F29"/>
  <c r="M29" s="1"/>
  <c r="O29" s="1"/>
  <c r="F30"/>
  <c r="M30" s="1"/>
  <c r="O30" s="1"/>
  <c r="F31"/>
  <c r="M31" s="1"/>
  <c r="O31" s="1"/>
  <c r="F32"/>
  <c r="M32" s="1"/>
  <c r="O32" s="1"/>
  <c r="F33"/>
  <c r="M33" s="1"/>
  <c r="O33" s="1"/>
  <c r="F34"/>
  <c r="M34" s="1"/>
  <c r="O34" s="1"/>
  <c r="F5"/>
  <c r="D22"/>
  <c r="E18"/>
  <c r="F18" s="1"/>
  <c r="M18" s="1"/>
  <c r="O18" s="1"/>
  <c r="E17"/>
  <c r="F17" s="1"/>
  <c r="E14"/>
  <c r="F14" s="1"/>
  <c r="M14" s="1"/>
  <c r="O14" s="1"/>
  <c r="E13"/>
  <c r="F13" s="1"/>
  <c r="D7"/>
  <c r="D8"/>
  <c r="D9"/>
  <c r="D10"/>
  <c r="D11"/>
  <c r="D12"/>
  <c r="D13"/>
  <c r="D14"/>
  <c r="D15"/>
  <c r="D16"/>
  <c r="D17"/>
  <c r="D18"/>
  <c r="D19"/>
  <c r="D20"/>
  <c r="D21"/>
  <c r="D23"/>
  <c r="D24"/>
  <c r="D26"/>
  <c r="D27"/>
  <c r="D28"/>
  <c r="D31"/>
  <c r="D32"/>
  <c r="D33"/>
  <c r="D34"/>
  <c r="D6"/>
  <c r="C30"/>
  <c r="D30" s="1"/>
  <c r="C29"/>
  <c r="D29" s="1"/>
  <c r="C25"/>
  <c r="D25" s="1"/>
  <c r="C24"/>
  <c r="C35" s="1"/>
  <c r="C36" s="1"/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D4"/>
  <c r="E4"/>
  <c r="E5"/>
  <c r="E6"/>
  <c r="F6" s="1"/>
  <c r="E7"/>
  <c r="E8"/>
  <c r="F8" s="1"/>
  <c r="E9"/>
  <c r="E10"/>
  <c r="F10" s="1"/>
  <c r="E11"/>
  <c r="E12"/>
  <c r="F12" s="1"/>
  <c r="E13"/>
  <c r="E14"/>
  <c r="F14" s="1"/>
  <c r="E15"/>
  <c r="E16"/>
  <c r="F16" s="1"/>
  <c r="E17"/>
  <c r="E18"/>
  <c r="F18" s="1"/>
  <c r="E19"/>
  <c r="E20"/>
  <c r="F20" s="1"/>
  <c r="E21"/>
  <c r="E22"/>
  <c r="F22" s="1"/>
  <c r="E23"/>
  <c r="E24"/>
  <c r="F24" s="1"/>
  <c r="E25"/>
  <c r="E26"/>
  <c r="F26" s="1"/>
  <c r="E27"/>
  <c r="E28"/>
  <c r="F28" s="1"/>
  <c r="E29"/>
  <c r="E30"/>
  <c r="F30" s="1"/>
  <c r="E31"/>
  <c r="E32"/>
  <c r="F32" s="1"/>
  <c r="E33"/>
  <c r="N25"/>
  <c r="N27"/>
  <c r="N29"/>
  <c r="N30"/>
  <c r="N31"/>
  <c r="N32"/>
  <c r="N5"/>
  <c r="N7"/>
  <c r="N9"/>
  <c r="N11"/>
  <c r="N13"/>
  <c r="N15"/>
  <c r="N17"/>
  <c r="N19"/>
  <c r="N21"/>
  <c r="M33"/>
  <c r="N33" s="1"/>
  <c r="M29"/>
  <c r="M28"/>
  <c r="N28" s="1"/>
  <c r="M27"/>
  <c r="M26"/>
  <c r="N26" s="1"/>
  <c r="M25"/>
  <c r="M24"/>
  <c r="N24" s="1"/>
  <c r="M23"/>
  <c r="N23" s="1"/>
  <c r="M22"/>
  <c r="N22" s="1"/>
  <c r="M21"/>
  <c r="M20"/>
  <c r="N20" s="1"/>
  <c r="M19"/>
  <c r="M18"/>
  <c r="N18" s="1"/>
  <c r="M17"/>
  <c r="M16"/>
  <c r="N16" s="1"/>
  <c r="M15"/>
  <c r="M14"/>
  <c r="N14" s="1"/>
  <c r="M13"/>
  <c r="M12"/>
  <c r="N12" s="1"/>
  <c r="M11"/>
  <c r="M10"/>
  <c r="N10" s="1"/>
  <c r="M9"/>
  <c r="M8"/>
  <c r="N8" s="1"/>
  <c r="M7"/>
  <c r="M6"/>
  <c r="N6" s="1"/>
  <c r="M5"/>
  <c r="M4"/>
  <c r="M34" s="1"/>
  <c r="M35" s="1"/>
  <c r="M36" s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4"/>
  <c r="K36"/>
  <c r="K34"/>
  <c r="K35" s="1"/>
  <c r="J6"/>
  <c r="J10"/>
  <c r="J14"/>
  <c r="J18"/>
  <c r="J22"/>
  <c r="J24"/>
  <c r="J26"/>
  <c r="J27"/>
  <c r="J28"/>
  <c r="J30"/>
  <c r="J32"/>
  <c r="I35"/>
  <c r="I36" s="1"/>
  <c r="I33"/>
  <c r="J33" s="1"/>
  <c r="I32"/>
  <c r="I31"/>
  <c r="J31" s="1"/>
  <c r="I30"/>
  <c r="I29"/>
  <c r="J29" s="1"/>
  <c r="I28"/>
  <c r="I26"/>
  <c r="I25"/>
  <c r="J25" s="1"/>
  <c r="I23"/>
  <c r="J23" s="1"/>
  <c r="I24"/>
  <c r="I22"/>
  <c r="I21"/>
  <c r="J21" s="1"/>
  <c r="I20"/>
  <c r="J20" s="1"/>
  <c r="I19"/>
  <c r="J19" s="1"/>
  <c r="I18"/>
  <c r="I17"/>
  <c r="J17" s="1"/>
  <c r="I16"/>
  <c r="J16" s="1"/>
  <c r="I15"/>
  <c r="J15" s="1"/>
  <c r="I14"/>
  <c r="I13"/>
  <c r="J13" s="1"/>
  <c r="I12"/>
  <c r="J12" s="1"/>
  <c r="I11"/>
  <c r="J11" s="1"/>
  <c r="I10"/>
  <c r="I9"/>
  <c r="J9" s="1"/>
  <c r="I8"/>
  <c r="J8" s="1"/>
  <c r="I7"/>
  <c r="J7" s="1"/>
  <c r="I6"/>
  <c r="I5"/>
  <c r="J5" s="1"/>
  <c r="I4"/>
  <c r="I34" s="1"/>
  <c r="H23"/>
  <c r="H5"/>
  <c r="H6"/>
  <c r="H7"/>
  <c r="H8"/>
  <c r="H9"/>
  <c r="H10"/>
  <c r="H11"/>
  <c r="H12"/>
  <c r="H13"/>
  <c r="H14"/>
  <c r="H15"/>
  <c r="H16"/>
  <c r="H17"/>
  <c r="H18"/>
  <c r="H19"/>
  <c r="H20"/>
  <c r="H21"/>
  <c r="H22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G4"/>
  <c r="H4" s="1"/>
  <c r="F5"/>
  <c r="F7"/>
  <c r="F9"/>
  <c r="F11"/>
  <c r="F13"/>
  <c r="F15"/>
  <c r="F17"/>
  <c r="F19"/>
  <c r="F21"/>
  <c r="F23"/>
  <c r="F25"/>
  <c r="F27"/>
  <c r="F29"/>
  <c r="F31"/>
  <c r="F33"/>
  <c r="D33"/>
  <c r="D32"/>
  <c r="D31"/>
  <c r="O31" s="1"/>
  <c r="D30"/>
  <c r="D29"/>
  <c r="O29" s="1"/>
  <c r="D28"/>
  <c r="D27"/>
  <c r="O27" s="1"/>
  <c r="D26"/>
  <c r="D25"/>
  <c r="O25" s="1"/>
  <c r="D24"/>
  <c r="D23"/>
  <c r="O23" s="1"/>
  <c r="D22"/>
  <c r="D21"/>
  <c r="O21" s="1"/>
  <c r="D20"/>
  <c r="D19"/>
  <c r="O19" s="1"/>
  <c r="D18"/>
  <c r="D17"/>
  <c r="O17" s="1"/>
  <c r="D16"/>
  <c r="D15"/>
  <c r="O15" s="1"/>
  <c r="D14"/>
  <c r="D13"/>
  <c r="O13" s="1"/>
  <c r="D12"/>
  <c r="D11"/>
  <c r="O11" s="1"/>
  <c r="D10"/>
  <c r="D9"/>
  <c r="O9" s="1"/>
  <c r="D8"/>
  <c r="D7"/>
  <c r="O7" s="1"/>
  <c r="D6"/>
  <c r="D5"/>
  <c r="AA5" i="4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4"/>
  <c r="M34" s="1"/>
  <c r="M35" s="1"/>
  <c r="M36" s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4"/>
  <c r="L34" s="1"/>
  <c r="L35" s="1"/>
  <c r="L36" s="1"/>
  <c r="G33" i="1"/>
  <c r="D33"/>
  <c r="E33"/>
  <c r="F33"/>
  <c r="E9" i="2"/>
  <c r="F9"/>
  <c r="L9"/>
  <c r="M9"/>
  <c r="E8"/>
  <c r="F8"/>
  <c r="C9"/>
  <c r="C8"/>
  <c r="L8"/>
  <c r="M8"/>
  <c r="J9"/>
  <c r="J8"/>
  <c r="E34" i="1"/>
  <c r="F34"/>
  <c r="G34"/>
  <c r="C34"/>
  <c r="C33"/>
  <c r="D34" i="5" l="1"/>
  <c r="D35" s="1"/>
  <c r="D36" s="1"/>
  <c r="O5"/>
  <c r="O33"/>
  <c r="H34"/>
  <c r="H35" s="1"/>
  <c r="H36" s="1"/>
  <c r="G34"/>
  <c r="G35" s="1"/>
  <c r="G36" s="1"/>
  <c r="N4"/>
  <c r="N34" s="1"/>
  <c r="N35" s="1"/>
  <c r="N36" s="1"/>
  <c r="D35" i="6"/>
  <c r="D36" s="1"/>
  <c r="D37" s="1"/>
  <c r="AA35" i="4"/>
  <c r="AA36" s="1"/>
  <c r="AA37" s="1"/>
  <c r="J4" i="5"/>
  <c r="J34" s="1"/>
  <c r="J35" s="1"/>
  <c r="J36" s="1"/>
  <c r="L34"/>
  <c r="L35" s="1"/>
  <c r="L36" s="1"/>
  <c r="O32"/>
  <c r="O30"/>
  <c r="O28"/>
  <c r="O26"/>
  <c r="O24"/>
  <c r="O22"/>
  <c r="O20"/>
  <c r="O18"/>
  <c r="O16"/>
  <c r="O14"/>
  <c r="O12"/>
  <c r="O10"/>
  <c r="O8"/>
  <c r="O6"/>
  <c r="E34"/>
  <c r="E35" s="1"/>
  <c r="E36" s="1"/>
  <c r="F4"/>
  <c r="C34"/>
  <c r="C35" s="1"/>
  <c r="C36" s="1"/>
  <c r="M13" i="6"/>
  <c r="O13" s="1"/>
  <c r="M17"/>
  <c r="O17" s="1"/>
  <c r="M16"/>
  <c r="O16" s="1"/>
  <c r="E35"/>
  <c r="E36" s="1"/>
  <c r="E37" s="1"/>
  <c r="G35"/>
  <c r="G36" s="1"/>
  <c r="G37" s="1"/>
  <c r="J5"/>
  <c r="J35" s="1"/>
  <c r="J36" s="1"/>
  <c r="J37" s="1"/>
  <c r="I29" i="3"/>
  <c r="I27"/>
  <c r="I25"/>
  <c r="I23"/>
  <c r="I21"/>
  <c r="I19"/>
  <c r="I17"/>
  <c r="I15"/>
  <c r="I13"/>
  <c r="I5"/>
  <c r="I3"/>
  <c r="F35" i="6"/>
  <c r="F36" s="1"/>
  <c r="F37" s="1"/>
  <c r="I28" i="3"/>
  <c r="I26"/>
  <c r="I24"/>
  <c r="I22"/>
  <c r="I20"/>
  <c r="I18"/>
  <c r="I16"/>
  <c r="I14"/>
  <c r="I11"/>
  <c r="I9"/>
  <c r="I7"/>
  <c r="I4"/>
  <c r="I33" s="1"/>
  <c r="I34" s="1"/>
  <c r="I35" s="1"/>
  <c r="H39" i="10"/>
  <c r="H40" s="1"/>
  <c r="H41" s="1"/>
  <c r="J9"/>
  <c r="J39" s="1"/>
  <c r="J40" s="1"/>
  <c r="J41" s="1"/>
  <c r="Q38" i="8"/>
  <c r="Q39" s="1"/>
  <c r="Q40" s="1"/>
  <c r="BT10"/>
  <c r="BT38" s="1"/>
  <c r="BT39" s="1"/>
  <c r="BT40" s="1"/>
  <c r="G39" i="10"/>
  <c r="G40" s="1"/>
  <c r="G41" s="1"/>
  <c r="X11" i="2"/>
  <c r="I10" i="3"/>
  <c r="I8"/>
  <c r="I6"/>
  <c r="E33"/>
  <c r="E34" s="1"/>
  <c r="E35" s="1"/>
  <c r="BJ38" i="8"/>
  <c r="BJ39" s="1"/>
  <c r="BJ40" s="1"/>
  <c r="BS38"/>
  <c r="BS39" s="1"/>
  <c r="BS40" s="1"/>
  <c r="BA38"/>
  <c r="BA39" s="1"/>
  <c r="BA40" s="1"/>
  <c r="AR38"/>
  <c r="AR39" s="1"/>
  <c r="AR40" s="1"/>
  <c r="AI38"/>
  <c r="AI39" s="1"/>
  <c r="AI40" s="1"/>
  <c r="H33" i="3"/>
  <c r="H34" s="1"/>
  <c r="H35" s="1"/>
  <c r="M5" i="6" l="1"/>
  <c r="F34" i="5"/>
  <c r="F35" s="1"/>
  <c r="F36" s="1"/>
  <c r="O4"/>
  <c r="O34" s="1"/>
  <c r="O35" s="1"/>
  <c r="O36" s="1"/>
  <c r="M35" i="6" l="1"/>
  <c r="M36" s="1"/>
  <c r="M37" s="1"/>
  <c r="O5"/>
  <c r="O36" s="1"/>
  <c r="O37" s="1"/>
</calcChain>
</file>

<file path=xl/sharedStrings.xml><?xml version="1.0" encoding="utf-8"?>
<sst xmlns="http://schemas.openxmlformats.org/spreadsheetml/2006/main" count="527" uniqueCount="183">
  <si>
    <t>No</t>
  </si>
  <si>
    <t>Nama Petani Responden</t>
  </si>
  <si>
    <t>Umur</t>
  </si>
  <si>
    <t>(Tahun)</t>
  </si>
  <si>
    <t>Pendiidikan</t>
  </si>
  <si>
    <t>Terakhir</t>
  </si>
  <si>
    <t xml:space="preserve">Penglaman </t>
  </si>
  <si>
    <t>Ber-Ut</t>
  </si>
  <si>
    <t xml:space="preserve">Jumlah </t>
  </si>
  <si>
    <t>Tanggungan Keluarga</t>
  </si>
  <si>
    <t xml:space="preserve">Luas Areal </t>
  </si>
  <si>
    <t>Status Lahan</t>
  </si>
  <si>
    <t>Aq. Noval</t>
  </si>
  <si>
    <t>Mahmuludin</t>
  </si>
  <si>
    <t>H. Wildan</t>
  </si>
  <si>
    <t>Jupriadi</t>
  </si>
  <si>
    <t>Aq. Mashar</t>
  </si>
  <si>
    <t xml:space="preserve">Sukar </t>
  </si>
  <si>
    <t>Usman Hadi</t>
  </si>
  <si>
    <t>Mihardi</t>
  </si>
  <si>
    <t>Aq. Masrun</t>
  </si>
  <si>
    <t>Samsudin</t>
  </si>
  <si>
    <t>Fahrudin</t>
  </si>
  <si>
    <t>H. sapi’i</t>
  </si>
  <si>
    <t>Abdullah</t>
  </si>
  <si>
    <t>Sahuri</t>
  </si>
  <si>
    <t>Supiandi</t>
  </si>
  <si>
    <t>Tuhfatuz</t>
  </si>
  <si>
    <t>L. Irwan</t>
  </si>
  <si>
    <t>L. Rohasidin</t>
  </si>
  <si>
    <t>H. Musipadir</t>
  </si>
  <si>
    <t>Aq. Faizul</t>
  </si>
  <si>
    <t>Aq. Riska</t>
  </si>
  <si>
    <t>H. M. Yasin</t>
  </si>
  <si>
    <t>L. Ah. Yani</t>
  </si>
  <si>
    <t>Aq. Hairun</t>
  </si>
  <si>
    <t>Aq. Hidayah</t>
  </si>
  <si>
    <t>Aq. Hadijah</t>
  </si>
  <si>
    <t>Aq. Raudatul</t>
  </si>
  <si>
    <t>Aq. Srihadi</t>
  </si>
  <si>
    <t>Khairurrozi</t>
  </si>
  <si>
    <t>H. Marzuki</t>
  </si>
  <si>
    <t>SMA</t>
  </si>
  <si>
    <t>SD</t>
  </si>
  <si>
    <t>SMP</t>
  </si>
  <si>
    <t>S1</t>
  </si>
  <si>
    <t>TTSD</t>
  </si>
  <si>
    <t>Milik Sendiri</t>
  </si>
  <si>
    <t xml:space="preserve">       Jumlah</t>
  </si>
  <si>
    <t xml:space="preserve">           Rata-Rata</t>
  </si>
  <si>
    <t>Dedi Irawan</t>
  </si>
  <si>
    <t>Maryamah</t>
  </si>
  <si>
    <t>Nurdi Ibrahim</t>
  </si>
  <si>
    <t>Marni</t>
  </si>
  <si>
    <t>Aq. Mahrif</t>
  </si>
  <si>
    <t>H. Parihun</t>
  </si>
  <si>
    <t>KETERANGAN PEDAGANG PENGEPUL</t>
  </si>
  <si>
    <t>KETERANGAN PEDAGANG BESAR</t>
  </si>
  <si>
    <t xml:space="preserve"> </t>
  </si>
  <si>
    <t>(Ha)</t>
  </si>
  <si>
    <t>Sewa Lahan</t>
  </si>
  <si>
    <t>(Rp)</t>
  </si>
  <si>
    <t>Total Biaya</t>
  </si>
  <si>
    <t>Penyusutan</t>
  </si>
  <si>
    <t>Nama Pengepul Responden</t>
  </si>
  <si>
    <t>Jumlah</t>
  </si>
  <si>
    <t>1,00</t>
  </si>
  <si>
    <t>Nilai (Rp)</t>
  </si>
  <si>
    <t>Umur (Bulan)</t>
  </si>
  <si>
    <t>Penyusutan (Rp)</t>
  </si>
  <si>
    <t>Sabit</t>
  </si>
  <si>
    <t>Unit</t>
  </si>
  <si>
    <t>Sprayer</t>
  </si>
  <si>
    <t>Ember</t>
  </si>
  <si>
    <t>Luas Lahan (Ha)</t>
  </si>
  <si>
    <t>Cangkul</t>
  </si>
  <si>
    <t>Rerata/LLG</t>
  </si>
  <si>
    <t>Rerata/Ha</t>
  </si>
  <si>
    <t>11,17</t>
  </si>
  <si>
    <t>No.</t>
  </si>
  <si>
    <t>Total Penyusutan (Rp)</t>
  </si>
  <si>
    <t xml:space="preserve">           Rerata/LLG</t>
  </si>
  <si>
    <t xml:space="preserve">Pajak </t>
  </si>
  <si>
    <t>Gaji Pengelola</t>
  </si>
  <si>
    <t>Alat (Rp)</t>
  </si>
  <si>
    <t>Bunga</t>
  </si>
  <si>
    <t>Modal (Rp)</t>
  </si>
  <si>
    <t>Tetap (Rp)</t>
  </si>
  <si>
    <t>Bibit</t>
  </si>
  <si>
    <t>(Biji)</t>
  </si>
  <si>
    <t>Harga</t>
  </si>
  <si>
    <t>SP-36</t>
  </si>
  <si>
    <t>ZA</t>
  </si>
  <si>
    <t>Urea</t>
  </si>
  <si>
    <t>(Kg)</t>
  </si>
  <si>
    <t>Ponska (+)</t>
  </si>
  <si>
    <t>TSP</t>
  </si>
  <si>
    <t>Total  Biaya (Rp)</t>
  </si>
  <si>
    <t>Dupon</t>
  </si>
  <si>
    <t>(Botol)</t>
  </si>
  <si>
    <t>Ozen</t>
  </si>
  <si>
    <t>Abastar</t>
  </si>
  <si>
    <t>Pupuk Daun</t>
  </si>
  <si>
    <t>Antrakol</t>
  </si>
  <si>
    <t>Total Saprodi</t>
  </si>
  <si>
    <t>27.000.000</t>
  </si>
  <si>
    <t>HOK</t>
  </si>
  <si>
    <t>Hari</t>
  </si>
  <si>
    <t>Penanaman</t>
  </si>
  <si>
    <t>Pemupukan</t>
  </si>
  <si>
    <t>Penyemprotan</t>
  </si>
  <si>
    <t>Pemasangan Mulsa</t>
  </si>
  <si>
    <t>Pengairan</t>
  </si>
  <si>
    <t>Pembuatan Pundukan</t>
  </si>
  <si>
    <t>Panen</t>
  </si>
  <si>
    <t>Luas Areal (Ha)</t>
  </si>
  <si>
    <t>Orang</t>
  </si>
  <si>
    <t>Total Upah</t>
  </si>
  <si>
    <t>Upah Per Ha (Rp)</t>
  </si>
  <si>
    <t>Penggarapan (Traktor)</t>
  </si>
  <si>
    <t>Total</t>
  </si>
  <si>
    <t>Luas Areal</t>
  </si>
  <si>
    <t>Produksi Basah</t>
  </si>
  <si>
    <t>Harga Jual</t>
  </si>
  <si>
    <t>Pendapatan</t>
  </si>
  <si>
    <t xml:space="preserve">Total Biaya </t>
  </si>
  <si>
    <t xml:space="preserve">Keuntungan </t>
  </si>
  <si>
    <t>TK</t>
  </si>
  <si>
    <t>Pajak</t>
  </si>
  <si>
    <t>Penyusutan Alat (Rp)</t>
  </si>
  <si>
    <t>Bunga Modal (Rp)</t>
  </si>
  <si>
    <t>Biaya TK</t>
  </si>
  <si>
    <t>Total Biaya Tetap (Rp)</t>
  </si>
  <si>
    <t>Uraian</t>
  </si>
  <si>
    <t>Uraian (Rp/Kg)</t>
  </si>
  <si>
    <t>Share Margin (%)</t>
  </si>
  <si>
    <t>Petani</t>
  </si>
  <si>
    <t>Harga Jual Petani</t>
  </si>
  <si>
    <t>Profit</t>
  </si>
  <si>
    <t>Pengepul</t>
  </si>
  <si>
    <t>Biaya Sewa Gedung</t>
  </si>
  <si>
    <t>Biaya Penyusutan Alat</t>
  </si>
  <si>
    <t>Biaya Pemasaran</t>
  </si>
  <si>
    <t>Margin Pemasaran</t>
  </si>
  <si>
    <t>Harga Jual Pengepul</t>
  </si>
  <si>
    <t>Saluaran</t>
  </si>
  <si>
    <t>Pemasran</t>
  </si>
  <si>
    <t>Biaya transportasi</t>
  </si>
  <si>
    <t>(Rp/Kg)</t>
  </si>
  <si>
    <t>Biaya Bongkar</t>
  </si>
  <si>
    <t xml:space="preserve">Haraga </t>
  </si>
  <si>
    <t>Jual</t>
  </si>
  <si>
    <t>Total Biaya Pemasaran</t>
  </si>
  <si>
    <t>EP %</t>
  </si>
  <si>
    <t>PB</t>
  </si>
  <si>
    <t>-</t>
  </si>
  <si>
    <t>Pedagang Besar</t>
  </si>
  <si>
    <t>Biaya Transportasi</t>
  </si>
  <si>
    <t>No P.Pengepul</t>
  </si>
  <si>
    <t>Beli Dari</t>
  </si>
  <si>
    <t>Haraga Beli PP(Rp/Kg)</t>
  </si>
  <si>
    <t>Nilai Penerimaan (Rp)</t>
  </si>
  <si>
    <t>Harga Jual PP (Rp/Kg)</t>
  </si>
  <si>
    <t>Jumlah Pembelian PP (Kg)</t>
  </si>
  <si>
    <t>Harga Jual PB (Rp/Kg)</t>
  </si>
  <si>
    <t>Haraga Beli PB (Rp/Kg)</t>
  </si>
  <si>
    <t>Jumlah Pembelian PB (Kg)</t>
  </si>
  <si>
    <t>Harga Jual Pedagang Besar</t>
  </si>
  <si>
    <t>3.70.000</t>
  </si>
  <si>
    <t>258.666.7</t>
  </si>
  <si>
    <t>474.666.67</t>
  </si>
  <si>
    <t>1.113.333,3</t>
  </si>
  <si>
    <t>3.33.333</t>
  </si>
  <si>
    <t>Kisaran Umur</t>
  </si>
  <si>
    <t>Jumlah Orang</t>
  </si>
  <si>
    <t>Persentase (%)</t>
  </si>
  <si>
    <t>6,67</t>
  </si>
  <si>
    <t>43,33</t>
  </si>
  <si>
    <t>33,33</t>
  </si>
  <si>
    <t>13,33</t>
  </si>
  <si>
    <t>3,34</t>
  </si>
  <si>
    <t>100,00</t>
  </si>
  <si>
    <t>6 000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</si>
</sst>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3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/>
    </xf>
    <xf numFmtId="0" fontId="3" fillId="0" borderId="2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Alignment="1">
      <alignment horizontal="right"/>
    </xf>
    <xf numFmtId="0" fontId="4" fillId="0" borderId="25" xfId="0" applyFont="1" applyBorder="1" applyAlignment="1">
      <alignment horizontal="right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0" applyNumberFormat="1" applyBorder="1"/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1" fontId="0" fillId="0" borderId="17" xfId="0" applyNumberFormat="1" applyBorder="1"/>
    <xf numFmtId="1" fontId="0" fillId="0" borderId="18" xfId="0" applyNumberFormat="1" applyBorder="1"/>
    <xf numFmtId="1" fontId="0" fillId="0" borderId="16" xfId="0" applyNumberFormat="1" applyBorder="1"/>
    <xf numFmtId="1" fontId="2" fillId="0" borderId="17" xfId="0" applyNumberFormat="1" applyFont="1" applyBorder="1" applyAlignment="1">
      <alignment horizontal="right"/>
    </xf>
    <xf numFmtId="1" fontId="2" fillId="0" borderId="17" xfId="0" applyNumberFormat="1" applyFont="1" applyBorder="1"/>
    <xf numFmtId="0" fontId="3" fillId="0" borderId="12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17" xfId="0" applyFont="1" applyBorder="1" applyAlignment="1">
      <alignment horizontal="justify" vertical="top" wrapText="1"/>
    </xf>
    <xf numFmtId="0" fontId="0" fillId="0" borderId="29" xfId="0" applyBorder="1"/>
    <xf numFmtId="0" fontId="2" fillId="0" borderId="18" xfId="0" applyFont="1" applyFill="1" applyBorder="1" applyAlignment="1">
      <alignment horizontal="justify" vertical="top" wrapText="1"/>
    </xf>
    <xf numFmtId="0" fontId="2" fillId="0" borderId="11" xfId="0" applyFont="1" applyBorder="1" applyAlignment="1">
      <alignment horizontal="center" vertical="top" wrapText="1"/>
    </xf>
    <xf numFmtId="2" fontId="2" fillId="0" borderId="11" xfId="0" applyNumberFormat="1" applyFont="1" applyBorder="1" applyAlignment="1">
      <alignment horizontal="center" vertical="top" wrapText="1"/>
    </xf>
    <xf numFmtId="0" fontId="0" fillId="0" borderId="12" xfId="0" applyBorder="1"/>
    <xf numFmtId="0" fontId="2" fillId="0" borderId="11" xfId="0" applyFont="1" applyBorder="1"/>
    <xf numFmtId="1" fontId="4" fillId="0" borderId="17" xfId="0" applyNumberFormat="1" applyFont="1" applyBorder="1" applyAlignment="1">
      <alignment horizontal="right"/>
    </xf>
    <xf numFmtId="1" fontId="6" fillId="0" borderId="17" xfId="0" applyNumberFormat="1" applyFont="1" applyBorder="1" applyAlignment="1">
      <alignment horizontal="right"/>
    </xf>
    <xf numFmtId="1" fontId="7" fillId="0" borderId="17" xfId="0" applyNumberFormat="1" applyFont="1" applyBorder="1" applyAlignment="1">
      <alignment horizontal="right"/>
    </xf>
    <xf numFmtId="0" fontId="2" fillId="0" borderId="17" xfId="0" applyFont="1" applyBorder="1" applyAlignment="1">
      <alignment horizontal="center" vertical="top" wrapText="1"/>
    </xf>
    <xf numFmtId="164" fontId="2" fillId="0" borderId="17" xfId="0" applyNumberFormat="1" applyFont="1" applyBorder="1" applyAlignment="1">
      <alignment horizontal="center" vertical="top" wrapText="1"/>
    </xf>
    <xf numFmtId="0" fontId="2" fillId="0" borderId="11" xfId="0" applyFont="1" applyBorder="1" applyAlignment="1">
      <alignment horizontal="right"/>
    </xf>
    <xf numFmtId="2" fontId="2" fillId="0" borderId="11" xfId="0" applyNumberFormat="1" applyFont="1" applyBorder="1"/>
    <xf numFmtId="2" fontId="0" fillId="0" borderId="12" xfId="0" applyNumberFormat="1" applyBorder="1"/>
    <xf numFmtId="1" fontId="2" fillId="0" borderId="11" xfId="0" applyNumberFormat="1" applyFont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5" fillId="0" borderId="0" xfId="0" applyFont="1"/>
    <xf numFmtId="0" fontId="3" fillId="0" borderId="0" xfId="0" applyFont="1" applyAlignment="1">
      <alignment horizontal="justify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0" xfId="0" applyBorder="1" applyAlignment="1"/>
    <xf numFmtId="0" fontId="2" fillId="0" borderId="27" xfId="0" applyFont="1" applyBorder="1" applyAlignment="1">
      <alignment horizontal="center" wrapText="1"/>
    </xf>
    <xf numFmtId="0" fontId="0" fillId="0" borderId="9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/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0" fillId="0" borderId="23" xfId="0" applyBorder="1"/>
    <xf numFmtId="0" fontId="5" fillId="0" borderId="15" xfId="0" applyFont="1" applyBorder="1" applyAlignment="1">
      <alignment horizontal="center" wrapText="1"/>
    </xf>
    <xf numFmtId="0" fontId="0" fillId="0" borderId="21" xfId="0" applyBorder="1"/>
    <xf numFmtId="0" fontId="0" fillId="0" borderId="21" xfId="0" applyBorder="1" applyAlignment="1">
      <alignment wrapText="1"/>
    </xf>
    <xf numFmtId="0" fontId="3" fillId="0" borderId="3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14" xfId="0" applyFont="1" applyBorder="1" applyAlignment="1">
      <alignment horizontal="center"/>
    </xf>
    <xf numFmtId="0" fontId="5" fillId="0" borderId="38" xfId="0" applyFont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0" fillId="0" borderId="39" xfId="0" applyBorder="1"/>
    <xf numFmtId="0" fontId="3" fillId="0" borderId="39" xfId="0" applyFont="1" applyBorder="1" applyAlignment="1">
      <alignment horizontal="center"/>
    </xf>
    <xf numFmtId="0" fontId="0" fillId="0" borderId="28" xfId="0" applyBorder="1" applyAlignment="1">
      <alignment wrapText="1"/>
    </xf>
    <xf numFmtId="0" fontId="5" fillId="0" borderId="40" xfId="0" applyFont="1" applyBorder="1" applyAlignment="1">
      <alignment horizontal="center" wrapText="1"/>
    </xf>
    <xf numFmtId="0" fontId="5" fillId="0" borderId="41" xfId="0" applyFont="1" applyBorder="1" applyAlignment="1">
      <alignment horizontal="center" wrapText="1"/>
    </xf>
    <xf numFmtId="0" fontId="5" fillId="0" borderId="42" xfId="0" applyFont="1" applyBorder="1" applyAlignment="1">
      <alignment horizontal="center" wrapText="1"/>
    </xf>
    <xf numFmtId="0" fontId="0" fillId="0" borderId="42" xfId="0" applyBorder="1"/>
    <xf numFmtId="0" fontId="0" fillId="0" borderId="30" xfId="0" applyBorder="1" applyAlignment="1">
      <alignment wrapText="1"/>
    </xf>
    <xf numFmtId="0" fontId="9" fillId="0" borderId="23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4" xfId="0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0" xfId="0" applyFont="1"/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5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4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justify" vertical="top" wrapText="1"/>
    </xf>
    <xf numFmtId="0" fontId="2" fillId="0" borderId="17" xfId="0" applyFont="1" applyBorder="1" applyAlignment="1">
      <alignment horizontal="justify" vertical="top" wrapText="1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27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43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44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O3" sqref="O3"/>
    </sheetView>
  </sheetViews>
  <sheetFormatPr defaultRowHeight="15"/>
  <cols>
    <col min="1" max="1" width="4.625" customWidth="1"/>
    <col min="12" max="12" width="5.875" customWidth="1"/>
    <col min="15" max="15" width="13.25" customWidth="1"/>
  </cols>
  <sheetData>
    <row r="1" spans="1:18" ht="15.75" thickBot="1">
      <c r="A1" s="186" t="s">
        <v>0</v>
      </c>
      <c r="B1" s="186" t="s">
        <v>1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88" t="s">
        <v>11</v>
      </c>
    </row>
    <row r="2" spans="1:18" ht="32.25" thickBot="1">
      <c r="A2" s="187"/>
      <c r="B2" s="187"/>
      <c r="C2" s="2" t="s">
        <v>3</v>
      </c>
      <c r="D2" s="2" t="s">
        <v>5</v>
      </c>
      <c r="E2" s="2" t="s">
        <v>7</v>
      </c>
      <c r="F2" s="2" t="s">
        <v>9</v>
      </c>
      <c r="G2" s="2" t="s">
        <v>59</v>
      </c>
      <c r="H2" s="189"/>
      <c r="L2" s="179" t="s">
        <v>0</v>
      </c>
      <c r="M2" s="180" t="s">
        <v>173</v>
      </c>
      <c r="N2" s="180" t="s">
        <v>174</v>
      </c>
      <c r="O2" s="180" t="s">
        <v>175</v>
      </c>
    </row>
    <row r="3" spans="1:18" ht="15.75">
      <c r="A3" s="3">
        <v>1</v>
      </c>
      <c r="B3" s="4" t="s">
        <v>12</v>
      </c>
      <c r="C3" s="5">
        <v>35</v>
      </c>
      <c r="D3" s="5" t="s">
        <v>42</v>
      </c>
      <c r="E3" s="5">
        <v>15</v>
      </c>
      <c r="F3" s="5">
        <v>2</v>
      </c>
      <c r="G3" s="5">
        <v>0.1</v>
      </c>
      <c r="H3" s="5" t="s">
        <v>47</v>
      </c>
      <c r="L3" s="170">
        <v>1</v>
      </c>
      <c r="M3" s="160"/>
      <c r="N3" s="160">
        <v>2</v>
      </c>
      <c r="O3" s="160" t="s">
        <v>176</v>
      </c>
    </row>
    <row r="4" spans="1:18" ht="15.75">
      <c r="A4" s="3">
        <v>2</v>
      </c>
      <c r="B4" s="4" t="s">
        <v>13</v>
      </c>
      <c r="C4" s="5">
        <v>30</v>
      </c>
      <c r="D4" s="5" t="s">
        <v>42</v>
      </c>
      <c r="E4" s="5">
        <v>20</v>
      </c>
      <c r="F4" s="5">
        <v>4</v>
      </c>
      <c r="G4" s="5">
        <v>0.2</v>
      </c>
      <c r="H4" s="5" t="s">
        <v>47</v>
      </c>
      <c r="L4" s="170">
        <v>2</v>
      </c>
      <c r="M4" s="160"/>
      <c r="N4" s="160">
        <v>13</v>
      </c>
      <c r="O4" s="160" t="s">
        <v>177</v>
      </c>
      <c r="R4" t="s">
        <v>58</v>
      </c>
    </row>
    <row r="5" spans="1:18" ht="15.75">
      <c r="A5" s="3">
        <v>3</v>
      </c>
      <c r="B5" s="4" t="s">
        <v>14</v>
      </c>
      <c r="C5" s="5">
        <v>42</v>
      </c>
      <c r="D5" s="5" t="s">
        <v>43</v>
      </c>
      <c r="E5" s="5">
        <v>25</v>
      </c>
      <c r="F5" s="5">
        <v>4</v>
      </c>
      <c r="G5" s="5">
        <v>0.12</v>
      </c>
      <c r="H5" s="5" t="s">
        <v>47</v>
      </c>
      <c r="L5" s="170">
        <v>3</v>
      </c>
      <c r="M5" s="160"/>
      <c r="N5" s="160">
        <v>10</v>
      </c>
      <c r="O5" s="160" t="s">
        <v>178</v>
      </c>
      <c r="Q5" t="s">
        <v>58</v>
      </c>
    </row>
    <row r="6" spans="1:18" ht="15.75">
      <c r="A6" s="3">
        <v>4</v>
      </c>
      <c r="B6" s="4" t="s">
        <v>15</v>
      </c>
      <c r="C6" s="5">
        <v>35</v>
      </c>
      <c r="D6" s="5" t="s">
        <v>42</v>
      </c>
      <c r="E6" s="5">
        <v>15</v>
      </c>
      <c r="F6" s="5">
        <v>2</v>
      </c>
      <c r="G6" s="5">
        <v>0.1</v>
      </c>
      <c r="H6" s="5" t="s">
        <v>47</v>
      </c>
      <c r="L6" s="170">
        <v>4</v>
      </c>
      <c r="M6" s="160"/>
      <c r="N6" s="160">
        <v>4</v>
      </c>
      <c r="O6" s="160" t="s">
        <v>179</v>
      </c>
    </row>
    <row r="7" spans="1:18" ht="16.5" thickBot="1">
      <c r="A7" s="3">
        <v>5</v>
      </c>
      <c r="B7" s="4" t="s">
        <v>16</v>
      </c>
      <c r="C7" s="5">
        <v>40</v>
      </c>
      <c r="D7" s="5" t="s">
        <v>44</v>
      </c>
      <c r="E7" s="5">
        <v>20</v>
      </c>
      <c r="F7" s="5">
        <v>5</v>
      </c>
      <c r="G7" s="5">
        <v>0.08</v>
      </c>
      <c r="H7" s="5" t="s">
        <v>47</v>
      </c>
      <c r="L7" s="171">
        <v>5</v>
      </c>
      <c r="M7" s="181"/>
      <c r="N7" s="181">
        <v>1</v>
      </c>
      <c r="O7" s="181" t="s">
        <v>180</v>
      </c>
    </row>
    <row r="8" spans="1:18" ht="16.5" thickBot="1">
      <c r="A8" s="3">
        <v>6</v>
      </c>
      <c r="B8" s="4" t="s">
        <v>17</v>
      </c>
      <c r="C8" s="5">
        <v>35</v>
      </c>
      <c r="D8" s="5" t="s">
        <v>42</v>
      </c>
      <c r="E8" s="5">
        <v>10</v>
      </c>
      <c r="F8" s="5">
        <v>3</v>
      </c>
      <c r="G8" s="5">
        <v>0.25</v>
      </c>
      <c r="H8" s="5" t="s">
        <v>47</v>
      </c>
      <c r="L8" s="184" t="s">
        <v>65</v>
      </c>
      <c r="M8" s="185"/>
      <c r="N8" s="181">
        <v>30</v>
      </c>
      <c r="O8" s="181" t="s">
        <v>181</v>
      </c>
    </row>
    <row r="9" spans="1:18">
      <c r="A9" s="3">
        <v>7</v>
      </c>
      <c r="B9" s="4" t="s">
        <v>18</v>
      </c>
      <c r="C9" s="5">
        <v>43</v>
      </c>
      <c r="D9" s="5" t="s">
        <v>43</v>
      </c>
      <c r="E9" s="5">
        <v>10</v>
      </c>
      <c r="F9" s="5">
        <v>3</v>
      </c>
      <c r="G9" s="5">
        <v>0.25</v>
      </c>
      <c r="H9" s="5" t="s">
        <v>47</v>
      </c>
    </row>
    <row r="10" spans="1:18">
      <c r="A10" s="3">
        <v>8</v>
      </c>
      <c r="B10" s="4" t="s">
        <v>19</v>
      </c>
      <c r="C10" s="5">
        <v>37</v>
      </c>
      <c r="D10" s="5" t="s">
        <v>45</v>
      </c>
      <c r="E10" s="5">
        <v>10</v>
      </c>
      <c r="F10" s="5">
        <v>2</v>
      </c>
      <c r="G10" s="5">
        <v>0.35</v>
      </c>
      <c r="H10" s="5" t="s">
        <v>47</v>
      </c>
    </row>
    <row r="11" spans="1:18">
      <c r="A11" s="3">
        <v>9</v>
      </c>
      <c r="B11" s="4" t="s">
        <v>20</v>
      </c>
      <c r="C11" s="5">
        <v>51</v>
      </c>
      <c r="D11" s="5" t="s">
        <v>46</v>
      </c>
      <c r="E11" s="5">
        <v>14</v>
      </c>
      <c r="F11" s="5">
        <v>3</v>
      </c>
      <c r="G11" s="5">
        <v>0.3</v>
      </c>
      <c r="H11" s="5" t="s">
        <v>47</v>
      </c>
    </row>
    <row r="12" spans="1:18">
      <c r="A12" s="3">
        <v>10</v>
      </c>
      <c r="B12" s="4" t="s">
        <v>21</v>
      </c>
      <c r="C12" s="5">
        <v>39</v>
      </c>
      <c r="D12" s="5" t="s">
        <v>45</v>
      </c>
      <c r="E12" s="5">
        <v>13</v>
      </c>
      <c r="F12" s="5">
        <v>3</v>
      </c>
      <c r="G12" s="5">
        <v>0.2</v>
      </c>
      <c r="H12" s="5" t="s">
        <v>47</v>
      </c>
    </row>
    <row r="13" spans="1:18">
      <c r="A13" s="3">
        <v>11</v>
      </c>
      <c r="B13" s="4" t="s">
        <v>22</v>
      </c>
      <c r="C13" s="5">
        <v>45</v>
      </c>
      <c r="D13" s="5" t="s">
        <v>43</v>
      </c>
      <c r="E13" s="5">
        <v>15</v>
      </c>
      <c r="F13" s="5">
        <v>2</v>
      </c>
      <c r="G13" s="5">
        <v>0.1</v>
      </c>
      <c r="H13" s="5" t="s">
        <v>47</v>
      </c>
    </row>
    <row r="14" spans="1:18">
      <c r="A14" s="3">
        <v>12</v>
      </c>
      <c r="B14" s="4" t="s">
        <v>23</v>
      </c>
      <c r="C14" s="5">
        <v>49</v>
      </c>
      <c r="D14" s="5" t="s">
        <v>46</v>
      </c>
      <c r="E14" s="5">
        <v>24</v>
      </c>
      <c r="F14" s="5">
        <v>5</v>
      </c>
      <c r="G14" s="5">
        <v>0.25</v>
      </c>
      <c r="H14" s="5" t="s">
        <v>47</v>
      </c>
    </row>
    <row r="15" spans="1:18">
      <c r="A15" s="3">
        <v>13</v>
      </c>
      <c r="B15" s="4" t="s">
        <v>24</v>
      </c>
      <c r="C15" s="5">
        <v>35</v>
      </c>
      <c r="D15" s="5" t="s">
        <v>42</v>
      </c>
      <c r="E15" s="5">
        <v>8</v>
      </c>
      <c r="F15" s="5">
        <v>3</v>
      </c>
      <c r="G15" s="5">
        <v>0.23</v>
      </c>
      <c r="H15" s="5" t="s">
        <v>47</v>
      </c>
    </row>
    <row r="16" spans="1:18">
      <c r="A16" s="3">
        <v>14</v>
      </c>
      <c r="B16" s="4" t="s">
        <v>25</v>
      </c>
      <c r="C16" s="5">
        <v>40</v>
      </c>
      <c r="D16" s="5" t="s">
        <v>44</v>
      </c>
      <c r="E16" s="5">
        <v>20</v>
      </c>
      <c r="F16" s="5">
        <v>5</v>
      </c>
      <c r="G16" s="5">
        <v>0.35</v>
      </c>
      <c r="H16" s="5" t="s">
        <v>47</v>
      </c>
    </row>
    <row r="17" spans="1:8">
      <c r="A17" s="3">
        <v>15</v>
      </c>
      <c r="B17" s="4" t="s">
        <v>26</v>
      </c>
      <c r="C17" s="5">
        <v>35</v>
      </c>
      <c r="D17" s="5" t="s">
        <v>42</v>
      </c>
      <c r="E17" s="5">
        <v>24</v>
      </c>
      <c r="F17" s="5">
        <v>4</v>
      </c>
      <c r="G17" s="5">
        <v>0.27</v>
      </c>
      <c r="H17" s="5" t="s">
        <v>47</v>
      </c>
    </row>
    <row r="18" spans="1:8">
      <c r="A18" s="3">
        <v>16</v>
      </c>
      <c r="B18" s="4" t="s">
        <v>27</v>
      </c>
      <c r="C18" s="5">
        <v>32</v>
      </c>
      <c r="D18" s="5" t="s">
        <v>42</v>
      </c>
      <c r="E18" s="5">
        <v>15</v>
      </c>
      <c r="F18" s="5">
        <v>2</v>
      </c>
      <c r="G18" s="5">
        <v>0.12</v>
      </c>
      <c r="H18" s="5" t="s">
        <v>47</v>
      </c>
    </row>
    <row r="19" spans="1:8">
      <c r="A19" s="3">
        <v>17</v>
      </c>
      <c r="B19" s="4" t="s">
        <v>28</v>
      </c>
      <c r="C19" s="5">
        <v>38</v>
      </c>
      <c r="D19" s="5" t="s">
        <v>44</v>
      </c>
      <c r="E19" s="5">
        <v>24</v>
      </c>
      <c r="F19" s="5">
        <v>3</v>
      </c>
      <c r="G19" s="5">
        <v>0.28999999999999998</v>
      </c>
      <c r="H19" s="5" t="s">
        <v>47</v>
      </c>
    </row>
    <row r="20" spans="1:8">
      <c r="A20" s="3">
        <v>18</v>
      </c>
      <c r="B20" s="4" t="s">
        <v>29</v>
      </c>
      <c r="C20" s="5">
        <v>48</v>
      </c>
      <c r="D20" s="5" t="s">
        <v>43</v>
      </c>
      <c r="E20" s="5">
        <v>24</v>
      </c>
      <c r="F20" s="5">
        <v>4</v>
      </c>
      <c r="G20" s="5">
        <v>0.28000000000000003</v>
      </c>
      <c r="H20" s="5" t="s">
        <v>47</v>
      </c>
    </row>
    <row r="21" spans="1:8">
      <c r="A21" s="3">
        <v>19</v>
      </c>
      <c r="B21" s="4" t="s">
        <v>30</v>
      </c>
      <c r="C21" s="5">
        <v>47</v>
      </c>
      <c r="D21" s="5" t="s">
        <v>46</v>
      </c>
      <c r="E21" s="5">
        <v>27</v>
      </c>
      <c r="F21" s="5">
        <v>4</v>
      </c>
      <c r="G21" s="5">
        <v>0.38</v>
      </c>
      <c r="H21" s="5" t="s">
        <v>47</v>
      </c>
    </row>
    <row r="22" spans="1:8">
      <c r="A22" s="3">
        <v>20</v>
      </c>
      <c r="B22" s="4" t="s">
        <v>31</v>
      </c>
      <c r="C22" s="5">
        <v>37</v>
      </c>
      <c r="D22" s="5" t="s">
        <v>44</v>
      </c>
      <c r="E22" s="5">
        <v>10</v>
      </c>
      <c r="F22" s="5">
        <v>3</v>
      </c>
      <c r="G22" s="5">
        <v>0.1</v>
      </c>
      <c r="H22" s="5" t="s">
        <v>47</v>
      </c>
    </row>
    <row r="23" spans="1:8">
      <c r="A23" s="3">
        <v>21</v>
      </c>
      <c r="B23" s="4" t="s">
        <v>32</v>
      </c>
      <c r="C23" s="5">
        <v>53</v>
      </c>
      <c r="D23" s="5" t="s">
        <v>46</v>
      </c>
      <c r="E23" s="5">
        <v>35</v>
      </c>
      <c r="F23" s="5">
        <v>5</v>
      </c>
      <c r="G23" s="5">
        <v>0.08</v>
      </c>
      <c r="H23" s="5" t="s">
        <v>47</v>
      </c>
    </row>
    <row r="24" spans="1:8">
      <c r="A24" s="3">
        <v>22</v>
      </c>
      <c r="B24" s="4" t="s">
        <v>33</v>
      </c>
      <c r="C24" s="5">
        <v>47</v>
      </c>
      <c r="D24" s="5" t="s">
        <v>46</v>
      </c>
      <c r="E24" s="5">
        <v>26</v>
      </c>
      <c r="F24" s="5">
        <v>4</v>
      </c>
      <c r="G24" s="5">
        <v>0.24</v>
      </c>
      <c r="H24" s="5" t="s">
        <v>47</v>
      </c>
    </row>
    <row r="25" spans="1:8">
      <c r="A25" s="3">
        <v>23</v>
      </c>
      <c r="B25" s="4" t="s">
        <v>34</v>
      </c>
      <c r="C25" s="5">
        <v>50</v>
      </c>
      <c r="D25" s="5" t="s">
        <v>46</v>
      </c>
      <c r="E25" s="5">
        <v>27</v>
      </c>
      <c r="F25" s="5">
        <v>3</v>
      </c>
      <c r="G25" s="5">
        <v>0.2</v>
      </c>
      <c r="H25" s="5" t="s">
        <v>47</v>
      </c>
    </row>
    <row r="26" spans="1:8">
      <c r="A26" s="3">
        <v>24</v>
      </c>
      <c r="B26" s="4" t="s">
        <v>35</v>
      </c>
      <c r="C26" s="5">
        <v>47</v>
      </c>
      <c r="D26" s="5" t="s">
        <v>43</v>
      </c>
      <c r="E26" s="5">
        <v>27</v>
      </c>
      <c r="F26" s="5">
        <v>4</v>
      </c>
      <c r="G26" s="5">
        <v>0.1</v>
      </c>
      <c r="H26" s="5" t="s">
        <v>47</v>
      </c>
    </row>
    <row r="27" spans="1:8">
      <c r="A27" s="3">
        <v>25</v>
      </c>
      <c r="B27" s="4" t="s">
        <v>36</v>
      </c>
      <c r="C27" s="5">
        <v>75</v>
      </c>
      <c r="D27" s="5" t="s">
        <v>46</v>
      </c>
      <c r="E27" s="5">
        <v>51</v>
      </c>
      <c r="F27" s="5">
        <v>3</v>
      </c>
      <c r="G27" s="5">
        <v>0.14000000000000001</v>
      </c>
      <c r="H27" s="5" t="s">
        <v>47</v>
      </c>
    </row>
    <row r="28" spans="1:8">
      <c r="A28" s="3">
        <v>26</v>
      </c>
      <c r="B28" s="4" t="s">
        <v>37</v>
      </c>
      <c r="C28" s="5">
        <v>62</v>
      </c>
      <c r="D28" s="5" t="s">
        <v>46</v>
      </c>
      <c r="E28" s="5">
        <v>40</v>
      </c>
      <c r="F28" s="5">
        <v>4</v>
      </c>
      <c r="G28" s="5">
        <v>0.25</v>
      </c>
      <c r="H28" s="5" t="s">
        <v>47</v>
      </c>
    </row>
    <row r="29" spans="1:8">
      <c r="A29" s="3">
        <v>27</v>
      </c>
      <c r="B29" s="4" t="s">
        <v>38</v>
      </c>
      <c r="C29" s="5">
        <v>60</v>
      </c>
      <c r="D29" s="5" t="s">
        <v>46</v>
      </c>
      <c r="E29" s="5">
        <v>50</v>
      </c>
      <c r="F29" s="5">
        <v>7</v>
      </c>
      <c r="G29" s="5">
        <v>0.08</v>
      </c>
      <c r="H29" s="5" t="s">
        <v>47</v>
      </c>
    </row>
    <row r="30" spans="1:8">
      <c r="A30" s="3">
        <v>28</v>
      </c>
      <c r="B30" s="4" t="s">
        <v>39</v>
      </c>
      <c r="C30" s="5">
        <v>56</v>
      </c>
      <c r="D30" s="5" t="s">
        <v>46</v>
      </c>
      <c r="E30" s="5">
        <v>42</v>
      </c>
      <c r="F30" s="5">
        <v>2</v>
      </c>
      <c r="G30" s="5">
        <v>0.2</v>
      </c>
      <c r="H30" s="5" t="s">
        <v>47</v>
      </c>
    </row>
    <row r="31" spans="1:8">
      <c r="A31" s="3">
        <v>29</v>
      </c>
      <c r="B31" s="4" t="s">
        <v>40</v>
      </c>
      <c r="C31" s="5">
        <v>21</v>
      </c>
      <c r="D31" s="5" t="s">
        <v>42</v>
      </c>
      <c r="E31" s="5">
        <v>4</v>
      </c>
      <c r="F31" s="5">
        <v>3</v>
      </c>
      <c r="G31" s="5">
        <v>0.1</v>
      </c>
      <c r="H31" s="5" t="s">
        <v>47</v>
      </c>
    </row>
    <row r="32" spans="1:8" ht="15.75" thickBot="1">
      <c r="A32" s="6">
        <v>30</v>
      </c>
      <c r="B32" s="7" t="s">
        <v>41</v>
      </c>
      <c r="C32" s="8">
        <v>60</v>
      </c>
      <c r="D32" s="8" t="s">
        <v>43</v>
      </c>
      <c r="E32" s="8">
        <v>50</v>
      </c>
      <c r="F32" s="8">
        <v>2</v>
      </c>
      <c r="G32" s="8">
        <v>0.16</v>
      </c>
      <c r="H32" s="8" t="s">
        <v>47</v>
      </c>
    </row>
    <row r="33" spans="1:8" ht="15.75" thickBot="1">
      <c r="A33" s="190" t="s">
        <v>48</v>
      </c>
      <c r="B33" s="191"/>
      <c r="C33" s="8">
        <f>SUM(C3:C32)</f>
        <v>1324</v>
      </c>
      <c r="D33" s="8">
        <f t="shared" ref="D33:F33" si="0">SUM(D3:D32)</f>
        <v>0</v>
      </c>
      <c r="E33" s="8">
        <f t="shared" si="0"/>
        <v>695</v>
      </c>
      <c r="F33" s="8">
        <f t="shared" si="0"/>
        <v>103</v>
      </c>
      <c r="G33" s="8">
        <f>SUM(G3:G32)</f>
        <v>5.87</v>
      </c>
      <c r="H33" s="7"/>
    </row>
    <row r="34" spans="1:8" ht="15.75" thickBot="1">
      <c r="A34" s="182" t="s">
        <v>49</v>
      </c>
      <c r="B34" s="183"/>
      <c r="C34" s="9">
        <f>AVERAGE(C3:C32)</f>
        <v>44.133333333333333</v>
      </c>
      <c r="D34" s="9"/>
      <c r="E34" s="9">
        <f t="shared" ref="E34:G34" si="1">AVERAGE(E3:E32)</f>
        <v>23.166666666666668</v>
      </c>
      <c r="F34" s="9">
        <f t="shared" si="1"/>
        <v>3.4333333333333331</v>
      </c>
      <c r="G34" s="9">
        <f t="shared" si="1"/>
        <v>0.19566666666666668</v>
      </c>
      <c r="H34" s="7"/>
    </row>
  </sheetData>
  <mergeCells count="6">
    <mergeCell ref="A34:B34"/>
    <mergeCell ref="L8:M8"/>
    <mergeCell ref="A1:A2"/>
    <mergeCell ref="B1:B2"/>
    <mergeCell ref="H1:H2"/>
    <mergeCell ref="A33:B33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V42"/>
  <sheetViews>
    <sheetView topLeftCell="A25" workbookViewId="0">
      <selection activeCell="J9" sqref="J9:J41"/>
    </sheetView>
  </sheetViews>
  <sheetFormatPr defaultRowHeight="15"/>
  <cols>
    <col min="5" max="5" width="10.375" customWidth="1"/>
    <col min="7" max="7" width="9.875" bestFit="1" customWidth="1"/>
    <col min="8" max="8" width="24.375" customWidth="1"/>
    <col min="9" max="9" width="0.25" customWidth="1"/>
    <col min="10" max="10" width="9.375" bestFit="1" customWidth="1"/>
    <col min="20" max="20" width="8.875" customWidth="1"/>
    <col min="21" max="21" width="9" hidden="1" customWidth="1"/>
    <col min="22" max="22" width="11.375" customWidth="1"/>
  </cols>
  <sheetData>
    <row r="2" spans="2:22" ht="15.75">
      <c r="B2" s="228"/>
      <c r="C2" s="228"/>
      <c r="D2" s="228"/>
      <c r="E2" s="228"/>
      <c r="F2" s="228"/>
      <c r="G2" s="228"/>
      <c r="H2" s="228"/>
      <c r="I2" s="228"/>
    </row>
    <row r="3" spans="2:22" ht="15.75">
      <c r="B3" s="228"/>
      <c r="C3" s="228"/>
      <c r="D3" s="30"/>
      <c r="E3" s="30"/>
      <c r="F3" s="30"/>
      <c r="G3" s="30"/>
      <c r="H3" s="30"/>
      <c r="I3" s="30"/>
    </row>
    <row r="4" spans="2:22" ht="15.75">
      <c r="B4" s="30"/>
      <c r="C4" s="109"/>
      <c r="D4" s="30"/>
      <c r="E4" s="30"/>
      <c r="F4" s="30"/>
      <c r="G4" s="30"/>
      <c r="H4" s="30"/>
      <c r="I4" s="30"/>
    </row>
    <row r="5" spans="2:22" ht="15.75">
      <c r="B5" s="30"/>
      <c r="C5" s="109"/>
      <c r="D5" s="30"/>
      <c r="E5" s="30"/>
      <c r="F5" s="30"/>
      <c r="G5" s="30"/>
      <c r="H5" s="30"/>
      <c r="I5" s="30"/>
    </row>
    <row r="6" spans="2:22" ht="16.5" thickBot="1">
      <c r="B6" s="30"/>
      <c r="C6" s="109"/>
      <c r="D6" s="30"/>
      <c r="E6" s="30"/>
      <c r="F6" s="30"/>
      <c r="G6" s="30"/>
      <c r="H6" s="30"/>
      <c r="I6" s="30"/>
    </row>
    <row r="7" spans="2:22" ht="120.75">
      <c r="B7" s="30"/>
      <c r="C7" s="229" t="s">
        <v>0</v>
      </c>
      <c r="D7" s="110" t="s">
        <v>121</v>
      </c>
      <c r="E7" s="112" t="s">
        <v>122</v>
      </c>
      <c r="F7" s="114" t="s">
        <v>123</v>
      </c>
      <c r="G7" s="116" t="s">
        <v>124</v>
      </c>
      <c r="H7" s="116" t="s">
        <v>125</v>
      </c>
      <c r="I7" s="116" t="s">
        <v>126</v>
      </c>
    </row>
    <row r="8" spans="2:22" ht="48.75">
      <c r="B8" s="30"/>
      <c r="C8" s="230"/>
      <c r="D8" s="128" t="s">
        <v>59</v>
      </c>
      <c r="E8" s="129" t="s">
        <v>61</v>
      </c>
      <c r="F8" s="125" t="s">
        <v>61</v>
      </c>
      <c r="G8" s="119" t="s">
        <v>61</v>
      </c>
      <c r="H8" s="119" t="s">
        <v>61</v>
      </c>
      <c r="I8" s="119" t="s">
        <v>61</v>
      </c>
      <c r="M8" s="231"/>
      <c r="N8" s="128"/>
      <c r="O8" s="56"/>
      <c r="P8" s="56"/>
      <c r="Q8" s="128"/>
      <c r="R8" s="231"/>
      <c r="S8" s="231"/>
      <c r="T8" s="128"/>
      <c r="U8" s="231"/>
      <c r="V8" s="231"/>
    </row>
    <row r="9" spans="2:22" ht="15.75">
      <c r="B9" s="30"/>
      <c r="C9" s="130">
        <v>1</v>
      </c>
      <c r="D9" s="131">
        <v>0.1</v>
      </c>
      <c r="E9" s="132">
        <v>420</v>
      </c>
      <c r="F9" s="133">
        <v>8000</v>
      </c>
      <c r="G9" s="134">
        <f>E9*F9</f>
        <v>3360000</v>
      </c>
      <c r="H9" s="236">
        <f>B9+C9+D9+E9+F9+G9</f>
        <v>3368421.1</v>
      </c>
      <c r="I9" s="237"/>
      <c r="J9">
        <f>H9-G9</f>
        <v>8421.1000000000931</v>
      </c>
      <c r="M9" s="231"/>
      <c r="N9" s="128"/>
      <c r="O9" s="56"/>
      <c r="P9" s="56"/>
      <c r="Q9" s="128"/>
      <c r="R9" s="231"/>
      <c r="S9" s="231"/>
      <c r="T9" s="128"/>
      <c r="U9" s="231"/>
      <c r="V9" s="231"/>
    </row>
    <row r="10" spans="2:22" ht="15.75">
      <c r="B10" s="30"/>
      <c r="C10" s="135">
        <v>2</v>
      </c>
      <c r="D10" s="119">
        <v>0.2</v>
      </c>
      <c r="E10" s="120">
        <v>450</v>
      </c>
      <c r="F10" s="22">
        <v>8000</v>
      </c>
      <c r="G10" s="127">
        <f>E10*F10</f>
        <v>3600000</v>
      </c>
      <c r="H10" s="238">
        <f t="shared" ref="H10:H28" si="0">B10+C10+D10+E10+F10+G10</f>
        <v>3608452.2</v>
      </c>
      <c r="I10" s="239"/>
      <c r="J10">
        <f>H10-G10</f>
        <v>8452.2000000001863</v>
      </c>
      <c r="M10" s="128"/>
      <c r="N10" s="128"/>
      <c r="O10" s="56"/>
      <c r="P10" s="56"/>
      <c r="Q10" s="128"/>
      <c r="R10" s="56"/>
      <c r="S10" s="56"/>
      <c r="T10" s="145"/>
      <c r="U10" s="232"/>
      <c r="V10" s="232"/>
    </row>
    <row r="11" spans="2:22" ht="15.75">
      <c r="B11" s="30"/>
      <c r="C11" s="135">
        <v>3</v>
      </c>
      <c r="D11" s="119">
        <v>0.12</v>
      </c>
      <c r="E11" s="120">
        <v>464</v>
      </c>
      <c r="F11" s="22">
        <v>8000</v>
      </c>
      <c r="G11" s="127">
        <f t="shared" ref="G11:G38" si="1">E11*F11</f>
        <v>3712000</v>
      </c>
      <c r="H11" s="238">
        <f t="shared" si="0"/>
        <v>3720467.12</v>
      </c>
      <c r="I11" s="239"/>
      <c r="J11">
        <f t="shared" ref="J11:J38" si="2">H11-G11</f>
        <v>8467.1200000001118</v>
      </c>
      <c r="M11" s="128"/>
      <c r="N11" s="128"/>
      <c r="O11" s="56"/>
      <c r="P11" s="56"/>
      <c r="Q11" s="128"/>
      <c r="R11" s="56"/>
      <c r="S11" s="56"/>
      <c r="T11" s="145"/>
      <c r="U11" s="232"/>
      <c r="V11" s="232"/>
    </row>
    <row r="12" spans="2:22" ht="15.75">
      <c r="B12" s="30"/>
      <c r="C12" s="135">
        <v>4</v>
      </c>
      <c r="D12" s="119">
        <v>0.1</v>
      </c>
      <c r="E12" s="120">
        <v>384</v>
      </c>
      <c r="F12" s="22">
        <v>8000</v>
      </c>
      <c r="G12" s="127">
        <f t="shared" si="1"/>
        <v>3072000</v>
      </c>
      <c r="H12" s="238">
        <f t="shared" si="0"/>
        <v>3080388.1</v>
      </c>
      <c r="I12" s="239"/>
      <c r="J12">
        <f t="shared" si="2"/>
        <v>8388.1000000000931</v>
      </c>
      <c r="M12" s="128"/>
      <c r="N12" s="128"/>
      <c r="O12" s="56"/>
      <c r="P12" s="56"/>
      <c r="Q12" s="128"/>
      <c r="R12" s="56"/>
      <c r="S12" s="56"/>
      <c r="T12" s="145"/>
      <c r="U12" s="232"/>
      <c r="V12" s="232"/>
    </row>
    <row r="13" spans="2:22" ht="15.75">
      <c r="B13" s="30"/>
      <c r="C13" s="135">
        <v>5</v>
      </c>
      <c r="D13" s="119">
        <v>0.08</v>
      </c>
      <c r="E13" s="120">
        <v>264</v>
      </c>
      <c r="F13" s="22">
        <v>8000</v>
      </c>
      <c r="G13" s="127">
        <f t="shared" si="1"/>
        <v>2112000</v>
      </c>
      <c r="H13" s="238">
        <f t="shared" si="0"/>
        <v>2120269.08</v>
      </c>
      <c r="I13" s="239"/>
      <c r="J13">
        <f t="shared" si="2"/>
        <v>8269.0800000000745</v>
      </c>
      <c r="M13" s="128"/>
      <c r="N13" s="128"/>
      <c r="O13" s="56"/>
      <c r="P13" s="56"/>
      <c r="Q13" s="128"/>
      <c r="R13" s="56"/>
      <c r="S13" s="56"/>
      <c r="T13" s="145"/>
      <c r="U13" s="232"/>
      <c r="V13" s="232"/>
    </row>
    <row r="14" spans="2:22" ht="15.75">
      <c r="B14" s="30"/>
      <c r="C14" s="135">
        <v>6</v>
      </c>
      <c r="D14" s="119">
        <v>0.25</v>
      </c>
      <c r="E14" s="120">
        <v>445</v>
      </c>
      <c r="F14" s="22">
        <v>8000</v>
      </c>
      <c r="G14" s="127">
        <f t="shared" si="1"/>
        <v>3560000</v>
      </c>
      <c r="H14" s="238">
        <f t="shared" si="0"/>
        <v>3568451.25</v>
      </c>
      <c r="I14" s="239"/>
      <c r="J14">
        <f t="shared" si="2"/>
        <v>8451.25</v>
      </c>
      <c r="M14" s="128"/>
      <c r="N14" s="128"/>
      <c r="O14" s="56"/>
      <c r="P14" s="56"/>
      <c r="Q14" s="128"/>
      <c r="R14" s="56"/>
      <c r="S14" s="56"/>
      <c r="T14" s="145"/>
      <c r="U14" s="232"/>
      <c r="V14" s="232"/>
    </row>
    <row r="15" spans="2:22" ht="15.75">
      <c r="B15" s="30"/>
      <c r="C15" s="135">
        <v>7</v>
      </c>
      <c r="D15" s="119">
        <v>0.25</v>
      </c>
      <c r="E15" s="120">
        <v>441</v>
      </c>
      <c r="F15" s="22">
        <v>8000</v>
      </c>
      <c r="G15" s="127">
        <f t="shared" si="1"/>
        <v>3528000</v>
      </c>
      <c r="H15" s="238">
        <f t="shared" si="0"/>
        <v>3536448.25</v>
      </c>
      <c r="I15" s="239"/>
      <c r="J15">
        <f t="shared" si="2"/>
        <v>8448.25</v>
      </c>
      <c r="M15" s="128"/>
      <c r="N15" s="128"/>
      <c r="O15" s="56"/>
      <c r="P15" s="56"/>
      <c r="Q15" s="128"/>
      <c r="R15" s="56"/>
      <c r="S15" s="56"/>
      <c r="T15" s="145"/>
      <c r="U15" s="232"/>
      <c r="V15" s="232"/>
    </row>
    <row r="16" spans="2:22" ht="15.75">
      <c r="B16" s="30"/>
      <c r="C16" s="135">
        <v>8</v>
      </c>
      <c r="D16" s="119">
        <v>0.35</v>
      </c>
      <c r="E16" s="120">
        <v>1106</v>
      </c>
      <c r="F16" s="22">
        <v>8000</v>
      </c>
      <c r="G16" s="127">
        <f t="shared" si="1"/>
        <v>8848000</v>
      </c>
      <c r="H16" s="238">
        <f t="shared" si="0"/>
        <v>8857114.3499999996</v>
      </c>
      <c r="I16" s="239"/>
      <c r="J16">
        <f t="shared" si="2"/>
        <v>9114.3499999996275</v>
      </c>
      <c r="M16" s="128"/>
      <c r="N16" s="128"/>
      <c r="O16" s="56"/>
      <c r="P16" s="56"/>
      <c r="Q16" s="128"/>
      <c r="R16" s="56"/>
      <c r="S16" s="146"/>
      <c r="T16" s="145"/>
      <c r="U16" s="232"/>
      <c r="V16" s="232"/>
    </row>
    <row r="17" spans="2:22" ht="15.75">
      <c r="B17" s="30"/>
      <c r="C17" s="135">
        <v>9</v>
      </c>
      <c r="D17" s="119">
        <v>0.3</v>
      </c>
      <c r="E17" s="120">
        <v>1146</v>
      </c>
      <c r="F17" s="22">
        <v>8000</v>
      </c>
      <c r="G17" s="127">
        <f t="shared" si="1"/>
        <v>9168000</v>
      </c>
      <c r="H17" s="238">
        <f t="shared" si="0"/>
        <v>9177155.3000000007</v>
      </c>
      <c r="I17" s="239"/>
      <c r="J17">
        <f t="shared" si="2"/>
        <v>9155.3000000007451</v>
      </c>
      <c r="M17" s="128"/>
      <c r="N17" s="128"/>
      <c r="O17" s="56"/>
      <c r="P17" s="56"/>
      <c r="Q17" s="128"/>
      <c r="R17" s="56"/>
      <c r="S17" s="56"/>
      <c r="T17" s="145"/>
      <c r="U17" s="232"/>
      <c r="V17" s="232"/>
    </row>
    <row r="18" spans="2:22" ht="15.75">
      <c r="B18" s="30"/>
      <c r="C18" s="135">
        <v>10</v>
      </c>
      <c r="D18" s="119">
        <v>0.2</v>
      </c>
      <c r="E18" s="120">
        <v>732</v>
      </c>
      <c r="F18" s="22">
        <v>8000</v>
      </c>
      <c r="G18" s="127">
        <f t="shared" si="1"/>
        <v>5856000</v>
      </c>
      <c r="H18" s="238">
        <f t="shared" si="0"/>
        <v>5864742.2000000002</v>
      </c>
      <c r="I18" s="239"/>
      <c r="J18">
        <f t="shared" si="2"/>
        <v>8742.2000000001863</v>
      </c>
      <c r="M18" s="128"/>
      <c r="N18" s="128"/>
      <c r="O18" s="56"/>
      <c r="P18" s="56"/>
      <c r="Q18" s="128"/>
      <c r="R18" s="56"/>
      <c r="S18" s="56"/>
      <c r="T18" s="145"/>
      <c r="U18" s="232"/>
      <c r="V18" s="232"/>
    </row>
    <row r="19" spans="2:22" ht="15.75">
      <c r="B19" s="30"/>
      <c r="C19" s="135">
        <v>11</v>
      </c>
      <c r="D19" s="119">
        <v>0.1</v>
      </c>
      <c r="E19" s="120">
        <v>384</v>
      </c>
      <c r="F19" s="22">
        <v>8000</v>
      </c>
      <c r="G19" s="127">
        <f t="shared" si="1"/>
        <v>3072000</v>
      </c>
      <c r="H19" s="238">
        <f t="shared" si="0"/>
        <v>3080395.1</v>
      </c>
      <c r="I19" s="239"/>
      <c r="J19">
        <f t="shared" si="2"/>
        <v>8395.1000000000931</v>
      </c>
      <c r="M19" s="128"/>
      <c r="N19" s="128"/>
      <c r="O19" s="56"/>
      <c r="P19" s="56"/>
      <c r="Q19" s="128"/>
      <c r="R19" s="56"/>
      <c r="S19" s="56"/>
      <c r="T19" s="145"/>
      <c r="U19" s="232"/>
      <c r="V19" s="232"/>
    </row>
    <row r="20" spans="2:22" ht="15.75">
      <c r="B20" s="30"/>
      <c r="C20" s="135">
        <v>12</v>
      </c>
      <c r="D20" s="119">
        <v>0.25</v>
      </c>
      <c r="E20" s="120">
        <v>432</v>
      </c>
      <c r="F20" s="22">
        <v>8000</v>
      </c>
      <c r="G20" s="127">
        <f t="shared" si="1"/>
        <v>3456000</v>
      </c>
      <c r="H20" s="238">
        <f t="shared" si="0"/>
        <v>3464444.25</v>
      </c>
      <c r="I20" s="239"/>
      <c r="J20">
        <f t="shared" si="2"/>
        <v>8444.25</v>
      </c>
      <c r="M20" s="128"/>
      <c r="N20" s="128"/>
      <c r="O20" s="56"/>
      <c r="P20" s="56"/>
      <c r="Q20" s="128"/>
      <c r="R20" s="56"/>
      <c r="S20" s="56"/>
      <c r="T20" s="145"/>
      <c r="U20" s="232"/>
      <c r="V20" s="232"/>
    </row>
    <row r="21" spans="2:22" ht="15.75">
      <c r="B21" s="30"/>
      <c r="C21" s="135">
        <v>13</v>
      </c>
      <c r="D21" s="119">
        <v>0.23</v>
      </c>
      <c r="E21" s="120">
        <v>313</v>
      </c>
      <c r="F21" s="22">
        <v>8000</v>
      </c>
      <c r="G21" s="127">
        <f t="shared" si="1"/>
        <v>2504000</v>
      </c>
      <c r="H21" s="238">
        <f t="shared" si="0"/>
        <v>2512326.23</v>
      </c>
      <c r="I21" s="239"/>
      <c r="J21">
        <f t="shared" si="2"/>
        <v>8326.2299999999814</v>
      </c>
      <c r="M21" s="128"/>
      <c r="N21" s="128"/>
      <c r="O21" s="56"/>
      <c r="P21" s="56"/>
      <c r="Q21" s="128"/>
      <c r="R21" s="56"/>
      <c r="S21" s="56"/>
      <c r="T21" s="145"/>
      <c r="U21" s="232"/>
      <c r="V21" s="232"/>
    </row>
    <row r="22" spans="2:22" ht="15.75">
      <c r="B22" s="30"/>
      <c r="C22" s="135">
        <v>14</v>
      </c>
      <c r="D22" s="119">
        <v>0.35</v>
      </c>
      <c r="E22" s="120">
        <v>1320</v>
      </c>
      <c r="F22" s="22">
        <v>8000</v>
      </c>
      <c r="G22" s="127">
        <f t="shared" si="1"/>
        <v>10560000</v>
      </c>
      <c r="H22" s="238">
        <f t="shared" si="0"/>
        <v>10569334.35</v>
      </c>
      <c r="I22" s="239"/>
      <c r="J22">
        <f t="shared" si="2"/>
        <v>9334.3499999996275</v>
      </c>
      <c r="M22" s="128"/>
      <c r="N22" s="128"/>
      <c r="O22" s="56"/>
      <c r="P22" s="56"/>
      <c r="Q22" s="128"/>
      <c r="R22" s="56"/>
      <c r="S22" s="56"/>
      <c r="T22" s="145"/>
      <c r="U22" s="232"/>
      <c r="V22" s="232"/>
    </row>
    <row r="23" spans="2:22" ht="15.75">
      <c r="B23" s="30"/>
      <c r="C23" s="135">
        <v>15</v>
      </c>
      <c r="D23" s="119">
        <v>0.27</v>
      </c>
      <c r="E23" s="120">
        <v>984</v>
      </c>
      <c r="F23" s="22">
        <v>8000</v>
      </c>
      <c r="G23" s="127">
        <f t="shared" si="1"/>
        <v>7872000</v>
      </c>
      <c r="H23" s="238">
        <f t="shared" si="0"/>
        <v>7880999.2699999996</v>
      </c>
      <c r="I23" s="239"/>
      <c r="J23">
        <f t="shared" si="2"/>
        <v>8999.269999999553</v>
      </c>
      <c r="M23" s="128"/>
      <c r="N23" s="128"/>
      <c r="O23" s="56"/>
      <c r="P23" s="56"/>
      <c r="Q23" s="128"/>
      <c r="R23" s="56"/>
      <c r="S23" s="56"/>
      <c r="T23" s="145"/>
      <c r="U23" s="232"/>
      <c r="V23" s="232"/>
    </row>
    <row r="24" spans="2:22" ht="15.75">
      <c r="B24" s="30"/>
      <c r="C24" s="135">
        <v>16</v>
      </c>
      <c r="D24" s="119">
        <v>0.12</v>
      </c>
      <c r="E24" s="120">
        <v>384</v>
      </c>
      <c r="F24" s="22">
        <v>8000</v>
      </c>
      <c r="G24" s="127">
        <f t="shared" si="1"/>
        <v>3072000</v>
      </c>
      <c r="H24" s="238">
        <f t="shared" si="0"/>
        <v>3080400.12</v>
      </c>
      <c r="I24" s="239"/>
      <c r="J24">
        <f t="shared" si="2"/>
        <v>8400.1200000001118</v>
      </c>
      <c r="M24" s="128"/>
      <c r="N24" s="128"/>
      <c r="O24" s="56"/>
      <c r="P24" s="56"/>
      <c r="Q24" s="128"/>
      <c r="R24" s="56"/>
      <c r="S24" s="146"/>
      <c r="T24" s="145"/>
      <c r="U24" s="232"/>
      <c r="V24" s="232"/>
    </row>
    <row r="25" spans="2:22" ht="15.75">
      <c r="B25" s="30"/>
      <c r="C25" s="135">
        <v>17</v>
      </c>
      <c r="D25" s="119">
        <v>0.28999999999999998</v>
      </c>
      <c r="E25" s="120">
        <v>1116</v>
      </c>
      <c r="F25" s="22">
        <v>8000</v>
      </c>
      <c r="G25" s="127">
        <f t="shared" si="1"/>
        <v>8928000</v>
      </c>
      <c r="H25" s="238">
        <f t="shared" si="0"/>
        <v>8937133.2899999991</v>
      </c>
      <c r="I25" s="239"/>
      <c r="J25">
        <f t="shared" si="2"/>
        <v>9133.2899999991059</v>
      </c>
      <c r="M25" s="128"/>
      <c r="N25" s="128"/>
      <c r="O25" s="56"/>
      <c r="P25" s="56"/>
      <c r="Q25" s="128"/>
      <c r="R25" s="56"/>
      <c r="S25" s="56"/>
      <c r="T25" s="145"/>
      <c r="U25" s="232"/>
      <c r="V25" s="232"/>
    </row>
    <row r="26" spans="2:22" ht="15.75">
      <c r="B26" s="30"/>
      <c r="C26" s="135">
        <v>18</v>
      </c>
      <c r="D26" s="119">
        <v>0.28000000000000003</v>
      </c>
      <c r="E26" s="120">
        <v>1080</v>
      </c>
      <c r="F26" s="22">
        <v>8000</v>
      </c>
      <c r="G26" s="127">
        <f t="shared" si="1"/>
        <v>8640000</v>
      </c>
      <c r="H26" s="238">
        <f t="shared" si="0"/>
        <v>8649098.2799999993</v>
      </c>
      <c r="I26" s="239"/>
      <c r="J26">
        <f t="shared" si="2"/>
        <v>9098.2799999993294</v>
      </c>
      <c r="M26" s="128"/>
      <c r="N26" s="128"/>
      <c r="O26" s="56"/>
      <c r="P26" s="56"/>
      <c r="Q26" s="128"/>
      <c r="R26" s="56"/>
      <c r="S26" s="56"/>
      <c r="T26" s="145"/>
      <c r="U26" s="232"/>
      <c r="V26" s="232"/>
    </row>
    <row r="27" spans="2:22" ht="15.75">
      <c r="B27" s="30"/>
      <c r="C27" s="135">
        <v>19</v>
      </c>
      <c r="D27" s="119">
        <v>0.38</v>
      </c>
      <c r="E27" s="120">
        <v>1440</v>
      </c>
      <c r="F27" s="22">
        <v>8000</v>
      </c>
      <c r="G27" s="127">
        <f t="shared" si="1"/>
        <v>11520000</v>
      </c>
      <c r="H27" s="238">
        <f t="shared" si="0"/>
        <v>11529459.380000001</v>
      </c>
      <c r="I27" s="239"/>
      <c r="J27">
        <f t="shared" si="2"/>
        <v>9459.3800000008196</v>
      </c>
      <c r="M27" s="128"/>
      <c r="N27" s="128"/>
      <c r="O27" s="56"/>
      <c r="P27" s="56"/>
      <c r="Q27" s="128"/>
      <c r="R27" s="56"/>
      <c r="S27" s="56"/>
      <c r="T27" s="145"/>
      <c r="U27" s="232"/>
      <c r="V27" s="232"/>
    </row>
    <row r="28" spans="2:22" ht="15.75">
      <c r="B28" s="30"/>
      <c r="C28" s="135">
        <v>20</v>
      </c>
      <c r="D28" s="119">
        <v>0.1</v>
      </c>
      <c r="E28" s="120">
        <v>384</v>
      </c>
      <c r="F28" s="22">
        <v>8000</v>
      </c>
      <c r="G28" s="127">
        <f t="shared" si="1"/>
        <v>3072000</v>
      </c>
      <c r="H28" s="238">
        <f t="shared" si="0"/>
        <v>3080404.1</v>
      </c>
      <c r="I28" s="239"/>
      <c r="J28">
        <f t="shared" si="2"/>
        <v>8404.1000000000931</v>
      </c>
      <c r="M28" s="128"/>
      <c r="N28" s="128"/>
      <c r="O28" s="56"/>
      <c r="P28" s="56"/>
      <c r="Q28" s="128"/>
      <c r="R28" s="56"/>
      <c r="S28" s="56"/>
      <c r="T28" s="145"/>
      <c r="U28" s="232"/>
      <c r="V28" s="232"/>
    </row>
    <row r="29" spans="2:22" ht="15.75">
      <c r="B29" s="30"/>
      <c r="C29" s="135">
        <v>21</v>
      </c>
      <c r="D29" s="119">
        <v>0.08</v>
      </c>
      <c r="E29" s="120">
        <v>180</v>
      </c>
      <c r="F29" s="22">
        <v>8000</v>
      </c>
      <c r="G29" s="127">
        <f t="shared" si="1"/>
        <v>1440000</v>
      </c>
      <c r="H29" s="53">
        <f>A29+B29+C29+D29+E29+F29</f>
        <v>8201.08</v>
      </c>
      <c r="I29" s="18"/>
      <c r="J29">
        <f>H29-G29</f>
        <v>-1431798.92</v>
      </c>
      <c r="M29" s="128"/>
      <c r="N29" s="128"/>
      <c r="O29" s="56"/>
      <c r="P29" s="56"/>
      <c r="Q29" s="128"/>
      <c r="R29" s="56"/>
      <c r="S29" s="56"/>
      <c r="T29" s="145"/>
      <c r="U29" s="232"/>
      <c r="V29" s="232"/>
    </row>
    <row r="30" spans="2:22" ht="15.75">
      <c r="B30" s="30"/>
      <c r="C30" s="135">
        <v>22</v>
      </c>
      <c r="D30" s="119">
        <v>0.24</v>
      </c>
      <c r="E30" s="120">
        <v>840</v>
      </c>
      <c r="F30" s="22">
        <v>8000</v>
      </c>
      <c r="G30" s="127">
        <f t="shared" si="1"/>
        <v>6720000</v>
      </c>
      <c r="H30" s="53">
        <f t="shared" ref="H30:H38" si="3">A30+B30+C30+D30+E30+F30</f>
        <v>8862.24</v>
      </c>
      <c r="I30" s="18"/>
      <c r="J30">
        <f t="shared" si="2"/>
        <v>-6711137.7599999998</v>
      </c>
      <c r="M30" s="128"/>
      <c r="N30" s="128"/>
      <c r="O30" s="56"/>
      <c r="P30" s="56"/>
      <c r="Q30" s="128"/>
      <c r="R30" s="56"/>
      <c r="S30" s="56"/>
      <c r="T30" s="233"/>
      <c r="U30" s="233"/>
      <c r="V30" s="51"/>
    </row>
    <row r="31" spans="2:22" ht="15.75">
      <c r="B31" s="30"/>
      <c r="C31" s="135">
        <v>23</v>
      </c>
      <c r="D31" s="119">
        <v>0.2</v>
      </c>
      <c r="E31" s="120">
        <v>720</v>
      </c>
      <c r="F31" s="22">
        <v>8000</v>
      </c>
      <c r="G31" s="127">
        <f t="shared" si="1"/>
        <v>5760000</v>
      </c>
      <c r="H31" s="53">
        <f t="shared" si="3"/>
        <v>8743.2000000000007</v>
      </c>
      <c r="I31" s="18"/>
      <c r="J31">
        <f t="shared" si="2"/>
        <v>-5751256.7999999998</v>
      </c>
      <c r="M31" s="128"/>
      <c r="N31" s="128"/>
      <c r="O31" s="56"/>
      <c r="P31" s="56"/>
      <c r="Q31" s="128"/>
      <c r="R31" s="56"/>
      <c r="S31" s="146"/>
      <c r="T31" s="233"/>
      <c r="U31" s="233"/>
      <c r="V31" s="51"/>
    </row>
    <row r="32" spans="2:22" ht="15.75">
      <c r="B32" s="30"/>
      <c r="C32" s="135">
        <v>24</v>
      </c>
      <c r="D32" s="119">
        <v>0.1</v>
      </c>
      <c r="E32" s="120">
        <v>420</v>
      </c>
      <c r="F32" s="22">
        <v>8000</v>
      </c>
      <c r="G32" s="127">
        <f t="shared" si="1"/>
        <v>3360000</v>
      </c>
      <c r="H32" s="53">
        <f t="shared" si="3"/>
        <v>8444.1</v>
      </c>
      <c r="I32" s="18"/>
      <c r="J32">
        <f t="shared" si="2"/>
        <v>-3351555.9</v>
      </c>
      <c r="M32" s="128"/>
      <c r="N32" s="128"/>
      <c r="O32" s="56"/>
      <c r="P32" s="56"/>
      <c r="Q32" s="128"/>
      <c r="R32" s="56"/>
      <c r="S32" s="56"/>
      <c r="T32" s="233"/>
      <c r="U32" s="233"/>
      <c r="V32" s="51"/>
    </row>
    <row r="33" spans="2:22" ht="15.75">
      <c r="B33" s="30"/>
      <c r="C33" s="135">
        <v>25</v>
      </c>
      <c r="D33" s="119">
        <v>0.14000000000000001</v>
      </c>
      <c r="E33" s="120">
        <v>400</v>
      </c>
      <c r="F33" s="22">
        <v>8000</v>
      </c>
      <c r="G33" s="127">
        <f t="shared" si="1"/>
        <v>3200000</v>
      </c>
      <c r="H33" s="53">
        <f t="shared" si="3"/>
        <v>8425.14</v>
      </c>
      <c r="I33" s="18"/>
      <c r="J33">
        <f t="shared" si="2"/>
        <v>-3191574.86</v>
      </c>
      <c r="M33" s="128"/>
      <c r="N33" s="128"/>
      <c r="O33" s="56"/>
      <c r="P33" s="56"/>
      <c r="Q33" s="128"/>
      <c r="R33" s="56"/>
      <c r="S33" s="56"/>
      <c r="T33" s="233"/>
      <c r="U33" s="233"/>
      <c r="V33" s="51"/>
    </row>
    <row r="34" spans="2:22" ht="15.75">
      <c r="B34" s="30"/>
      <c r="C34" s="135">
        <v>26</v>
      </c>
      <c r="D34" s="119">
        <v>0.25</v>
      </c>
      <c r="E34" s="120">
        <v>900</v>
      </c>
      <c r="F34" s="22">
        <v>8000</v>
      </c>
      <c r="G34" s="127">
        <f t="shared" si="1"/>
        <v>7200000</v>
      </c>
      <c r="H34" s="53">
        <f t="shared" si="3"/>
        <v>8926.25</v>
      </c>
      <c r="I34" s="18"/>
      <c r="J34">
        <f t="shared" si="2"/>
        <v>-7191073.75</v>
      </c>
      <c r="M34" s="128"/>
      <c r="N34" s="128"/>
      <c r="O34" s="56"/>
      <c r="P34" s="56"/>
      <c r="Q34" s="128"/>
      <c r="R34" s="56"/>
      <c r="S34" s="56"/>
      <c r="T34" s="233"/>
      <c r="U34" s="233"/>
      <c r="V34" s="51"/>
    </row>
    <row r="35" spans="2:22" ht="15.75">
      <c r="B35" s="30"/>
      <c r="C35" s="135">
        <v>27</v>
      </c>
      <c r="D35" s="119">
        <v>0.08</v>
      </c>
      <c r="E35" s="120">
        <v>240</v>
      </c>
      <c r="F35" s="22">
        <v>8000</v>
      </c>
      <c r="G35" s="127">
        <f t="shared" si="1"/>
        <v>1920000</v>
      </c>
      <c r="H35" s="53">
        <f t="shared" si="3"/>
        <v>8267.08</v>
      </c>
      <c r="I35" s="18"/>
      <c r="J35">
        <f t="shared" si="2"/>
        <v>-1911732.92</v>
      </c>
      <c r="M35" s="128"/>
      <c r="N35" s="128"/>
      <c r="O35" s="56"/>
      <c r="P35" s="56"/>
      <c r="Q35" s="128"/>
      <c r="R35" s="56"/>
      <c r="S35" s="56"/>
      <c r="T35" s="233"/>
      <c r="U35" s="233"/>
      <c r="V35" s="51"/>
    </row>
    <row r="36" spans="2:22" ht="15.75">
      <c r="C36" s="135">
        <v>28</v>
      </c>
      <c r="D36" s="119">
        <v>0.2</v>
      </c>
      <c r="E36" s="120">
        <v>500</v>
      </c>
      <c r="F36" s="22">
        <v>8000</v>
      </c>
      <c r="G36" s="127">
        <f t="shared" si="1"/>
        <v>4000000</v>
      </c>
      <c r="H36" s="53">
        <f t="shared" si="3"/>
        <v>8528.2000000000007</v>
      </c>
      <c r="I36" s="18"/>
      <c r="J36">
        <f t="shared" si="2"/>
        <v>-3991471.8</v>
      </c>
      <c r="M36" s="128"/>
      <c r="N36" s="128"/>
      <c r="O36" s="56"/>
      <c r="P36" s="56"/>
      <c r="Q36" s="128"/>
      <c r="R36" s="56"/>
      <c r="S36" s="56"/>
      <c r="T36" s="233"/>
      <c r="U36" s="233"/>
      <c r="V36" s="51"/>
    </row>
    <row r="37" spans="2:22" ht="15.75">
      <c r="C37" s="135">
        <v>29</v>
      </c>
      <c r="D37" s="119">
        <v>0.1</v>
      </c>
      <c r="E37" s="120">
        <v>360</v>
      </c>
      <c r="F37" s="22">
        <v>8000</v>
      </c>
      <c r="G37" s="127">
        <f t="shared" si="1"/>
        <v>2880000</v>
      </c>
      <c r="H37" s="53">
        <f t="shared" si="3"/>
        <v>8389.1</v>
      </c>
      <c r="I37" s="18"/>
      <c r="J37">
        <f t="shared" si="2"/>
        <v>-2871610.9</v>
      </c>
      <c r="M37" s="128"/>
      <c r="N37" s="128"/>
      <c r="O37" s="56"/>
      <c r="P37" s="56"/>
      <c r="Q37" s="128"/>
      <c r="R37" s="56"/>
      <c r="S37" s="56"/>
      <c r="T37" s="233"/>
      <c r="U37" s="233"/>
      <c r="V37" s="51"/>
    </row>
    <row r="38" spans="2:22" ht="15.75">
      <c r="C38" s="136">
        <v>30</v>
      </c>
      <c r="D38" s="137">
        <v>0.16</v>
      </c>
      <c r="E38" s="138">
        <v>720</v>
      </c>
      <c r="F38" s="124">
        <v>8000</v>
      </c>
      <c r="G38" s="139">
        <f t="shared" si="1"/>
        <v>5760000</v>
      </c>
      <c r="H38" s="53">
        <f t="shared" si="3"/>
        <v>8750.16</v>
      </c>
      <c r="I38" s="19"/>
      <c r="J38">
        <f t="shared" si="2"/>
        <v>-5751249.8399999999</v>
      </c>
      <c r="M38" s="128"/>
      <c r="N38" s="128"/>
      <c r="O38" s="56"/>
      <c r="P38" s="56"/>
      <c r="Q38" s="128"/>
      <c r="R38" s="56"/>
      <c r="S38" s="56"/>
      <c r="T38" s="233"/>
      <c r="U38" s="233"/>
      <c r="V38" s="51"/>
    </row>
    <row r="39" spans="2:22" ht="15.75" thickBot="1">
      <c r="C39" s="118" t="s">
        <v>65</v>
      </c>
      <c r="D39" s="117">
        <v>5.87</v>
      </c>
      <c r="E39" s="122">
        <f>SUM(E9:E38)</f>
        <v>18969</v>
      </c>
      <c r="F39" s="122">
        <f>SUM(F9:F38)</f>
        <v>240000</v>
      </c>
      <c r="G39" s="123">
        <f>SUM(G9:G38)</f>
        <v>151752000</v>
      </c>
      <c r="H39" s="122">
        <f>SUM(H9:I38)</f>
        <v>109771439.86999997</v>
      </c>
      <c r="I39" s="123"/>
      <c r="J39">
        <f>SUM(J9:J38)</f>
        <v>-41980560.129999995</v>
      </c>
      <c r="M39" s="128"/>
      <c r="N39" s="128"/>
      <c r="O39" s="56"/>
      <c r="P39" s="56"/>
      <c r="Q39" s="128"/>
      <c r="R39" s="56"/>
      <c r="S39" s="56"/>
      <c r="T39" s="233"/>
      <c r="U39" s="233"/>
      <c r="V39" s="51"/>
    </row>
    <row r="40" spans="2:22" ht="15.75" thickBot="1">
      <c r="C40" s="118" t="s">
        <v>76</v>
      </c>
      <c r="D40" s="117">
        <v>0.2</v>
      </c>
      <c r="E40" s="122">
        <f>E39/30</f>
        <v>632.29999999999995</v>
      </c>
      <c r="F40" s="122">
        <f>F39/30</f>
        <v>8000</v>
      </c>
      <c r="G40" s="123">
        <f>G39/30</f>
        <v>5058400</v>
      </c>
      <c r="H40" s="122">
        <f>H39/30</f>
        <v>3659047.995666666</v>
      </c>
      <c r="I40" s="123"/>
      <c r="J40">
        <f>J39/30</f>
        <v>-1399352.0043333331</v>
      </c>
      <c r="M40" s="128"/>
      <c r="N40" s="128"/>
      <c r="O40" s="56"/>
      <c r="P40" s="56"/>
      <c r="Q40" s="128"/>
      <c r="R40" s="56"/>
      <c r="S40" s="128"/>
      <c r="T40" s="234"/>
      <c r="U40" s="234"/>
      <c r="V40" s="51"/>
    </row>
    <row r="41" spans="2:22" ht="15.75" thickBot="1">
      <c r="C41" s="113" t="s">
        <v>77</v>
      </c>
      <c r="D41" s="115" t="s">
        <v>66</v>
      </c>
      <c r="E41" s="122">
        <f>E40*5</f>
        <v>3161.5</v>
      </c>
      <c r="F41" s="122">
        <f>F40*5</f>
        <v>40000</v>
      </c>
      <c r="G41" s="122">
        <f>G40*5</f>
        <v>25292000</v>
      </c>
      <c r="H41" s="122">
        <f>H40*5</f>
        <v>18295239.978333332</v>
      </c>
      <c r="I41" s="122"/>
      <c r="J41">
        <f>J40*5</f>
        <v>-6996760.0216666656</v>
      </c>
      <c r="M41" s="128"/>
      <c r="N41" s="128"/>
      <c r="O41" s="56"/>
      <c r="P41" s="56"/>
      <c r="Q41" s="128"/>
      <c r="R41" s="56"/>
      <c r="S41" s="128"/>
      <c r="T41" s="235"/>
      <c r="U41" s="235"/>
      <c r="V41" s="51"/>
    </row>
    <row r="42" spans="2:22">
      <c r="M42" s="56"/>
      <c r="N42" s="56"/>
      <c r="O42" s="56"/>
      <c r="P42" s="56"/>
      <c r="Q42" s="56"/>
      <c r="R42" s="56"/>
      <c r="S42" s="56"/>
      <c r="T42" s="235"/>
      <c r="U42" s="235"/>
      <c r="V42" s="51"/>
    </row>
  </sheetData>
  <mergeCells count="62">
    <mergeCell ref="H28:I28"/>
    <mergeCell ref="H23:I23"/>
    <mergeCell ref="H24:I24"/>
    <mergeCell ref="H25:I25"/>
    <mergeCell ref="H26:I26"/>
    <mergeCell ref="H27:I27"/>
    <mergeCell ref="T41:U41"/>
    <mergeCell ref="T42:U42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T36:U36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U26:V26"/>
    <mergeCell ref="U27:V27"/>
    <mergeCell ref="U28:V28"/>
    <mergeCell ref="U29:V29"/>
    <mergeCell ref="T30:U30"/>
    <mergeCell ref="U21:V21"/>
    <mergeCell ref="U22:V22"/>
    <mergeCell ref="U23:V23"/>
    <mergeCell ref="U24:V24"/>
    <mergeCell ref="U25:V25"/>
    <mergeCell ref="U16:V16"/>
    <mergeCell ref="U17:V17"/>
    <mergeCell ref="U18:V18"/>
    <mergeCell ref="U19:V19"/>
    <mergeCell ref="U20:V20"/>
    <mergeCell ref="U11:V11"/>
    <mergeCell ref="U12:V12"/>
    <mergeCell ref="U13:V13"/>
    <mergeCell ref="U14:V14"/>
    <mergeCell ref="U15:V15"/>
    <mergeCell ref="M8:M9"/>
    <mergeCell ref="R8:R9"/>
    <mergeCell ref="S8:S9"/>
    <mergeCell ref="U8:V9"/>
    <mergeCell ref="U10:V10"/>
    <mergeCell ref="B2:B3"/>
    <mergeCell ref="C2:C3"/>
    <mergeCell ref="D2:F2"/>
    <mergeCell ref="G2:I2"/>
    <mergeCell ref="C7: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K36"/>
  <sheetViews>
    <sheetView topLeftCell="A10" workbookViewId="0">
      <selection activeCell="N15" sqref="N15"/>
    </sheetView>
  </sheetViews>
  <sheetFormatPr defaultRowHeight="15"/>
  <sheetData>
    <row r="2" spans="2:11" ht="24.75">
      <c r="B2" s="231" t="s">
        <v>0</v>
      </c>
      <c r="C2" s="128" t="s">
        <v>121</v>
      </c>
      <c r="D2" s="56" t="s">
        <v>60</v>
      </c>
      <c r="E2" s="56" t="s">
        <v>128</v>
      </c>
      <c r="F2" s="128" t="s">
        <v>83</v>
      </c>
      <c r="G2" s="231" t="s">
        <v>129</v>
      </c>
      <c r="H2" s="231" t="s">
        <v>130</v>
      </c>
      <c r="I2" s="128" t="s">
        <v>131</v>
      </c>
      <c r="J2" s="231"/>
      <c r="K2" s="231"/>
    </row>
    <row r="3" spans="2:11">
      <c r="B3" s="231"/>
      <c r="C3" s="128" t="s">
        <v>59</v>
      </c>
      <c r="D3" s="56" t="s">
        <v>61</v>
      </c>
      <c r="E3" s="56" t="s">
        <v>61</v>
      </c>
      <c r="F3" s="128" t="s">
        <v>61</v>
      </c>
      <c r="G3" s="231"/>
      <c r="H3" s="231"/>
      <c r="I3" s="128" t="s">
        <v>61</v>
      </c>
      <c r="J3" s="231"/>
      <c r="K3" s="231"/>
    </row>
    <row r="4" spans="2:11">
      <c r="B4" s="128">
        <v>1</v>
      </c>
      <c r="C4" s="128">
        <v>0.1</v>
      </c>
      <c r="D4" s="56">
        <v>727500</v>
      </c>
      <c r="E4" s="56">
        <v>12500</v>
      </c>
      <c r="F4" s="128">
        <v>5400000</v>
      </c>
      <c r="G4" s="56">
        <v>55937.52</v>
      </c>
      <c r="H4" s="56">
        <v>1557131</v>
      </c>
      <c r="I4" s="145">
        <v>3020000</v>
      </c>
      <c r="J4" s="232">
        <f t="shared" ref="J4:J12" si="0">D4+E4+F4+G4+H4+I4</f>
        <v>10773068.52</v>
      </c>
      <c r="K4" s="232"/>
    </row>
    <row r="5" spans="2:11">
      <c r="B5" s="128">
        <v>2</v>
      </c>
      <c r="C5" s="128">
        <v>0.2</v>
      </c>
      <c r="D5" s="56">
        <v>1455000</v>
      </c>
      <c r="E5" s="56">
        <v>25000</v>
      </c>
      <c r="F5" s="128">
        <v>5400000</v>
      </c>
      <c r="G5" s="56">
        <v>55937.52</v>
      </c>
      <c r="H5" s="56">
        <v>2843013</v>
      </c>
      <c r="I5" s="145">
        <v>3800000</v>
      </c>
      <c r="J5" s="232">
        <f t="shared" si="0"/>
        <v>13578950.52</v>
      </c>
      <c r="K5" s="232"/>
    </row>
    <row r="6" spans="2:11">
      <c r="B6" s="128">
        <v>3</v>
      </c>
      <c r="C6" s="128">
        <v>0.12</v>
      </c>
      <c r="D6" s="56">
        <v>873000</v>
      </c>
      <c r="E6" s="56">
        <v>15000</v>
      </c>
      <c r="F6" s="128">
        <v>5400000</v>
      </c>
      <c r="G6" s="56">
        <v>118437.5</v>
      </c>
      <c r="H6" s="56">
        <v>1863622</v>
      </c>
      <c r="I6" s="145">
        <v>2870000</v>
      </c>
      <c r="J6" s="232">
        <f t="shared" si="0"/>
        <v>11140059.5</v>
      </c>
      <c r="K6" s="232"/>
    </row>
    <row r="7" spans="2:11">
      <c r="B7" s="128">
        <v>4</v>
      </c>
      <c r="C7" s="128">
        <v>0.1</v>
      </c>
      <c r="D7" s="56">
        <v>727500</v>
      </c>
      <c r="E7" s="56">
        <v>12500</v>
      </c>
      <c r="F7" s="128">
        <v>5400000</v>
      </c>
      <c r="G7" s="56">
        <v>60000</v>
      </c>
      <c r="H7" s="56">
        <v>1749631</v>
      </c>
      <c r="I7" s="145">
        <v>2390000</v>
      </c>
      <c r="J7" s="232">
        <f t="shared" si="0"/>
        <v>10339631</v>
      </c>
      <c r="K7" s="232"/>
    </row>
    <row r="8" spans="2:11">
      <c r="B8" s="128">
        <v>5</v>
      </c>
      <c r="C8" s="128">
        <v>0.08</v>
      </c>
      <c r="D8" s="56">
        <v>582000</v>
      </c>
      <c r="E8" s="56">
        <v>10000</v>
      </c>
      <c r="F8" s="128">
        <v>5400000</v>
      </c>
      <c r="G8" s="56">
        <v>55937.52</v>
      </c>
      <c r="H8" s="56">
        <v>1557241</v>
      </c>
      <c r="I8" s="145">
        <v>2310000</v>
      </c>
      <c r="J8" s="232">
        <f t="shared" si="0"/>
        <v>9915178.5199999996</v>
      </c>
      <c r="K8" s="232"/>
    </row>
    <row r="9" spans="2:11">
      <c r="B9" s="128">
        <v>6</v>
      </c>
      <c r="C9" s="128">
        <v>0.25</v>
      </c>
      <c r="D9" s="56">
        <v>1818750</v>
      </c>
      <c r="E9" s="56">
        <v>31250</v>
      </c>
      <c r="F9" s="128">
        <v>5400000</v>
      </c>
      <c r="G9" s="56">
        <v>158125</v>
      </c>
      <c r="H9" s="56">
        <v>3092292</v>
      </c>
      <c r="I9" s="145">
        <v>6360000</v>
      </c>
      <c r="J9" s="232">
        <f t="shared" si="0"/>
        <v>16860417</v>
      </c>
      <c r="K9" s="232"/>
    </row>
    <row r="10" spans="2:11">
      <c r="B10" s="128">
        <v>7</v>
      </c>
      <c r="C10" s="128">
        <v>0.25</v>
      </c>
      <c r="D10" s="56">
        <v>1818750</v>
      </c>
      <c r="E10" s="56">
        <v>31250</v>
      </c>
      <c r="F10" s="128">
        <v>5400000</v>
      </c>
      <c r="G10" s="56">
        <v>109375</v>
      </c>
      <c r="H10" s="146">
        <v>3442205</v>
      </c>
      <c r="I10" s="145">
        <v>6210000</v>
      </c>
      <c r="J10" s="232">
        <f t="shared" si="0"/>
        <v>17011580</v>
      </c>
      <c r="K10" s="232"/>
    </row>
    <row r="11" spans="2:11">
      <c r="B11" s="128">
        <v>8</v>
      </c>
      <c r="C11" s="128">
        <v>0.35</v>
      </c>
      <c r="D11" s="56">
        <v>2546250</v>
      </c>
      <c r="E11" s="56">
        <v>43750</v>
      </c>
      <c r="F11" s="128">
        <v>5400000</v>
      </c>
      <c r="G11" s="56">
        <v>124062.5</v>
      </c>
      <c r="H11" s="56">
        <v>4823723</v>
      </c>
      <c r="I11" s="145">
        <v>6600000</v>
      </c>
      <c r="J11" s="232">
        <f t="shared" si="0"/>
        <v>19537785.5</v>
      </c>
      <c r="K11" s="232"/>
    </row>
    <row r="12" spans="2:11">
      <c r="B12" s="128">
        <v>9</v>
      </c>
      <c r="C12" s="128">
        <v>0.3</v>
      </c>
      <c r="D12" s="56">
        <v>2182500</v>
      </c>
      <c r="E12" s="56">
        <v>37500</v>
      </c>
      <c r="F12" s="128">
        <v>5400000</v>
      </c>
      <c r="G12" s="56">
        <v>102187.5</v>
      </c>
      <c r="H12" s="56">
        <v>4147619</v>
      </c>
      <c r="I12" s="145">
        <v>4900000</v>
      </c>
      <c r="J12" s="232">
        <f t="shared" si="0"/>
        <v>16769806.5</v>
      </c>
      <c r="K12" s="232"/>
    </row>
    <row r="13" spans="2:11">
      <c r="B13" s="128">
        <v>10</v>
      </c>
      <c r="C13" s="128">
        <v>0.2</v>
      </c>
      <c r="D13" s="56">
        <v>1455000</v>
      </c>
      <c r="E13" s="56">
        <v>25000</v>
      </c>
      <c r="F13" s="128">
        <v>5400000</v>
      </c>
      <c r="G13" s="56">
        <v>54375</v>
      </c>
      <c r="H13" s="56">
        <v>1613579</v>
      </c>
      <c r="I13" s="145">
        <v>4990000</v>
      </c>
      <c r="J13" s="232"/>
      <c r="K13" s="232"/>
    </row>
    <row r="14" spans="2:11">
      <c r="B14" s="128">
        <v>11</v>
      </c>
      <c r="C14" s="128">
        <v>0.1</v>
      </c>
      <c r="D14" s="56">
        <v>727500</v>
      </c>
      <c r="E14" s="56">
        <v>12500</v>
      </c>
      <c r="F14" s="128">
        <v>5400000</v>
      </c>
      <c r="G14" s="56">
        <v>61562.49</v>
      </c>
      <c r="H14" s="56">
        <v>1180778</v>
      </c>
      <c r="I14" s="145">
        <v>2930000</v>
      </c>
      <c r="J14" s="232"/>
      <c r="K14" s="232"/>
    </row>
    <row r="15" spans="2:11">
      <c r="B15" s="128">
        <v>12</v>
      </c>
      <c r="C15" s="128">
        <v>0.25</v>
      </c>
      <c r="D15" s="56">
        <v>1818750</v>
      </c>
      <c r="E15" s="56">
        <v>31250</v>
      </c>
      <c r="F15" s="128">
        <v>5400000</v>
      </c>
      <c r="G15" s="56">
        <v>112812.5</v>
      </c>
      <c r="H15" s="56">
        <v>2864601</v>
      </c>
      <c r="I15" s="145">
        <v>4500000</v>
      </c>
      <c r="J15" s="232"/>
      <c r="K15" s="232"/>
    </row>
    <row r="16" spans="2:11">
      <c r="B16" s="128">
        <v>13</v>
      </c>
      <c r="C16" s="128">
        <v>0.23</v>
      </c>
      <c r="D16" s="56">
        <v>1673250</v>
      </c>
      <c r="E16" s="56">
        <v>28750</v>
      </c>
      <c r="F16" s="128">
        <v>5400000</v>
      </c>
      <c r="G16" s="56">
        <v>106250</v>
      </c>
      <c r="H16" s="56">
        <v>2844828</v>
      </c>
      <c r="I16" s="145">
        <v>5060000</v>
      </c>
      <c r="J16" s="232"/>
      <c r="K16" s="232"/>
    </row>
    <row r="17" spans="2:11">
      <c r="B17" s="128">
        <v>14</v>
      </c>
      <c r="C17" s="128">
        <v>0.35</v>
      </c>
      <c r="D17" s="56">
        <v>2546250</v>
      </c>
      <c r="E17" s="56">
        <v>43750</v>
      </c>
      <c r="F17" s="128">
        <v>5400000</v>
      </c>
      <c r="G17" s="56">
        <v>154687.5</v>
      </c>
      <c r="H17" s="56">
        <v>4328581</v>
      </c>
      <c r="I17" s="145">
        <v>6390000</v>
      </c>
      <c r="J17" s="232"/>
      <c r="K17" s="232"/>
    </row>
    <row r="18" spans="2:11">
      <c r="B18" s="128">
        <v>15</v>
      </c>
      <c r="C18" s="128">
        <v>0.27</v>
      </c>
      <c r="D18" s="56">
        <v>1964250</v>
      </c>
      <c r="E18" s="56">
        <v>33750</v>
      </c>
      <c r="F18" s="128">
        <v>5400000</v>
      </c>
      <c r="G18" s="56">
        <v>111875</v>
      </c>
      <c r="H18" s="146">
        <v>2978379</v>
      </c>
      <c r="I18" s="145">
        <v>6380000</v>
      </c>
      <c r="J18" s="232"/>
      <c r="K18" s="232"/>
    </row>
    <row r="19" spans="2:11">
      <c r="B19" s="128">
        <v>16</v>
      </c>
      <c r="C19" s="128">
        <v>0.12</v>
      </c>
      <c r="D19" s="56">
        <v>873000</v>
      </c>
      <c r="E19" s="56">
        <v>15000</v>
      </c>
      <c r="F19" s="128">
        <v>5400000</v>
      </c>
      <c r="G19" s="56">
        <v>64062.51</v>
      </c>
      <c r="H19" s="56">
        <v>6291075</v>
      </c>
      <c r="I19" s="145">
        <v>3600000</v>
      </c>
      <c r="J19" s="232"/>
      <c r="K19" s="232"/>
    </row>
    <row r="20" spans="2:11">
      <c r="B20" s="128">
        <v>17</v>
      </c>
      <c r="C20" s="128">
        <v>0.28999999999999998</v>
      </c>
      <c r="D20" s="56">
        <v>2109750</v>
      </c>
      <c r="E20" s="56">
        <v>36250</v>
      </c>
      <c r="F20" s="128">
        <v>5400000</v>
      </c>
      <c r="G20" s="56">
        <v>112812.5</v>
      </c>
      <c r="H20" s="56">
        <v>3555806</v>
      </c>
      <c r="I20" s="145">
        <v>4130000</v>
      </c>
      <c r="J20" s="232"/>
      <c r="K20" s="232"/>
    </row>
    <row r="21" spans="2:11">
      <c r="B21" s="128">
        <v>18</v>
      </c>
      <c r="C21" s="128">
        <v>0.28000000000000003</v>
      </c>
      <c r="D21" s="56">
        <v>2037000</v>
      </c>
      <c r="E21" s="56">
        <v>35000</v>
      </c>
      <c r="F21" s="128">
        <v>5400000</v>
      </c>
      <c r="G21" s="56">
        <v>61562.49</v>
      </c>
      <c r="H21" s="56">
        <v>3551275</v>
      </c>
      <c r="I21" s="145">
        <v>4990000</v>
      </c>
      <c r="J21" s="232"/>
      <c r="K21" s="232"/>
    </row>
    <row r="22" spans="2:11">
      <c r="B22" s="128">
        <v>19</v>
      </c>
      <c r="C22" s="128">
        <v>0.38</v>
      </c>
      <c r="D22" s="56">
        <v>2764500</v>
      </c>
      <c r="E22" s="56">
        <v>47500</v>
      </c>
      <c r="F22" s="128">
        <v>5400000</v>
      </c>
      <c r="G22" s="56">
        <v>167812.5</v>
      </c>
      <c r="H22" s="56">
        <v>4929435</v>
      </c>
      <c r="I22" s="145">
        <v>7900000</v>
      </c>
      <c r="J22" s="232"/>
      <c r="K22" s="232"/>
    </row>
    <row r="23" spans="2:11">
      <c r="B23" s="128">
        <v>20</v>
      </c>
      <c r="C23" s="128">
        <v>0.1</v>
      </c>
      <c r="D23" s="56">
        <v>727500</v>
      </c>
      <c r="E23" s="56">
        <v>12500</v>
      </c>
      <c r="F23" s="128">
        <v>5400000</v>
      </c>
      <c r="G23" s="56">
        <v>60937.47</v>
      </c>
      <c r="H23" s="56">
        <v>1703328</v>
      </c>
      <c r="I23" s="145">
        <v>3830000</v>
      </c>
      <c r="J23" s="232"/>
      <c r="K23" s="232"/>
    </row>
    <row r="24" spans="2:11">
      <c r="B24" s="128">
        <v>21</v>
      </c>
      <c r="C24" s="128">
        <v>0.08</v>
      </c>
      <c r="D24" s="56">
        <v>582000</v>
      </c>
      <c r="E24" s="56">
        <v>10000</v>
      </c>
      <c r="F24" s="128">
        <v>5400000</v>
      </c>
      <c r="G24" s="56">
        <v>55937.52</v>
      </c>
      <c r="H24" s="56">
        <v>1117445</v>
      </c>
      <c r="I24" s="233">
        <v>3130000</v>
      </c>
      <c r="J24" s="233"/>
      <c r="K24" s="51"/>
    </row>
    <row r="25" spans="2:11">
      <c r="B25" s="128">
        <v>22</v>
      </c>
      <c r="C25" s="128">
        <v>0.24</v>
      </c>
      <c r="D25" s="56">
        <v>1746000</v>
      </c>
      <c r="E25" s="56">
        <v>30000</v>
      </c>
      <c r="F25" s="128">
        <v>5400000</v>
      </c>
      <c r="G25" s="56">
        <v>110312.5</v>
      </c>
      <c r="H25" s="146">
        <v>3168970</v>
      </c>
      <c r="I25" s="233">
        <v>5140000</v>
      </c>
      <c r="J25" s="233"/>
      <c r="K25" s="51"/>
    </row>
    <row r="26" spans="2:11">
      <c r="B26" s="128">
        <v>23</v>
      </c>
      <c r="C26" s="128">
        <v>0.2</v>
      </c>
      <c r="D26" s="56">
        <v>1455000</v>
      </c>
      <c r="E26" s="56">
        <v>25000</v>
      </c>
      <c r="F26" s="128">
        <v>5400000</v>
      </c>
      <c r="G26" s="56">
        <v>66562.5</v>
      </c>
      <c r="H26" s="56">
        <v>2741795</v>
      </c>
      <c r="I26" s="233">
        <v>3150000</v>
      </c>
      <c r="J26" s="233"/>
      <c r="K26" s="51"/>
    </row>
    <row r="27" spans="2:11">
      <c r="B27" s="128">
        <v>24</v>
      </c>
      <c r="C27" s="128">
        <v>0.1</v>
      </c>
      <c r="D27" s="56">
        <v>727500</v>
      </c>
      <c r="E27" s="56">
        <v>12500</v>
      </c>
      <c r="F27" s="128">
        <v>5400000</v>
      </c>
      <c r="G27" s="56">
        <v>55937.52</v>
      </c>
      <c r="H27" s="56">
        <v>1528328</v>
      </c>
      <c r="I27" s="233">
        <v>2390000</v>
      </c>
      <c r="J27" s="233"/>
      <c r="K27" s="51"/>
    </row>
    <row r="28" spans="2:11">
      <c r="B28" s="128">
        <v>25</v>
      </c>
      <c r="C28" s="128">
        <v>0.14000000000000001</v>
      </c>
      <c r="D28" s="56">
        <v>1018500</v>
      </c>
      <c r="E28" s="56">
        <v>17500</v>
      </c>
      <c r="F28" s="128">
        <v>5400000</v>
      </c>
      <c r="G28" s="56">
        <v>62499.99</v>
      </c>
      <c r="H28" s="56">
        <v>2139883</v>
      </c>
      <c r="I28" s="233">
        <v>3340000</v>
      </c>
      <c r="J28" s="233"/>
      <c r="K28" s="51"/>
    </row>
    <row r="29" spans="2:11">
      <c r="B29" s="128">
        <v>26</v>
      </c>
      <c r="C29" s="128">
        <v>0.25</v>
      </c>
      <c r="D29" s="56">
        <v>1818750</v>
      </c>
      <c r="E29" s="56">
        <v>31250</v>
      </c>
      <c r="F29" s="128">
        <v>5400000</v>
      </c>
      <c r="G29" s="56">
        <v>106250</v>
      </c>
      <c r="H29" s="56">
        <v>2967676</v>
      </c>
      <c r="I29" s="233">
        <v>5160000</v>
      </c>
      <c r="J29" s="233"/>
      <c r="K29" s="51"/>
    </row>
    <row r="30" spans="2:11">
      <c r="B30" s="128">
        <v>27</v>
      </c>
      <c r="C30" s="128">
        <v>0.08</v>
      </c>
      <c r="D30" s="56">
        <v>582000</v>
      </c>
      <c r="E30" s="56">
        <v>10000</v>
      </c>
      <c r="F30" s="128">
        <v>5400000</v>
      </c>
      <c r="G30" s="56">
        <v>58437.51</v>
      </c>
      <c r="H30" s="56">
        <v>1396535</v>
      </c>
      <c r="I30" s="233">
        <v>1950000</v>
      </c>
      <c r="J30" s="233"/>
      <c r="K30" s="51"/>
    </row>
    <row r="31" spans="2:11">
      <c r="B31" s="128">
        <v>28</v>
      </c>
      <c r="C31" s="128">
        <v>0.2</v>
      </c>
      <c r="D31" s="56">
        <v>1455000</v>
      </c>
      <c r="E31" s="56">
        <v>25000</v>
      </c>
      <c r="F31" s="128">
        <v>5400000</v>
      </c>
      <c r="G31" s="56">
        <v>64062.51</v>
      </c>
      <c r="H31" s="56">
        <v>2742110</v>
      </c>
      <c r="I31" s="233">
        <v>2750000</v>
      </c>
      <c r="J31" s="233"/>
      <c r="K31" s="51"/>
    </row>
    <row r="32" spans="2:11">
      <c r="B32" s="128">
        <v>29</v>
      </c>
      <c r="C32" s="128">
        <v>0.1</v>
      </c>
      <c r="D32" s="56">
        <v>727500</v>
      </c>
      <c r="E32" s="56">
        <v>12500</v>
      </c>
      <c r="F32" s="128">
        <v>5400000</v>
      </c>
      <c r="G32" s="56">
        <v>58437.51</v>
      </c>
      <c r="H32" s="56">
        <v>1423643</v>
      </c>
      <c r="I32" s="233">
        <v>2950000</v>
      </c>
      <c r="J32" s="233"/>
      <c r="K32" s="51"/>
    </row>
    <row r="33" spans="2:11">
      <c r="B33" s="128">
        <v>30</v>
      </c>
      <c r="C33" s="128">
        <v>0.16</v>
      </c>
      <c r="D33" s="56">
        <v>1164000</v>
      </c>
      <c r="E33" s="56">
        <v>20000</v>
      </c>
      <c r="F33" s="128">
        <v>5400000</v>
      </c>
      <c r="G33" s="56">
        <v>68124.990000000005</v>
      </c>
      <c r="H33" s="56">
        <v>2707915</v>
      </c>
      <c r="I33" s="233">
        <v>3990000</v>
      </c>
      <c r="J33" s="233"/>
      <c r="K33" s="51"/>
    </row>
    <row r="34" spans="2:11">
      <c r="B34" s="128" t="s">
        <v>65</v>
      </c>
      <c r="C34" s="128">
        <v>5.87</v>
      </c>
      <c r="D34" s="56">
        <v>42704250</v>
      </c>
      <c r="E34" s="56">
        <v>733750</v>
      </c>
      <c r="F34" s="128">
        <v>162000000</v>
      </c>
      <c r="G34" s="56">
        <v>2615313</v>
      </c>
      <c r="H34" s="128">
        <v>82852439.5</v>
      </c>
      <c r="I34" s="234">
        <v>127110000</v>
      </c>
      <c r="J34" s="234"/>
      <c r="K34" s="51"/>
    </row>
    <row r="35" spans="2:11">
      <c r="B35" s="128" t="s">
        <v>76</v>
      </c>
      <c r="C35" s="128">
        <v>0.2</v>
      </c>
      <c r="D35" s="56">
        <v>1423475</v>
      </c>
      <c r="E35" s="56">
        <v>24458.33</v>
      </c>
      <c r="F35" s="128">
        <v>5400000</v>
      </c>
      <c r="G35" s="56">
        <v>87177.09</v>
      </c>
      <c r="H35" s="128">
        <v>2761747.983</v>
      </c>
      <c r="I35" s="235">
        <v>4237000</v>
      </c>
      <c r="J35" s="235"/>
      <c r="K35" s="51"/>
    </row>
    <row r="36" spans="2:11">
      <c r="B36" s="56" t="s">
        <v>77</v>
      </c>
      <c r="C36" s="56" t="s">
        <v>66</v>
      </c>
      <c r="D36" s="56">
        <v>7117375</v>
      </c>
      <c r="E36" s="56">
        <v>122291.67</v>
      </c>
      <c r="F36" s="56">
        <v>27000000</v>
      </c>
      <c r="G36" s="56">
        <v>435885.4</v>
      </c>
      <c r="H36" s="56">
        <v>13808739.92</v>
      </c>
      <c r="I36" s="235">
        <v>21185000</v>
      </c>
      <c r="J36" s="235"/>
      <c r="K36" s="51"/>
    </row>
  </sheetData>
  <mergeCells count="37">
    <mergeCell ref="I36:J36"/>
    <mergeCell ref="I30:J30"/>
    <mergeCell ref="I31:J31"/>
    <mergeCell ref="I32:J32"/>
    <mergeCell ref="I33:J33"/>
    <mergeCell ref="I34:J34"/>
    <mergeCell ref="I35:J35"/>
    <mergeCell ref="I29:J29"/>
    <mergeCell ref="J18:K18"/>
    <mergeCell ref="J19:K19"/>
    <mergeCell ref="J20:K20"/>
    <mergeCell ref="J21:K21"/>
    <mergeCell ref="J22:K22"/>
    <mergeCell ref="J23:K23"/>
    <mergeCell ref="I24:J24"/>
    <mergeCell ref="I25:J25"/>
    <mergeCell ref="I26:J26"/>
    <mergeCell ref="I27:J27"/>
    <mergeCell ref="I28:J28"/>
    <mergeCell ref="J17:K17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5:K5"/>
    <mergeCell ref="B2:B3"/>
    <mergeCell ref="G2:G3"/>
    <mergeCell ref="H2:H3"/>
    <mergeCell ref="J2:K3"/>
    <mergeCell ref="J4:K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5"/>
  <sheetViews>
    <sheetView topLeftCell="C1" workbookViewId="0">
      <selection activeCell="I19" sqref="I19:J19"/>
    </sheetView>
  </sheetViews>
  <sheetFormatPr defaultRowHeight="15"/>
  <cols>
    <col min="8" max="8" width="12.125" customWidth="1"/>
    <col min="9" max="9" width="18.125" hidden="1" customWidth="1"/>
    <col min="10" max="10" width="13.125" customWidth="1"/>
  </cols>
  <sheetData>
    <row r="1" spans="1:13" ht="24.75">
      <c r="A1" s="240" t="s">
        <v>0</v>
      </c>
      <c r="B1" s="110" t="s">
        <v>121</v>
      </c>
      <c r="C1" s="112" t="s">
        <v>60</v>
      </c>
      <c r="D1" s="114" t="s">
        <v>128</v>
      </c>
      <c r="E1" s="116" t="s">
        <v>83</v>
      </c>
      <c r="F1" s="240" t="s">
        <v>129</v>
      </c>
      <c r="G1" s="240" t="s">
        <v>130</v>
      </c>
      <c r="H1" s="116" t="s">
        <v>131</v>
      </c>
      <c r="I1" s="243" t="s">
        <v>132</v>
      </c>
      <c r="J1" s="244"/>
    </row>
    <row r="2" spans="1:13" ht="15.75" thickBot="1">
      <c r="A2" s="241"/>
      <c r="B2" s="111" t="s">
        <v>59</v>
      </c>
      <c r="C2" s="113" t="s">
        <v>61</v>
      </c>
      <c r="D2" s="115" t="s">
        <v>61</v>
      </c>
      <c r="E2" s="117" t="s">
        <v>61</v>
      </c>
      <c r="F2" s="242"/>
      <c r="G2" s="242"/>
      <c r="H2" s="117" t="s">
        <v>61</v>
      </c>
      <c r="I2" s="245"/>
      <c r="J2" s="246"/>
    </row>
    <row r="3" spans="1:13">
      <c r="A3" s="118">
        <v>1</v>
      </c>
      <c r="B3" s="119">
        <v>0.1</v>
      </c>
      <c r="C3" s="125">
        <v>727500</v>
      </c>
      <c r="D3" s="125">
        <v>12500</v>
      </c>
      <c r="E3" s="119">
        <v>5400000</v>
      </c>
      <c r="F3" s="125">
        <v>55937.52</v>
      </c>
      <c r="G3" s="125">
        <v>1557131</v>
      </c>
      <c r="H3" s="145">
        <v>3020000</v>
      </c>
      <c r="I3" s="236">
        <f>C3+D3+E3+F3+G3+H3</f>
        <v>10773068.52</v>
      </c>
      <c r="J3" s="237"/>
    </row>
    <row r="4" spans="1:13">
      <c r="A4" s="118">
        <v>2</v>
      </c>
      <c r="B4" s="119">
        <v>0.2</v>
      </c>
      <c r="C4" s="125">
        <v>1455000</v>
      </c>
      <c r="D4" s="125">
        <v>25000</v>
      </c>
      <c r="E4" s="119">
        <v>5400000</v>
      </c>
      <c r="F4" s="125">
        <v>55937.52</v>
      </c>
      <c r="G4" s="125">
        <v>2843013</v>
      </c>
      <c r="H4" s="145">
        <v>3800000</v>
      </c>
      <c r="I4" s="238">
        <f t="shared" ref="I4:I22" si="0">C4+D4+E4+F4+G4+H4</f>
        <v>13578950.52</v>
      </c>
      <c r="J4" s="239"/>
    </row>
    <row r="5" spans="1:13">
      <c r="A5" s="118">
        <v>3</v>
      </c>
      <c r="B5" s="119">
        <v>0.12</v>
      </c>
      <c r="C5" s="125">
        <v>873000</v>
      </c>
      <c r="D5" s="125">
        <v>15000</v>
      </c>
      <c r="E5" s="119">
        <v>5400000</v>
      </c>
      <c r="F5" s="125">
        <v>118437.5</v>
      </c>
      <c r="G5" s="125">
        <v>1863622</v>
      </c>
      <c r="H5" s="145">
        <v>2870000</v>
      </c>
      <c r="I5" s="238">
        <f t="shared" si="0"/>
        <v>11140059.5</v>
      </c>
      <c r="J5" s="239"/>
    </row>
    <row r="6" spans="1:13">
      <c r="A6" s="118">
        <v>4</v>
      </c>
      <c r="B6" s="119">
        <v>0.1</v>
      </c>
      <c r="C6" s="125">
        <v>727500</v>
      </c>
      <c r="D6" s="125">
        <v>12500</v>
      </c>
      <c r="E6" s="119">
        <v>5400000</v>
      </c>
      <c r="F6" s="125">
        <v>60000</v>
      </c>
      <c r="G6" s="125">
        <v>1749631</v>
      </c>
      <c r="H6" s="145">
        <v>2390000</v>
      </c>
      <c r="I6" s="238">
        <f t="shared" si="0"/>
        <v>10339631</v>
      </c>
      <c r="J6" s="239"/>
    </row>
    <row r="7" spans="1:13">
      <c r="A7" s="118">
        <v>5</v>
      </c>
      <c r="B7" s="119">
        <v>0.08</v>
      </c>
      <c r="C7" s="125">
        <v>582000</v>
      </c>
      <c r="D7" s="125">
        <v>10000</v>
      </c>
      <c r="E7" s="119">
        <v>5400000</v>
      </c>
      <c r="F7" s="125">
        <v>55937.52</v>
      </c>
      <c r="G7" s="125">
        <v>1557241</v>
      </c>
      <c r="H7" s="145">
        <v>2310000</v>
      </c>
      <c r="I7" s="238">
        <f t="shared" si="0"/>
        <v>9915178.5199999996</v>
      </c>
      <c r="J7" s="239"/>
    </row>
    <row r="8" spans="1:13">
      <c r="A8" s="118">
        <v>6</v>
      </c>
      <c r="B8" s="119">
        <v>0.25</v>
      </c>
      <c r="C8" s="125">
        <v>1818750</v>
      </c>
      <c r="D8" s="125">
        <v>31250</v>
      </c>
      <c r="E8" s="119">
        <v>5400000</v>
      </c>
      <c r="F8" s="125">
        <v>158125</v>
      </c>
      <c r="G8" s="125">
        <v>3092292</v>
      </c>
      <c r="H8" s="145">
        <v>6360000</v>
      </c>
      <c r="I8" s="238">
        <f t="shared" si="0"/>
        <v>16860417</v>
      </c>
      <c r="J8" s="239"/>
    </row>
    <row r="9" spans="1:13">
      <c r="A9" s="118">
        <v>7</v>
      </c>
      <c r="B9" s="119">
        <v>0.25</v>
      </c>
      <c r="C9" s="125">
        <v>1818750</v>
      </c>
      <c r="D9" s="125">
        <v>31250</v>
      </c>
      <c r="E9" s="119">
        <v>5400000</v>
      </c>
      <c r="F9" s="125">
        <v>109375</v>
      </c>
      <c r="G9" s="141">
        <v>3442205</v>
      </c>
      <c r="H9" s="145">
        <v>6210000</v>
      </c>
      <c r="I9" s="238">
        <f t="shared" si="0"/>
        <v>17011580</v>
      </c>
      <c r="J9" s="239"/>
    </row>
    <row r="10" spans="1:13">
      <c r="A10" s="118">
        <v>8</v>
      </c>
      <c r="B10" s="119">
        <v>0.35</v>
      </c>
      <c r="C10" s="125">
        <v>2546250</v>
      </c>
      <c r="D10" s="125">
        <v>43750</v>
      </c>
      <c r="E10" s="119">
        <v>5400000</v>
      </c>
      <c r="F10" s="125">
        <v>124062.5</v>
      </c>
      <c r="G10" s="125">
        <v>4823723</v>
      </c>
      <c r="H10" s="145">
        <v>6600000</v>
      </c>
      <c r="I10" s="238">
        <f t="shared" si="0"/>
        <v>19537785.5</v>
      </c>
      <c r="J10" s="239"/>
      <c r="M10" s="140">
        <v>3130000</v>
      </c>
    </row>
    <row r="11" spans="1:13">
      <c r="A11" s="118">
        <v>9</v>
      </c>
      <c r="B11" s="119">
        <v>0.3</v>
      </c>
      <c r="C11" s="125">
        <v>2182500</v>
      </c>
      <c r="D11" s="125">
        <v>37500</v>
      </c>
      <c r="E11" s="119">
        <v>5400000</v>
      </c>
      <c r="F11" s="125">
        <v>102187.5</v>
      </c>
      <c r="G11" s="125">
        <v>4147619</v>
      </c>
      <c r="H11" s="145">
        <v>4900000</v>
      </c>
      <c r="I11" s="238">
        <f t="shared" si="0"/>
        <v>16769806.5</v>
      </c>
      <c r="J11" s="239"/>
      <c r="M11" s="140">
        <v>5140000</v>
      </c>
    </row>
    <row r="12" spans="1:13">
      <c r="A12" s="118">
        <v>10</v>
      </c>
      <c r="B12" s="119">
        <v>0.2</v>
      </c>
      <c r="C12" s="125">
        <v>1455000</v>
      </c>
      <c r="D12" s="125">
        <v>25000</v>
      </c>
      <c r="E12" s="119">
        <v>5400000</v>
      </c>
      <c r="F12" s="125">
        <v>54375</v>
      </c>
      <c r="G12" s="125">
        <v>1613579</v>
      </c>
      <c r="H12" s="145">
        <v>4990000</v>
      </c>
      <c r="I12" s="238">
        <f t="shared" si="0"/>
        <v>13537954</v>
      </c>
      <c r="J12" s="239"/>
      <c r="M12" s="140">
        <v>3150000</v>
      </c>
    </row>
    <row r="13" spans="1:13">
      <c r="A13" s="118">
        <v>11</v>
      </c>
      <c r="B13" s="119">
        <v>0.1</v>
      </c>
      <c r="C13" s="125">
        <v>727500</v>
      </c>
      <c r="D13" s="125">
        <v>12500</v>
      </c>
      <c r="E13" s="119">
        <v>5400000</v>
      </c>
      <c r="F13" s="125">
        <v>61562.49</v>
      </c>
      <c r="G13" s="125">
        <v>1180778</v>
      </c>
      <c r="H13" s="145">
        <v>2930000</v>
      </c>
      <c r="I13" s="238">
        <f t="shared" si="0"/>
        <v>10312340.49</v>
      </c>
      <c r="J13" s="239"/>
      <c r="M13" s="140">
        <v>2390000</v>
      </c>
    </row>
    <row r="14" spans="1:13">
      <c r="A14" s="118">
        <v>12</v>
      </c>
      <c r="B14" s="119">
        <v>0.25</v>
      </c>
      <c r="C14" s="125">
        <v>1818750</v>
      </c>
      <c r="D14" s="125">
        <v>31250</v>
      </c>
      <c r="E14" s="119">
        <v>5400000</v>
      </c>
      <c r="F14" s="125">
        <v>112812.5</v>
      </c>
      <c r="G14" s="125">
        <v>2864601</v>
      </c>
      <c r="H14" s="145">
        <v>4500000</v>
      </c>
      <c r="I14" s="238">
        <f t="shared" si="0"/>
        <v>14727413.5</v>
      </c>
      <c r="J14" s="239"/>
      <c r="M14" s="140">
        <v>3340000</v>
      </c>
    </row>
    <row r="15" spans="1:13">
      <c r="A15" s="118">
        <v>13</v>
      </c>
      <c r="B15" s="119">
        <v>0.23</v>
      </c>
      <c r="C15" s="125">
        <v>1673250</v>
      </c>
      <c r="D15" s="125">
        <v>28750</v>
      </c>
      <c r="E15" s="119">
        <v>5400000</v>
      </c>
      <c r="F15" s="125">
        <v>106250</v>
      </c>
      <c r="G15" s="125">
        <v>2844828</v>
      </c>
      <c r="H15" s="145">
        <v>5060000</v>
      </c>
      <c r="I15" s="238">
        <f t="shared" si="0"/>
        <v>15113078</v>
      </c>
      <c r="J15" s="239"/>
      <c r="M15" s="140">
        <v>5160000</v>
      </c>
    </row>
    <row r="16" spans="1:13">
      <c r="A16" s="118">
        <v>14</v>
      </c>
      <c r="B16" s="119">
        <v>0.35</v>
      </c>
      <c r="C16" s="125">
        <v>2546250</v>
      </c>
      <c r="D16" s="125">
        <v>43750</v>
      </c>
      <c r="E16" s="119">
        <v>5400000</v>
      </c>
      <c r="F16" s="125">
        <v>154687.5</v>
      </c>
      <c r="G16" s="125">
        <v>4328581</v>
      </c>
      <c r="H16" s="145">
        <v>6390000</v>
      </c>
      <c r="I16" s="238">
        <f t="shared" si="0"/>
        <v>18863268.5</v>
      </c>
      <c r="J16" s="239"/>
      <c r="M16" s="140">
        <v>1950000</v>
      </c>
    </row>
    <row r="17" spans="1:13">
      <c r="A17" s="118">
        <v>15</v>
      </c>
      <c r="B17" s="119">
        <v>0.27</v>
      </c>
      <c r="C17" s="125">
        <v>1964250</v>
      </c>
      <c r="D17" s="125">
        <v>33750</v>
      </c>
      <c r="E17" s="119">
        <v>5400000</v>
      </c>
      <c r="F17" s="125">
        <v>111875</v>
      </c>
      <c r="G17" s="141">
        <v>2978379</v>
      </c>
      <c r="H17" s="145">
        <v>6380000</v>
      </c>
      <c r="I17" s="238">
        <f t="shared" si="0"/>
        <v>16868254</v>
      </c>
      <c r="J17" s="239"/>
      <c r="M17" s="140">
        <v>2750000</v>
      </c>
    </row>
    <row r="18" spans="1:13">
      <c r="A18" s="118">
        <v>16</v>
      </c>
      <c r="B18" s="119">
        <v>0.12</v>
      </c>
      <c r="C18" s="125">
        <v>873000</v>
      </c>
      <c r="D18" s="125">
        <v>15000</v>
      </c>
      <c r="E18" s="119">
        <v>5400000</v>
      </c>
      <c r="F18" s="125">
        <v>64062.51</v>
      </c>
      <c r="G18" s="125">
        <v>6291075</v>
      </c>
      <c r="H18" s="145">
        <v>3600000</v>
      </c>
      <c r="I18" s="238">
        <f t="shared" si="0"/>
        <v>16243137.51</v>
      </c>
      <c r="J18" s="239"/>
      <c r="M18" s="140">
        <v>2950000</v>
      </c>
    </row>
    <row r="19" spans="1:13" ht="15.75" thickBot="1">
      <c r="A19" s="118">
        <v>17</v>
      </c>
      <c r="B19" s="119">
        <v>0.28999999999999998</v>
      </c>
      <c r="C19" s="125">
        <v>2109750</v>
      </c>
      <c r="D19" s="125">
        <v>36250</v>
      </c>
      <c r="E19" s="119">
        <v>5400000</v>
      </c>
      <c r="F19" s="125">
        <v>112812.5</v>
      </c>
      <c r="G19" s="125">
        <v>3555806</v>
      </c>
      <c r="H19" s="145">
        <v>4130000</v>
      </c>
      <c r="I19" s="238">
        <f t="shared" si="0"/>
        <v>15344618.5</v>
      </c>
      <c r="J19" s="239"/>
      <c r="M19" s="147">
        <v>3990000</v>
      </c>
    </row>
    <row r="20" spans="1:13" ht="15.75" thickBot="1">
      <c r="A20" s="118">
        <v>18</v>
      </c>
      <c r="B20" s="119">
        <v>0.28000000000000003</v>
      </c>
      <c r="C20" s="125">
        <v>2037000</v>
      </c>
      <c r="D20" s="125">
        <v>35000</v>
      </c>
      <c r="E20" s="119">
        <v>5400000</v>
      </c>
      <c r="F20" s="125">
        <v>61562.49</v>
      </c>
      <c r="G20" s="125">
        <v>3551275</v>
      </c>
      <c r="H20" s="145">
        <v>4990000</v>
      </c>
      <c r="I20" s="238">
        <f t="shared" si="0"/>
        <v>16074837.49</v>
      </c>
      <c r="J20" s="239"/>
      <c r="M20" s="148">
        <v>127110000</v>
      </c>
    </row>
    <row r="21" spans="1:13" ht="15.75" thickBot="1">
      <c r="A21" s="118">
        <v>19</v>
      </c>
      <c r="B21" s="119">
        <v>0.38</v>
      </c>
      <c r="C21" s="125">
        <v>2764500</v>
      </c>
      <c r="D21" s="125">
        <v>47500</v>
      </c>
      <c r="E21" s="119">
        <v>5400000</v>
      </c>
      <c r="F21" s="125">
        <v>167812.5</v>
      </c>
      <c r="G21" s="125">
        <v>4929435</v>
      </c>
      <c r="H21" s="145">
        <v>7900000</v>
      </c>
      <c r="I21" s="238">
        <f t="shared" si="0"/>
        <v>21209247.5</v>
      </c>
      <c r="J21" s="239"/>
      <c r="M21" s="115">
        <v>4237000</v>
      </c>
    </row>
    <row r="22" spans="1:13" ht="15.75" thickBot="1">
      <c r="A22" s="118">
        <v>20</v>
      </c>
      <c r="B22" s="119">
        <v>0.1</v>
      </c>
      <c r="C22" s="125">
        <v>727500</v>
      </c>
      <c r="D22" s="125">
        <v>12500</v>
      </c>
      <c r="E22" s="119">
        <v>5400000</v>
      </c>
      <c r="F22" s="125">
        <v>60937.47</v>
      </c>
      <c r="G22" s="125">
        <v>1703328</v>
      </c>
      <c r="H22" s="145">
        <v>3830000</v>
      </c>
      <c r="I22" s="238">
        <f t="shared" si="0"/>
        <v>11734265.469999999</v>
      </c>
      <c r="J22" s="239"/>
      <c r="M22" s="115">
        <v>21185000</v>
      </c>
    </row>
    <row r="23" spans="1:13">
      <c r="A23" s="118">
        <v>21</v>
      </c>
      <c r="B23" s="119">
        <v>0.08</v>
      </c>
      <c r="C23" s="125">
        <v>582000</v>
      </c>
      <c r="D23" s="125">
        <v>10000</v>
      </c>
      <c r="E23" s="119">
        <v>5400000</v>
      </c>
      <c r="F23" s="125">
        <v>55937.52</v>
      </c>
      <c r="G23" s="125">
        <v>1117445</v>
      </c>
      <c r="H23" s="145">
        <v>3130000</v>
      </c>
      <c r="I23" s="149">
        <v>3130000</v>
      </c>
      <c r="J23" s="18">
        <f>C23+D23+E23+F23+G23+H23</f>
        <v>10295382.52</v>
      </c>
    </row>
    <row r="24" spans="1:13">
      <c r="A24" s="118">
        <v>22</v>
      </c>
      <c r="B24" s="119">
        <v>0.24</v>
      </c>
      <c r="C24" s="125">
        <v>1746000</v>
      </c>
      <c r="D24" s="125">
        <v>30000</v>
      </c>
      <c r="E24" s="119">
        <v>5400000</v>
      </c>
      <c r="F24" s="125">
        <v>110312.5</v>
      </c>
      <c r="G24" s="141">
        <v>3168970</v>
      </c>
      <c r="H24" s="145">
        <v>5140000</v>
      </c>
      <c r="I24" s="149">
        <v>5140000</v>
      </c>
      <c r="J24" s="18">
        <f t="shared" ref="J24:J32" si="1">C24+D24+E24+F24+G24+H24</f>
        <v>15595282.5</v>
      </c>
    </row>
    <row r="25" spans="1:13">
      <c r="A25" s="118">
        <v>23</v>
      </c>
      <c r="B25" s="119">
        <v>0.2</v>
      </c>
      <c r="C25" s="125">
        <v>1455000</v>
      </c>
      <c r="D25" s="125">
        <v>25000</v>
      </c>
      <c r="E25" s="119">
        <v>5400000</v>
      </c>
      <c r="F25" s="125">
        <v>66562.5</v>
      </c>
      <c r="G25" s="125">
        <v>2741795</v>
      </c>
      <c r="H25" s="145">
        <v>3150000</v>
      </c>
      <c r="I25" s="149">
        <v>3150000</v>
      </c>
      <c r="J25" s="18">
        <f t="shared" si="1"/>
        <v>12838357.5</v>
      </c>
    </row>
    <row r="26" spans="1:13">
      <c r="A26" s="118">
        <v>24</v>
      </c>
      <c r="B26" s="119">
        <v>0.1</v>
      </c>
      <c r="C26" s="125">
        <v>727500</v>
      </c>
      <c r="D26" s="125">
        <v>12500</v>
      </c>
      <c r="E26" s="119">
        <v>5400000</v>
      </c>
      <c r="F26" s="125">
        <v>55937.52</v>
      </c>
      <c r="G26" s="125">
        <v>1528328</v>
      </c>
      <c r="H26" s="145">
        <v>2390000</v>
      </c>
      <c r="I26" s="149">
        <v>2390000</v>
      </c>
      <c r="J26" s="18">
        <f t="shared" si="1"/>
        <v>10114265.52</v>
      </c>
    </row>
    <row r="27" spans="1:13">
      <c r="A27" s="118">
        <v>25</v>
      </c>
      <c r="B27" s="119">
        <v>0.14000000000000001</v>
      </c>
      <c r="C27" s="125">
        <v>1018500</v>
      </c>
      <c r="D27" s="125">
        <v>17500</v>
      </c>
      <c r="E27" s="119">
        <v>5400000</v>
      </c>
      <c r="F27" s="125">
        <v>62499.99</v>
      </c>
      <c r="G27" s="125">
        <v>2139883</v>
      </c>
      <c r="H27" s="145">
        <v>3340000</v>
      </c>
      <c r="I27" s="149">
        <v>3340000</v>
      </c>
      <c r="J27" s="18">
        <f t="shared" si="1"/>
        <v>11978382.99</v>
      </c>
    </row>
    <row r="28" spans="1:13">
      <c r="A28" s="118">
        <v>26</v>
      </c>
      <c r="B28" s="119">
        <v>0.25</v>
      </c>
      <c r="C28" s="125">
        <v>1818750</v>
      </c>
      <c r="D28" s="125">
        <v>31250</v>
      </c>
      <c r="E28" s="119">
        <v>5400000</v>
      </c>
      <c r="F28" s="125">
        <v>106250</v>
      </c>
      <c r="G28" s="125">
        <v>2967676</v>
      </c>
      <c r="H28" s="145">
        <v>5160000</v>
      </c>
      <c r="I28" s="149">
        <v>5160000</v>
      </c>
      <c r="J28" s="18">
        <f t="shared" si="1"/>
        <v>15483926</v>
      </c>
    </row>
    <row r="29" spans="1:13">
      <c r="A29" s="118">
        <v>27</v>
      </c>
      <c r="B29" s="119">
        <v>0.08</v>
      </c>
      <c r="C29" s="125">
        <v>582000</v>
      </c>
      <c r="D29" s="125">
        <v>10000</v>
      </c>
      <c r="E29" s="119">
        <v>5400000</v>
      </c>
      <c r="F29" s="125">
        <v>58437.51</v>
      </c>
      <c r="G29" s="125">
        <v>1396535</v>
      </c>
      <c r="H29" s="145">
        <v>1950000</v>
      </c>
      <c r="I29" s="149">
        <v>1950000</v>
      </c>
      <c r="J29" s="18">
        <f t="shared" si="1"/>
        <v>9396972.5099999998</v>
      </c>
    </row>
    <row r="30" spans="1:13">
      <c r="A30" s="118">
        <v>28</v>
      </c>
      <c r="B30" s="119">
        <v>0.2</v>
      </c>
      <c r="C30" s="125">
        <v>1455000</v>
      </c>
      <c r="D30" s="125">
        <v>25000</v>
      </c>
      <c r="E30" s="119">
        <v>5400000</v>
      </c>
      <c r="F30" s="125">
        <v>64062.51</v>
      </c>
      <c r="G30" s="125">
        <v>2742110</v>
      </c>
      <c r="H30" s="145">
        <v>2750000</v>
      </c>
      <c r="I30" s="149">
        <v>2750000</v>
      </c>
      <c r="J30" s="18">
        <f t="shared" si="1"/>
        <v>12436172.51</v>
      </c>
    </row>
    <row r="31" spans="1:13">
      <c r="A31" s="118">
        <v>29</v>
      </c>
      <c r="B31" s="119">
        <v>0.1</v>
      </c>
      <c r="C31" s="125">
        <v>727500</v>
      </c>
      <c r="D31" s="125">
        <v>12500</v>
      </c>
      <c r="E31" s="119">
        <v>5400000</v>
      </c>
      <c r="F31" s="125">
        <v>58437.51</v>
      </c>
      <c r="G31" s="125">
        <v>1423643</v>
      </c>
      <c r="H31" s="145">
        <v>2950000</v>
      </c>
      <c r="I31" s="149">
        <v>2950000</v>
      </c>
      <c r="J31" s="18">
        <f t="shared" si="1"/>
        <v>10572080.51</v>
      </c>
    </row>
    <row r="32" spans="1:13" ht="15.75" thickBot="1">
      <c r="A32" s="121">
        <v>30</v>
      </c>
      <c r="B32" s="117">
        <v>0.16</v>
      </c>
      <c r="C32" s="115">
        <v>1164000</v>
      </c>
      <c r="D32" s="115">
        <v>20000</v>
      </c>
      <c r="E32" s="117">
        <v>5400000</v>
      </c>
      <c r="F32" s="115">
        <v>68124.990000000005</v>
      </c>
      <c r="G32" s="115">
        <v>2707915</v>
      </c>
      <c r="H32" s="142">
        <v>3990000</v>
      </c>
      <c r="I32" s="150">
        <v>3990000</v>
      </c>
      <c r="J32" s="18">
        <f t="shared" si="1"/>
        <v>13350039.99</v>
      </c>
    </row>
    <row r="33" spans="1:10" ht="15.75" thickBot="1">
      <c r="A33" s="118" t="s">
        <v>65</v>
      </c>
      <c r="B33" s="117">
        <v>5.87</v>
      </c>
      <c r="C33" s="115">
        <v>42704250</v>
      </c>
      <c r="D33" s="115">
        <v>733750</v>
      </c>
      <c r="E33" s="117">
        <v>162000000</v>
      </c>
      <c r="F33" s="115">
        <v>2615313</v>
      </c>
      <c r="G33" s="117">
        <v>82852439.5</v>
      </c>
      <c r="H33" s="143">
        <v>127110000</v>
      </c>
      <c r="I33" s="151">
        <v>127110000</v>
      </c>
      <c r="J33" s="18">
        <f>SUM(I3:J32)</f>
        <v>451965754.56999993</v>
      </c>
    </row>
    <row r="34" spans="1:10" ht="15.75" thickBot="1">
      <c r="A34" s="118" t="s">
        <v>76</v>
      </c>
      <c r="B34" s="117">
        <v>0.2</v>
      </c>
      <c r="C34" s="115">
        <v>1423475</v>
      </c>
      <c r="D34" s="115">
        <v>24458.33</v>
      </c>
      <c r="E34" s="117">
        <v>5400000</v>
      </c>
      <c r="F34" s="115">
        <v>87177.09</v>
      </c>
      <c r="G34" s="117">
        <v>2761747.983</v>
      </c>
      <c r="H34" s="144">
        <v>4237000</v>
      </c>
      <c r="I34" s="152">
        <v>4237000</v>
      </c>
      <c r="J34" s="18">
        <f>J33/30</f>
        <v>15065525.15233333</v>
      </c>
    </row>
    <row r="35" spans="1:10" ht="15.75" thickBot="1">
      <c r="A35" s="113" t="s">
        <v>77</v>
      </c>
      <c r="B35" s="115" t="s">
        <v>66</v>
      </c>
      <c r="C35" s="115">
        <v>7117375</v>
      </c>
      <c r="D35" s="115">
        <v>122291.67</v>
      </c>
      <c r="E35" s="115">
        <v>27000000</v>
      </c>
      <c r="F35" s="115">
        <v>435885.4</v>
      </c>
      <c r="G35" s="115">
        <v>13808739.92</v>
      </c>
      <c r="H35" s="144">
        <v>21185000</v>
      </c>
      <c r="I35" s="153">
        <v>21185000</v>
      </c>
      <c r="J35" s="19">
        <f>J34*5</f>
        <v>75327625.761666656</v>
      </c>
    </row>
  </sheetData>
  <mergeCells count="24">
    <mergeCell ref="I22:J22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10:J10"/>
    <mergeCell ref="A1:A2"/>
    <mergeCell ref="F1:F2"/>
    <mergeCell ref="G1:G2"/>
    <mergeCell ref="I1:J2"/>
    <mergeCell ref="I3:J3"/>
    <mergeCell ref="I4:J4"/>
    <mergeCell ref="I5:J5"/>
    <mergeCell ref="I6:J6"/>
    <mergeCell ref="I7:J7"/>
    <mergeCell ref="I8:J8"/>
    <mergeCell ref="I9:J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I21"/>
  <sheetViews>
    <sheetView topLeftCell="C1" workbookViewId="0">
      <selection activeCell="E4" sqref="E4:E7"/>
    </sheetView>
  </sheetViews>
  <sheetFormatPr defaultRowHeight="15"/>
  <cols>
    <col min="3" max="3" width="21" customWidth="1"/>
    <col min="4" max="4" width="12.625" customWidth="1"/>
    <col min="5" max="5" width="13.875" customWidth="1"/>
    <col min="9" max="9" width="12.875" customWidth="1"/>
  </cols>
  <sheetData>
    <row r="3" spans="2:9">
      <c r="B3" s="97" t="s">
        <v>0</v>
      </c>
      <c r="C3" s="98" t="s">
        <v>133</v>
      </c>
      <c r="D3" s="97" t="s">
        <v>134</v>
      </c>
      <c r="E3" s="97" t="s">
        <v>135</v>
      </c>
    </row>
    <row r="4" spans="2:9">
      <c r="B4" s="222">
        <v>1</v>
      </c>
      <c r="C4" s="55" t="s">
        <v>136</v>
      </c>
      <c r="D4" s="155"/>
      <c r="E4" s="248">
        <v>8000</v>
      </c>
    </row>
    <row r="5" spans="2:9">
      <c r="B5" s="247"/>
      <c r="C5" s="99" t="s">
        <v>137</v>
      </c>
      <c r="D5" s="155">
        <v>8000</v>
      </c>
      <c r="E5" s="249"/>
    </row>
    <row r="6" spans="2:9" ht="15.75">
      <c r="B6" s="247"/>
      <c r="C6" s="99" t="s">
        <v>142</v>
      </c>
      <c r="D6" s="155">
        <v>6.57</v>
      </c>
      <c r="E6" s="249"/>
      <c r="I6" s="177" t="s">
        <v>168</v>
      </c>
    </row>
    <row r="7" spans="2:9" ht="15.75">
      <c r="B7" s="223"/>
      <c r="C7" s="99" t="s">
        <v>138</v>
      </c>
      <c r="D7" s="155">
        <v>1993.43</v>
      </c>
      <c r="E7" s="250"/>
      <c r="I7" s="178">
        <v>70.7</v>
      </c>
    </row>
    <row r="8" spans="2:9" ht="15.75">
      <c r="B8" s="222">
        <v>2</v>
      </c>
      <c r="C8" s="55" t="s">
        <v>139</v>
      </c>
      <c r="D8" s="155"/>
      <c r="E8" s="248">
        <v>71.42</v>
      </c>
      <c r="I8" s="178">
        <v>930</v>
      </c>
    </row>
    <row r="9" spans="2:9" ht="15.75">
      <c r="B9" s="247"/>
      <c r="C9" s="156" t="s">
        <v>140</v>
      </c>
      <c r="D9" s="155">
        <v>1000000</v>
      </c>
      <c r="E9" s="249"/>
      <c r="I9" s="178" t="s">
        <v>169</v>
      </c>
    </row>
    <row r="10" spans="2:9" ht="15.75">
      <c r="B10" s="247"/>
      <c r="C10" s="156" t="s">
        <v>141</v>
      </c>
      <c r="D10" s="155">
        <v>41.66</v>
      </c>
      <c r="E10" s="249"/>
      <c r="I10" s="178" t="s">
        <v>170</v>
      </c>
    </row>
    <row r="11" spans="2:9" ht="15.75">
      <c r="B11" s="247"/>
      <c r="C11" s="156" t="s">
        <v>142</v>
      </c>
      <c r="D11" s="155">
        <v>51725</v>
      </c>
      <c r="E11" s="249"/>
      <c r="I11" s="178">
        <v>50000</v>
      </c>
    </row>
    <row r="12" spans="2:9" ht="15.75">
      <c r="B12" s="247"/>
      <c r="C12" s="156" t="s">
        <v>138</v>
      </c>
      <c r="D12" s="155">
        <v>1482.75</v>
      </c>
      <c r="E12" s="249"/>
      <c r="I12" s="178" t="s">
        <v>171</v>
      </c>
    </row>
    <row r="13" spans="2:9" ht="15.75">
      <c r="B13" s="247"/>
      <c r="C13" s="156" t="s">
        <v>143</v>
      </c>
      <c r="D13" s="155">
        <v>2000</v>
      </c>
      <c r="E13" s="249"/>
      <c r="I13" s="178" t="s">
        <v>172</v>
      </c>
    </row>
    <row r="14" spans="2:9">
      <c r="B14" s="223"/>
      <c r="C14" s="156" t="s">
        <v>144</v>
      </c>
      <c r="D14" s="155">
        <v>10000</v>
      </c>
      <c r="E14" s="250"/>
      <c r="I14">
        <f>SUM(I6:J13)</f>
        <v>51000.7</v>
      </c>
    </row>
    <row r="15" spans="2:9">
      <c r="B15" s="222">
        <v>3</v>
      </c>
      <c r="C15" s="55" t="s">
        <v>156</v>
      </c>
      <c r="D15" s="155"/>
      <c r="E15" s="248">
        <v>100</v>
      </c>
    </row>
    <row r="16" spans="2:9">
      <c r="B16" s="247"/>
      <c r="C16" s="156" t="s">
        <v>140</v>
      </c>
      <c r="D16" s="155">
        <v>2500000</v>
      </c>
      <c r="E16" s="249"/>
    </row>
    <row r="17" spans="2:5">
      <c r="B17" s="247"/>
      <c r="C17" s="156" t="s">
        <v>141</v>
      </c>
      <c r="D17" s="155">
        <v>41.66</v>
      </c>
      <c r="E17" s="249"/>
    </row>
    <row r="18" spans="2:5">
      <c r="B18" s="247"/>
      <c r="C18" s="156" t="s">
        <v>142</v>
      </c>
      <c r="D18" s="155">
        <v>1261</v>
      </c>
      <c r="E18" s="249"/>
    </row>
    <row r="19" spans="2:5">
      <c r="B19" s="247"/>
      <c r="C19" s="156" t="s">
        <v>138</v>
      </c>
      <c r="D19" s="155">
        <v>2739</v>
      </c>
      <c r="E19" s="249"/>
    </row>
    <row r="20" spans="2:5">
      <c r="B20" s="247"/>
      <c r="C20" s="156" t="s">
        <v>143</v>
      </c>
      <c r="D20" s="155">
        <v>4000</v>
      </c>
      <c r="E20" s="249"/>
    </row>
    <row r="21" spans="2:5">
      <c r="B21" s="223"/>
      <c r="C21" s="157" t="s">
        <v>167</v>
      </c>
      <c r="D21" s="155">
        <v>14000</v>
      </c>
      <c r="E21" s="250"/>
    </row>
  </sheetData>
  <mergeCells count="6">
    <mergeCell ref="B4:B7"/>
    <mergeCell ref="B8:B14"/>
    <mergeCell ref="B15:B21"/>
    <mergeCell ref="E4:E7"/>
    <mergeCell ref="E8:E14"/>
    <mergeCell ref="E15:E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11"/>
  <sheetViews>
    <sheetView topLeftCell="C1" workbookViewId="0">
      <selection activeCell="C10" sqref="C10"/>
    </sheetView>
  </sheetViews>
  <sheetFormatPr defaultRowHeight="15"/>
  <cols>
    <col min="2" max="2" width="10.75" customWidth="1"/>
  </cols>
  <sheetData>
    <row r="2" spans="2:18">
      <c r="B2" s="158"/>
    </row>
    <row r="3" spans="2:18" ht="15.75" thickBot="1">
      <c r="B3" s="92"/>
    </row>
    <row r="4" spans="2:18" ht="63">
      <c r="L4" s="251" t="s">
        <v>0</v>
      </c>
      <c r="M4" s="159" t="s">
        <v>145</v>
      </c>
      <c r="N4" s="162" t="s">
        <v>147</v>
      </c>
      <c r="O4" s="162" t="s">
        <v>149</v>
      </c>
      <c r="P4" s="162" t="s">
        <v>150</v>
      </c>
      <c r="Q4" s="162" t="s">
        <v>152</v>
      </c>
      <c r="R4" s="251" t="s">
        <v>153</v>
      </c>
    </row>
    <row r="5" spans="2:18" ht="15.75">
      <c r="L5" s="252"/>
      <c r="M5" s="160" t="s">
        <v>146</v>
      </c>
      <c r="N5" s="163" t="s">
        <v>148</v>
      </c>
      <c r="O5" s="163" t="s">
        <v>148</v>
      </c>
      <c r="P5" s="163" t="s">
        <v>151</v>
      </c>
      <c r="Q5" s="163" t="s">
        <v>148</v>
      </c>
      <c r="R5" s="252"/>
    </row>
    <row r="6" spans="2:18" ht="16.5" thickBot="1">
      <c r="L6" s="253"/>
      <c r="M6" s="161"/>
      <c r="N6" s="164"/>
      <c r="O6" s="164"/>
      <c r="P6" s="165" t="s">
        <v>148</v>
      </c>
      <c r="Q6" s="164"/>
      <c r="R6" s="253"/>
    </row>
    <row r="7" spans="2:18" ht="15.75">
      <c r="L7" s="166">
        <v>1</v>
      </c>
      <c r="M7" s="168" t="s">
        <v>136</v>
      </c>
      <c r="N7" s="254" t="s">
        <v>155</v>
      </c>
      <c r="O7" s="254" t="s">
        <v>155</v>
      </c>
      <c r="P7" s="254">
        <v>8000</v>
      </c>
      <c r="Q7" s="254"/>
      <c r="R7" s="254"/>
    </row>
    <row r="8" spans="2:18" ht="15.75">
      <c r="L8" s="166">
        <v>2</v>
      </c>
      <c r="M8" s="168" t="s">
        <v>139</v>
      </c>
      <c r="N8" s="255"/>
      <c r="O8" s="255"/>
      <c r="P8" s="255"/>
      <c r="Q8" s="255"/>
      <c r="R8" s="255"/>
    </row>
    <row r="9" spans="2:18" ht="16.5" thickBot="1">
      <c r="L9" s="167">
        <v>3</v>
      </c>
      <c r="M9" s="169" t="s">
        <v>154</v>
      </c>
      <c r="N9" s="256"/>
      <c r="O9" s="256"/>
      <c r="P9" s="256"/>
      <c r="Q9" s="256"/>
      <c r="R9" s="256"/>
    </row>
    <row r="10" spans="2:18">
      <c r="B10" t="s">
        <v>0</v>
      </c>
    </row>
    <row r="11" spans="2:18">
      <c r="B11" s="92"/>
    </row>
  </sheetData>
  <mergeCells count="7">
    <mergeCell ref="L4:L6"/>
    <mergeCell ref="R4:R6"/>
    <mergeCell ref="N7:N9"/>
    <mergeCell ref="O7:O9"/>
    <mergeCell ref="P7:P9"/>
    <mergeCell ref="Q7:Q9"/>
    <mergeCell ref="R7:R9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1:I45"/>
  <sheetViews>
    <sheetView tabSelected="1" topLeftCell="A11" workbookViewId="0">
      <selection activeCell="I35" sqref="I35"/>
    </sheetView>
  </sheetViews>
  <sheetFormatPr defaultRowHeight="15"/>
  <sheetData>
    <row r="1" spans="3:9" ht="15.75" thickBot="1"/>
    <row r="2" spans="3:9" ht="16.5" thickBot="1">
      <c r="I2" s="21">
        <v>24</v>
      </c>
    </row>
    <row r="3" spans="3:9" ht="15.75">
      <c r="C3" s="21" t="s">
        <v>182</v>
      </c>
      <c r="I3" s="22">
        <v>24</v>
      </c>
    </row>
    <row r="4" spans="3:9" ht="15.75">
      <c r="C4" s="22">
        <v>12000</v>
      </c>
      <c r="I4" s="22">
        <v>24</v>
      </c>
    </row>
    <row r="5" spans="3:9" ht="15.75">
      <c r="C5" s="22">
        <v>10000</v>
      </c>
      <c r="I5" s="22">
        <v>24</v>
      </c>
    </row>
    <row r="6" spans="3:9" ht="15.75">
      <c r="C6" s="22">
        <v>6000</v>
      </c>
      <c r="I6" s="22">
        <v>24</v>
      </c>
    </row>
    <row r="7" spans="3:9" ht="15.75">
      <c r="C7" s="22">
        <v>6000</v>
      </c>
      <c r="I7" s="22">
        <v>24</v>
      </c>
    </row>
    <row r="8" spans="3:9" ht="15.75">
      <c r="C8" s="22">
        <v>10000</v>
      </c>
      <c r="I8" s="22">
        <v>24</v>
      </c>
    </row>
    <row r="9" spans="3:9" ht="15.75">
      <c r="C9" s="22">
        <v>10000</v>
      </c>
      <c r="I9" s="22">
        <v>24</v>
      </c>
    </row>
    <row r="10" spans="3:9" ht="15.75">
      <c r="C10" s="22">
        <v>14000</v>
      </c>
      <c r="I10" s="22">
        <v>24</v>
      </c>
    </row>
    <row r="11" spans="3:9" ht="15.75">
      <c r="C11" s="22">
        <v>15000</v>
      </c>
      <c r="I11" s="22">
        <v>24</v>
      </c>
    </row>
    <row r="12" spans="3:9" ht="16.5" thickBot="1">
      <c r="C12" s="22">
        <v>9000</v>
      </c>
      <c r="I12" s="22">
        <v>24</v>
      </c>
    </row>
    <row r="13" spans="3:9" ht="15.75">
      <c r="C13" s="22">
        <v>6000</v>
      </c>
      <c r="G13" s="21">
        <v>3</v>
      </c>
      <c r="I13" s="22">
        <v>24</v>
      </c>
    </row>
    <row r="14" spans="3:9" ht="15.75">
      <c r="C14" s="22">
        <v>6000</v>
      </c>
      <c r="G14" s="22">
        <v>4</v>
      </c>
      <c r="I14" s="22">
        <v>24</v>
      </c>
    </row>
    <row r="15" spans="3:9" ht="15.75">
      <c r="C15" s="22">
        <v>12500</v>
      </c>
      <c r="G15" s="22">
        <v>5</v>
      </c>
      <c r="I15" s="22">
        <v>24</v>
      </c>
    </row>
    <row r="16" spans="3:9" ht="15.75">
      <c r="C16" s="22">
        <v>15000</v>
      </c>
      <c r="G16" s="22">
        <v>2</v>
      </c>
      <c r="I16" s="22">
        <v>24</v>
      </c>
    </row>
    <row r="17" spans="3:9" ht="15.75">
      <c r="C17" s="22">
        <v>8000</v>
      </c>
      <c r="G17" s="22">
        <v>2</v>
      </c>
      <c r="I17" s="22">
        <v>24</v>
      </c>
    </row>
    <row r="18" spans="3:9" ht="15.75">
      <c r="C18" s="22">
        <v>8000</v>
      </c>
      <c r="G18" s="22">
        <v>5</v>
      </c>
      <c r="I18" s="22">
        <v>24</v>
      </c>
    </row>
    <row r="19" spans="3:9" ht="15.75">
      <c r="C19" s="22">
        <v>12000</v>
      </c>
      <c r="G19" s="22">
        <v>5</v>
      </c>
      <c r="I19" s="22">
        <v>24</v>
      </c>
    </row>
    <row r="20" spans="3:9" ht="15.75">
      <c r="C20" s="22">
        <v>12500</v>
      </c>
      <c r="G20" s="22">
        <v>7</v>
      </c>
      <c r="I20" s="22">
        <v>24</v>
      </c>
    </row>
    <row r="21" spans="3:9" ht="15.75">
      <c r="C21" s="22">
        <v>15000</v>
      </c>
      <c r="G21" s="22">
        <v>3</v>
      </c>
      <c r="I21" s="22">
        <v>24</v>
      </c>
    </row>
    <row r="22" spans="3:9" ht="15.75">
      <c r="C22" s="22">
        <v>6000</v>
      </c>
      <c r="G22" s="22">
        <v>3</v>
      </c>
      <c r="I22" s="22">
        <v>24</v>
      </c>
    </row>
    <row r="23" spans="3:9" ht="15.75">
      <c r="C23" s="22">
        <v>12000</v>
      </c>
      <c r="G23" s="22">
        <v>2</v>
      </c>
      <c r="I23" s="22">
        <v>24</v>
      </c>
    </row>
    <row r="24" spans="3:9" ht="15.75">
      <c r="C24" s="22">
        <v>24000</v>
      </c>
      <c r="G24" s="22">
        <v>3</v>
      </c>
      <c r="I24" s="22">
        <v>24</v>
      </c>
    </row>
    <row r="25" spans="3:9" ht="15.75">
      <c r="C25" s="22">
        <v>5000</v>
      </c>
      <c r="G25" s="22">
        <v>5</v>
      </c>
      <c r="I25" s="22">
        <v>24</v>
      </c>
    </row>
    <row r="26" spans="3:9" ht="15.75">
      <c r="C26" s="22">
        <v>12000</v>
      </c>
      <c r="G26" s="22">
        <v>5</v>
      </c>
      <c r="I26" s="22">
        <v>24</v>
      </c>
    </row>
    <row r="27" spans="3:9" ht="15.75">
      <c r="C27" s="22">
        <v>4000</v>
      </c>
      <c r="G27" s="22">
        <v>4</v>
      </c>
      <c r="I27" s="22">
        <v>24</v>
      </c>
    </row>
    <row r="28" spans="3:9" ht="15.75">
      <c r="C28" s="22">
        <v>12000</v>
      </c>
      <c r="G28" s="22">
        <v>4</v>
      </c>
      <c r="I28" s="22">
        <v>24</v>
      </c>
    </row>
    <row r="29" spans="3:9" ht="15.75">
      <c r="C29" s="22">
        <v>9000</v>
      </c>
      <c r="G29" s="22">
        <v>4</v>
      </c>
      <c r="I29" s="22">
        <v>24</v>
      </c>
    </row>
    <row r="30" spans="3:9" ht="15.75">
      <c r="C30" s="22">
        <v>6000</v>
      </c>
      <c r="G30" s="22">
        <v>2</v>
      </c>
      <c r="I30" s="22">
        <v>24</v>
      </c>
    </row>
    <row r="31" spans="3:9" ht="16.5" thickBot="1">
      <c r="C31" s="22">
        <v>9000</v>
      </c>
      <c r="G31" s="22">
        <v>5</v>
      </c>
      <c r="I31" s="23">
        <v>24</v>
      </c>
    </row>
    <row r="32" spans="3:9" ht="16.5" thickBot="1">
      <c r="C32" s="23">
        <v>15000</v>
      </c>
      <c r="G32" s="22">
        <v>2</v>
      </c>
      <c r="I32">
        <f>SUM(I2:I31)</f>
        <v>720</v>
      </c>
    </row>
    <row r="33" spans="3:9" ht="15.75">
      <c r="C33">
        <f>SUM(C3:C32)</f>
        <v>301000</v>
      </c>
      <c r="G33" s="22">
        <v>4</v>
      </c>
      <c r="I33">
        <f>I32/30</f>
        <v>24</v>
      </c>
    </row>
    <row r="34" spans="3:9" ht="15.75">
      <c r="C34">
        <f>C33/30</f>
        <v>10033.333333333334</v>
      </c>
      <c r="G34" s="22">
        <v>12</v>
      </c>
      <c r="I34">
        <f>I33*5</f>
        <v>120</v>
      </c>
    </row>
    <row r="35" spans="3:9" ht="15.75">
      <c r="C35">
        <f>C34*5</f>
        <v>50166.666666666672</v>
      </c>
      <c r="G35" s="22">
        <v>2</v>
      </c>
    </row>
    <row r="36" spans="3:9" ht="15.75">
      <c r="G36" s="22">
        <v>6</v>
      </c>
    </row>
    <row r="37" spans="3:9" ht="15.75">
      <c r="G37" s="22">
        <v>2</v>
      </c>
    </row>
    <row r="38" spans="3:9" ht="15.75">
      <c r="G38" s="22">
        <v>4</v>
      </c>
    </row>
    <row r="39" spans="3:9" ht="15.75">
      <c r="G39" s="22">
        <v>3</v>
      </c>
    </row>
    <row r="40" spans="3:9" ht="15.75">
      <c r="G40" s="22">
        <v>3</v>
      </c>
    </row>
    <row r="41" spans="3:9" ht="15.75">
      <c r="G41" s="22">
        <v>3</v>
      </c>
    </row>
    <row r="42" spans="3:9" ht="16.5" thickBot="1">
      <c r="G42" s="23">
        <v>6</v>
      </c>
    </row>
    <row r="43" spans="3:9">
      <c r="G43">
        <f>SUM(G13:G42)</f>
        <v>120</v>
      </c>
    </row>
    <row r="44" spans="3:9">
      <c r="G44">
        <f>G43/30</f>
        <v>4</v>
      </c>
    </row>
    <row r="45" spans="3:9">
      <c r="G45">
        <f>G44*5</f>
        <v>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3"/>
  <sheetViews>
    <sheetView workbookViewId="0">
      <selection activeCell="V11" sqref="V11"/>
    </sheetView>
  </sheetViews>
  <sheetFormatPr defaultRowHeight="15"/>
  <cols>
    <col min="1" max="1" width="5.875" customWidth="1"/>
    <col min="2" max="2" width="13" customWidth="1"/>
    <col min="3" max="3" width="11.25" customWidth="1"/>
    <col min="8" max="8" width="4.125" customWidth="1"/>
    <col min="9" max="9" width="10.25" customWidth="1"/>
    <col min="15" max="15" width="12.625" customWidth="1"/>
    <col min="16" max="16" width="11.375" customWidth="1"/>
    <col min="17" max="17" width="8.875" customWidth="1"/>
    <col min="18" max="18" width="13.875" customWidth="1"/>
    <col min="20" max="20" width="6.125" customWidth="1"/>
    <col min="21" max="21" width="9.375" customWidth="1"/>
    <col min="22" max="22" width="12.75" customWidth="1"/>
    <col min="23" max="23" width="11.75" customWidth="1"/>
    <col min="24" max="25" width="12.375" customWidth="1"/>
    <col min="27" max="28" width="9" customWidth="1"/>
  </cols>
  <sheetData>
    <row r="1" spans="1:33">
      <c r="A1" s="196" t="s">
        <v>56</v>
      </c>
      <c r="B1" s="196"/>
      <c r="C1" s="196"/>
      <c r="H1" s="196" t="s">
        <v>57</v>
      </c>
      <c r="I1" s="196"/>
      <c r="J1" s="196"/>
    </row>
    <row r="2" spans="1:33" ht="15.75" thickBot="1"/>
    <row r="3" spans="1:33">
      <c r="A3" s="186" t="s">
        <v>0</v>
      </c>
      <c r="B3" s="186" t="s">
        <v>64</v>
      </c>
      <c r="C3" s="1" t="s">
        <v>2</v>
      </c>
      <c r="D3" s="1" t="s">
        <v>4</v>
      </c>
      <c r="E3" s="1" t="s">
        <v>6</v>
      </c>
      <c r="F3" s="1" t="s">
        <v>8</v>
      </c>
      <c r="H3" s="186" t="s">
        <v>0</v>
      </c>
      <c r="I3" s="186" t="s">
        <v>1</v>
      </c>
      <c r="J3" s="1" t="s">
        <v>2</v>
      </c>
      <c r="K3" s="1" t="s">
        <v>4</v>
      </c>
      <c r="L3" s="1" t="s">
        <v>6</v>
      </c>
      <c r="M3" s="1" t="s">
        <v>8</v>
      </c>
    </row>
    <row r="4" spans="1:33" ht="23.25" thickBot="1">
      <c r="A4" s="187"/>
      <c r="B4" s="187"/>
      <c r="C4" s="2" t="s">
        <v>3</v>
      </c>
      <c r="D4" s="2" t="s">
        <v>5</v>
      </c>
      <c r="E4" s="2" t="s">
        <v>7</v>
      </c>
      <c r="F4" s="2" t="s">
        <v>9</v>
      </c>
      <c r="H4" s="187"/>
      <c r="I4" s="187"/>
      <c r="J4" s="2" t="s">
        <v>3</v>
      </c>
      <c r="K4" s="2" t="s">
        <v>5</v>
      </c>
      <c r="L4" s="2" t="s">
        <v>7</v>
      </c>
      <c r="M4" s="2" t="s">
        <v>9</v>
      </c>
    </row>
    <row r="5" spans="1:33">
      <c r="A5" s="10">
        <v>1</v>
      </c>
      <c r="B5" s="11" t="s">
        <v>52</v>
      </c>
      <c r="C5" s="10">
        <v>21</v>
      </c>
      <c r="D5" s="10" t="s">
        <v>45</v>
      </c>
      <c r="E5" s="10">
        <v>8</v>
      </c>
      <c r="F5" s="10">
        <v>2</v>
      </c>
      <c r="H5" s="10">
        <v>1</v>
      </c>
      <c r="I5" s="11" t="s">
        <v>51</v>
      </c>
      <c r="J5" s="10">
        <v>40</v>
      </c>
      <c r="K5" s="10" t="s">
        <v>44</v>
      </c>
      <c r="L5" s="10">
        <v>10</v>
      </c>
      <c r="M5" s="10">
        <v>4</v>
      </c>
    </row>
    <row r="6" spans="1:33" ht="33.75" customHeight="1">
      <c r="A6" s="10">
        <v>2</v>
      </c>
      <c r="B6" s="11" t="s">
        <v>53</v>
      </c>
      <c r="C6" s="10">
        <v>45</v>
      </c>
      <c r="D6" s="10" t="s">
        <v>43</v>
      </c>
      <c r="E6" s="10">
        <v>20</v>
      </c>
      <c r="F6" s="10">
        <v>5</v>
      </c>
      <c r="H6" s="10">
        <v>2</v>
      </c>
      <c r="I6" s="11" t="s">
        <v>55</v>
      </c>
      <c r="J6" s="10">
        <v>49</v>
      </c>
      <c r="K6" s="10" t="s">
        <v>44</v>
      </c>
      <c r="L6" s="10">
        <v>28</v>
      </c>
      <c r="M6" s="10">
        <v>5</v>
      </c>
      <c r="O6" s="195" t="s">
        <v>158</v>
      </c>
      <c r="P6" s="195" t="s">
        <v>157</v>
      </c>
      <c r="Q6" s="195" t="s">
        <v>123</v>
      </c>
      <c r="R6" s="195" t="s">
        <v>152</v>
      </c>
      <c r="T6" s="193" t="s">
        <v>0</v>
      </c>
      <c r="U6" s="193" t="s">
        <v>159</v>
      </c>
      <c r="V6" s="193" t="s">
        <v>163</v>
      </c>
      <c r="W6" s="193" t="s">
        <v>160</v>
      </c>
      <c r="X6" s="193" t="s">
        <v>161</v>
      </c>
      <c r="Y6" s="193" t="s">
        <v>162</v>
      </c>
      <c r="AA6" s="192"/>
      <c r="AB6" s="192"/>
      <c r="AC6" s="192"/>
      <c r="AD6" s="192"/>
      <c r="AE6" s="192"/>
      <c r="AF6" s="192"/>
    </row>
    <row r="7" spans="1:33">
      <c r="A7" s="10">
        <v>3</v>
      </c>
      <c r="B7" s="11" t="s">
        <v>54</v>
      </c>
      <c r="C7" s="10">
        <v>40</v>
      </c>
      <c r="D7" s="10" t="s">
        <v>43</v>
      </c>
      <c r="E7" s="10">
        <v>20</v>
      </c>
      <c r="F7" s="10">
        <v>5</v>
      </c>
      <c r="H7" s="10">
        <v>3</v>
      </c>
      <c r="I7" s="11" t="s">
        <v>50</v>
      </c>
      <c r="J7" s="10">
        <v>35</v>
      </c>
      <c r="K7" s="10" t="s">
        <v>42</v>
      </c>
      <c r="L7" s="10">
        <v>10</v>
      </c>
      <c r="M7" s="10">
        <v>3</v>
      </c>
      <c r="O7" s="195"/>
      <c r="P7" s="195"/>
      <c r="Q7" s="195"/>
      <c r="R7" s="195"/>
      <c r="T7" s="194"/>
      <c r="U7" s="193"/>
      <c r="V7" s="194"/>
      <c r="W7" s="194"/>
      <c r="X7" s="194"/>
      <c r="Y7" s="194"/>
      <c r="AA7" s="192"/>
      <c r="AB7" s="192"/>
      <c r="AC7" s="192"/>
      <c r="AD7" s="192"/>
      <c r="AE7" s="192"/>
      <c r="AF7" s="192"/>
    </row>
    <row r="8" spans="1:33">
      <c r="C8" s="10">
        <f>SUM(C5:C7)</f>
        <v>106</v>
      </c>
      <c r="D8" s="10"/>
      <c r="E8" s="10">
        <f t="shared" ref="E8:F8" si="0">SUM(E5:E7)</f>
        <v>48</v>
      </c>
      <c r="F8" s="10">
        <f t="shared" si="0"/>
        <v>12</v>
      </c>
      <c r="J8" s="10">
        <f>SUM(J5:J7)</f>
        <v>124</v>
      </c>
      <c r="K8" s="10"/>
      <c r="L8" s="10">
        <f t="shared" ref="L8:M8" si="1">SUM(L5:L7)</f>
        <v>48</v>
      </c>
      <c r="M8" s="10">
        <f t="shared" si="1"/>
        <v>12</v>
      </c>
      <c r="O8" s="195"/>
      <c r="P8" s="195"/>
      <c r="Q8" s="195"/>
      <c r="R8" s="195"/>
      <c r="T8" s="104">
        <v>1</v>
      </c>
      <c r="U8" s="172" t="s">
        <v>136</v>
      </c>
      <c r="V8" s="104">
        <v>1000</v>
      </c>
      <c r="W8" s="175">
        <v>8000</v>
      </c>
      <c r="X8" s="107">
        <v>8000000</v>
      </c>
      <c r="Y8" s="104">
        <v>10000</v>
      </c>
      <c r="AA8" s="174"/>
      <c r="AB8" s="51"/>
      <c r="AC8" s="174"/>
      <c r="AD8" s="174"/>
      <c r="AE8" s="174"/>
      <c r="AF8" s="174"/>
    </row>
    <row r="9" spans="1:33" ht="15.75" thickBot="1">
      <c r="C9" s="10">
        <f>AVERAGE(C5:C7)</f>
        <v>35.333333333333336</v>
      </c>
      <c r="D9" s="10"/>
      <c r="E9" s="10">
        <f t="shared" ref="E9:F9" si="2">AVERAGE(E5:E7)</f>
        <v>16</v>
      </c>
      <c r="F9" s="10">
        <f t="shared" si="2"/>
        <v>4</v>
      </c>
      <c r="J9" s="10">
        <f>AVERAGE(J5:J7)</f>
        <v>41.333333333333336</v>
      </c>
      <c r="K9" s="10"/>
      <c r="L9" s="10">
        <f t="shared" ref="L9:M9" si="3">AVERAGE(L5:L7)</f>
        <v>16</v>
      </c>
      <c r="M9" s="10">
        <f t="shared" si="3"/>
        <v>4</v>
      </c>
      <c r="O9">
        <v>1</v>
      </c>
      <c r="P9">
        <v>200000</v>
      </c>
      <c r="Q9">
        <v>100000</v>
      </c>
      <c r="T9" s="173">
        <v>2</v>
      </c>
      <c r="U9" s="172" t="s">
        <v>136</v>
      </c>
      <c r="V9" s="173">
        <v>700</v>
      </c>
      <c r="W9" s="174">
        <v>8000</v>
      </c>
      <c r="X9" s="154">
        <f>W9*V9</f>
        <v>5600000</v>
      </c>
      <c r="Y9" s="173">
        <v>10000</v>
      </c>
      <c r="AA9" s="174"/>
      <c r="AB9" s="51"/>
      <c r="AC9" s="174"/>
      <c r="AD9" s="174"/>
      <c r="AE9" s="174"/>
      <c r="AF9" s="174"/>
    </row>
    <row r="10" spans="1:33">
      <c r="C10" s="10"/>
      <c r="E10" s="10"/>
      <c r="F10" s="10"/>
      <c r="T10" s="105">
        <v>3</v>
      </c>
      <c r="U10" s="172" t="s">
        <v>136</v>
      </c>
      <c r="V10" s="105">
        <v>1200</v>
      </c>
      <c r="W10" s="176">
        <v>8000</v>
      </c>
      <c r="X10" s="108">
        <f>W10*V10</f>
        <v>9600000</v>
      </c>
      <c r="Y10" s="105">
        <v>10000</v>
      </c>
      <c r="AA10" s="174"/>
      <c r="AB10" s="186"/>
      <c r="AC10" s="186"/>
      <c r="AD10" s="186"/>
      <c r="AE10" s="186"/>
      <c r="AF10" s="186"/>
      <c r="AG10" s="186"/>
    </row>
    <row r="11" spans="1:33" ht="15.75" thickBot="1">
      <c r="T11" s="105" t="s">
        <v>65</v>
      </c>
      <c r="U11" s="14"/>
      <c r="V11" s="105">
        <f>SUM(V8:V10)</f>
        <v>2900</v>
      </c>
      <c r="W11" s="105">
        <f>SUM(W8:W10)</f>
        <v>24000</v>
      </c>
      <c r="X11" s="105">
        <f>SUM(X8:X10)</f>
        <v>23200000</v>
      </c>
      <c r="Y11" s="105">
        <f>SUM(Y8:Y10)</f>
        <v>30000</v>
      </c>
      <c r="AA11" s="174"/>
      <c r="AB11" s="187"/>
      <c r="AC11" s="187"/>
      <c r="AD11" s="187"/>
      <c r="AE11" s="187"/>
      <c r="AF11" s="187"/>
      <c r="AG11" s="187"/>
    </row>
    <row r="12" spans="1:33">
      <c r="T12" s="51"/>
      <c r="U12" s="51"/>
      <c r="V12" s="51"/>
      <c r="W12" s="51"/>
      <c r="X12" s="51"/>
      <c r="Y12" s="51"/>
      <c r="AB12" s="3"/>
      <c r="AC12" s="4"/>
      <c r="AD12" s="5"/>
      <c r="AE12" s="5"/>
      <c r="AF12" s="5"/>
      <c r="AG12" s="5"/>
    </row>
    <row r="13" spans="1:33">
      <c r="T13" s="193" t="s">
        <v>0</v>
      </c>
      <c r="U13" s="193" t="s">
        <v>159</v>
      </c>
      <c r="V13" s="193" t="s">
        <v>166</v>
      </c>
      <c r="W13" s="193" t="s">
        <v>165</v>
      </c>
      <c r="X13" s="193" t="s">
        <v>161</v>
      </c>
      <c r="Y13" s="193" t="s">
        <v>164</v>
      </c>
      <c r="AB13" s="3"/>
      <c r="AC13" s="4"/>
      <c r="AD13" s="5"/>
      <c r="AE13" s="5"/>
      <c r="AF13" s="5"/>
      <c r="AG13" s="5"/>
    </row>
    <row r="14" spans="1:33">
      <c r="T14" s="194"/>
      <c r="U14" s="193"/>
      <c r="V14" s="194"/>
      <c r="W14" s="194"/>
      <c r="X14" s="194"/>
      <c r="Y14" s="194"/>
      <c r="AB14" s="3"/>
      <c r="AC14" s="4"/>
      <c r="AD14" s="5"/>
      <c r="AE14" s="5"/>
      <c r="AF14" s="5"/>
      <c r="AG14" s="5"/>
    </row>
    <row r="15" spans="1:33">
      <c r="T15" s="104">
        <v>1</v>
      </c>
      <c r="U15" s="172" t="s">
        <v>139</v>
      </c>
      <c r="V15" s="104">
        <v>1100</v>
      </c>
      <c r="W15" s="175">
        <v>10000</v>
      </c>
      <c r="X15" s="107">
        <f>W15*V15</f>
        <v>11000000</v>
      </c>
      <c r="Y15" s="104">
        <v>14000</v>
      </c>
      <c r="AB15" s="3"/>
      <c r="AC15" s="4"/>
      <c r="AD15" s="5"/>
      <c r="AE15" s="5"/>
      <c r="AF15" s="5"/>
      <c r="AG15" s="5"/>
    </row>
    <row r="16" spans="1:33">
      <c r="T16" s="173">
        <v>2</v>
      </c>
      <c r="U16" s="172" t="s">
        <v>139</v>
      </c>
      <c r="V16" s="173">
        <v>2000</v>
      </c>
      <c r="W16" s="175">
        <v>10000</v>
      </c>
      <c r="X16" s="154">
        <f>W16*V16</f>
        <v>20000000</v>
      </c>
      <c r="Y16" s="104">
        <v>14000</v>
      </c>
      <c r="AB16" s="3"/>
      <c r="AC16" s="4"/>
      <c r="AD16" s="5"/>
      <c r="AE16" s="5"/>
      <c r="AF16" s="5"/>
      <c r="AG16" s="5"/>
    </row>
    <row r="17" spans="20:33">
      <c r="T17" s="105">
        <v>3</v>
      </c>
      <c r="U17" s="172" t="s">
        <v>139</v>
      </c>
      <c r="V17" s="105">
        <v>1200</v>
      </c>
      <c r="W17" s="103">
        <v>10000</v>
      </c>
      <c r="X17" s="108">
        <f>W17*V17</f>
        <v>12000000</v>
      </c>
      <c r="Y17" s="104">
        <v>14000</v>
      </c>
      <c r="AB17" s="3"/>
      <c r="AC17" s="4"/>
      <c r="AD17" s="5"/>
      <c r="AE17" s="5"/>
      <c r="AF17" s="5"/>
      <c r="AG17" s="5"/>
    </row>
    <row r="18" spans="20:33">
      <c r="T18" s="105" t="s">
        <v>65</v>
      </c>
      <c r="U18" s="14"/>
      <c r="V18" s="105">
        <f>SUM(V15:V17)</f>
        <v>4300</v>
      </c>
      <c r="W18" s="105">
        <f>SUM(W15:W17)</f>
        <v>30000</v>
      </c>
      <c r="X18" s="105">
        <f>SUM(X15:X17)</f>
        <v>43000000</v>
      </c>
      <c r="Y18" s="105">
        <f>SUM(Y15:Y17)</f>
        <v>42000</v>
      </c>
      <c r="AB18" s="3"/>
      <c r="AC18" s="4"/>
      <c r="AD18" s="5"/>
      <c r="AE18" s="5"/>
      <c r="AF18" s="5"/>
      <c r="AG18" s="5"/>
    </row>
    <row r="19" spans="20:33">
      <c r="AB19" s="3"/>
      <c r="AC19" s="4"/>
      <c r="AD19" s="5"/>
      <c r="AE19" s="5"/>
      <c r="AF19" s="5"/>
      <c r="AG19" s="5"/>
    </row>
    <row r="20" spans="20:33">
      <c r="AB20" s="3"/>
      <c r="AC20" s="4"/>
      <c r="AD20" s="5"/>
      <c r="AE20" s="5"/>
      <c r="AF20" s="5"/>
      <c r="AG20" s="5"/>
    </row>
    <row r="21" spans="20:33">
      <c r="AB21" s="3"/>
      <c r="AC21" s="4"/>
      <c r="AD21" s="5"/>
      <c r="AE21" s="5"/>
      <c r="AF21" s="5"/>
      <c r="AG21" s="5"/>
    </row>
    <row r="22" spans="20:33">
      <c r="AB22" s="3"/>
      <c r="AC22" s="4"/>
      <c r="AD22" s="5"/>
      <c r="AE22" s="5"/>
      <c r="AF22" s="5"/>
      <c r="AG22" s="5"/>
    </row>
    <row r="23" spans="20:33">
      <c r="AB23" s="3"/>
      <c r="AC23" s="4"/>
      <c r="AD23" s="5"/>
      <c r="AE23" s="5"/>
      <c r="AF23" s="5"/>
      <c r="AG23" s="5"/>
    </row>
    <row r="24" spans="20:33">
      <c r="AB24" s="3"/>
      <c r="AC24" s="4"/>
      <c r="AD24" s="5"/>
      <c r="AE24" s="5"/>
      <c r="AF24" s="5"/>
      <c r="AG24" s="5"/>
    </row>
    <row r="25" spans="20:33">
      <c r="AB25" s="3"/>
      <c r="AC25" s="4"/>
      <c r="AD25" s="5"/>
      <c r="AE25" s="5"/>
      <c r="AF25" s="5"/>
      <c r="AG25" s="5"/>
    </row>
    <row r="26" spans="20:33">
      <c r="AB26" s="3"/>
      <c r="AC26" s="4"/>
      <c r="AD26" s="5"/>
      <c r="AE26" s="5"/>
      <c r="AF26" s="5"/>
      <c r="AG26" s="5"/>
    </row>
    <row r="27" spans="20:33">
      <c r="AB27" s="3"/>
      <c r="AC27" s="4"/>
      <c r="AD27" s="5"/>
      <c r="AE27" s="5"/>
      <c r="AF27" s="5"/>
      <c r="AG27" s="5"/>
    </row>
    <row r="28" spans="20:33">
      <c r="AB28" s="3"/>
      <c r="AC28" s="4"/>
      <c r="AD28" s="5"/>
      <c r="AE28" s="5"/>
      <c r="AF28" s="5"/>
      <c r="AG28" s="5"/>
    </row>
    <row r="29" spans="20:33">
      <c r="AB29" s="3"/>
      <c r="AC29" s="4"/>
      <c r="AD29" s="5"/>
      <c r="AE29" s="5"/>
      <c r="AF29" s="5"/>
      <c r="AG29" s="5"/>
    </row>
    <row r="30" spans="20:33">
      <c r="AB30" s="3"/>
      <c r="AC30" s="4"/>
      <c r="AD30" s="5"/>
      <c r="AE30" s="5"/>
      <c r="AF30" s="5"/>
      <c r="AG30" s="5"/>
    </row>
    <row r="31" spans="20:33">
      <c r="AB31" s="3"/>
      <c r="AC31" s="4"/>
      <c r="AD31" s="5"/>
      <c r="AE31" s="5"/>
      <c r="AF31" s="5"/>
      <c r="AG31" s="5"/>
    </row>
    <row r="32" spans="20:33">
      <c r="AB32" s="3"/>
      <c r="AC32" s="4"/>
      <c r="AD32" s="5"/>
      <c r="AE32" s="5"/>
      <c r="AF32" s="5"/>
      <c r="AG32" s="5"/>
    </row>
    <row r="33" spans="28:33">
      <c r="AB33" s="3"/>
      <c r="AC33" s="4"/>
      <c r="AD33" s="5"/>
      <c r="AE33" s="5"/>
      <c r="AF33" s="5"/>
      <c r="AG33" s="5"/>
    </row>
    <row r="34" spans="28:33">
      <c r="AB34" s="3"/>
      <c r="AC34" s="4"/>
      <c r="AD34" s="5"/>
      <c r="AE34" s="5"/>
      <c r="AF34" s="5"/>
      <c r="AG34" s="5"/>
    </row>
    <row r="35" spans="28:33">
      <c r="AB35" s="3"/>
      <c r="AC35" s="4"/>
      <c r="AD35" s="5"/>
      <c r="AE35" s="5"/>
      <c r="AF35" s="5"/>
      <c r="AG35" s="5"/>
    </row>
    <row r="36" spans="28:33">
      <c r="AB36" s="3"/>
      <c r="AC36" s="4"/>
      <c r="AD36" s="5"/>
      <c r="AE36" s="5"/>
      <c r="AF36" s="5"/>
      <c r="AG36" s="5"/>
    </row>
    <row r="37" spans="28:33">
      <c r="AB37" s="3"/>
      <c r="AC37" s="4"/>
      <c r="AD37" s="5"/>
      <c r="AE37" s="5"/>
      <c r="AF37" s="5"/>
      <c r="AG37" s="5"/>
    </row>
    <row r="38" spans="28:33">
      <c r="AB38" s="3"/>
      <c r="AC38" s="4"/>
      <c r="AD38" s="5"/>
      <c r="AE38" s="5"/>
      <c r="AF38" s="5"/>
      <c r="AG38" s="5"/>
    </row>
    <row r="39" spans="28:33">
      <c r="AB39" s="3"/>
      <c r="AC39" s="4"/>
      <c r="AD39" s="5"/>
      <c r="AE39" s="5"/>
      <c r="AF39" s="5"/>
      <c r="AG39" s="5"/>
    </row>
    <row r="40" spans="28:33">
      <c r="AB40" s="3"/>
      <c r="AC40" s="4"/>
      <c r="AD40" s="5"/>
      <c r="AE40" s="5"/>
      <c r="AF40" s="5"/>
      <c r="AG40" s="5"/>
    </row>
    <row r="41" spans="28:33" ht="15.75" thickBot="1">
      <c r="AB41" s="6"/>
      <c r="AC41" s="7"/>
      <c r="AD41" s="8"/>
      <c r="AE41" s="8"/>
      <c r="AF41" s="8"/>
      <c r="AG41" s="8"/>
    </row>
    <row r="42" spans="28:33" ht="15.75" thickBot="1">
      <c r="AB42" s="190"/>
      <c r="AC42" s="191"/>
      <c r="AD42" s="8"/>
      <c r="AE42" s="8"/>
      <c r="AF42" s="8"/>
      <c r="AG42" s="8"/>
    </row>
    <row r="43" spans="28:33" ht="15.75" thickBot="1">
      <c r="AB43" s="182" t="s">
        <v>49</v>
      </c>
      <c r="AC43" s="183"/>
      <c r="AD43" s="9" t="e">
        <f>AVERAGE(AD12:AD41)</f>
        <v>#DIV/0!</v>
      </c>
      <c r="AE43" s="9"/>
      <c r="AF43" s="9" t="e">
        <f t="shared" ref="AF43:AG43" si="4">AVERAGE(AF12:AF41)</f>
        <v>#DIV/0!</v>
      </c>
      <c r="AG43" s="9" t="e">
        <f t="shared" si="4"/>
        <v>#DIV/0!</v>
      </c>
    </row>
  </sheetData>
  <mergeCells count="36">
    <mergeCell ref="A3:A4"/>
    <mergeCell ref="B3:B4"/>
    <mergeCell ref="A1:C1"/>
    <mergeCell ref="H3:H4"/>
    <mergeCell ref="I3:I4"/>
    <mergeCell ref="H1:J1"/>
    <mergeCell ref="Y6:Y7"/>
    <mergeCell ref="X6:X7"/>
    <mergeCell ref="W6:W7"/>
    <mergeCell ref="V6:V7"/>
    <mergeCell ref="O6:O8"/>
    <mergeCell ref="P6:P8"/>
    <mergeCell ref="Q6:Q8"/>
    <mergeCell ref="R6:R8"/>
    <mergeCell ref="AE6:AE7"/>
    <mergeCell ref="AF6:AF7"/>
    <mergeCell ref="T13:T14"/>
    <mergeCell ref="U13:U14"/>
    <mergeCell ref="V13:V14"/>
    <mergeCell ref="W13:W14"/>
    <mergeCell ref="X13:X14"/>
    <mergeCell ref="Y13:Y14"/>
    <mergeCell ref="AB10:AB11"/>
    <mergeCell ref="AC10:AC11"/>
    <mergeCell ref="AA6:AA7"/>
    <mergeCell ref="AB6:AB7"/>
    <mergeCell ref="AC6:AC7"/>
    <mergeCell ref="AD6:AD7"/>
    <mergeCell ref="T6:T7"/>
    <mergeCell ref="U6:U7"/>
    <mergeCell ref="AB42:AC42"/>
    <mergeCell ref="AB43:AC43"/>
    <mergeCell ref="AE10:AE11"/>
    <mergeCell ref="AF10:AF11"/>
    <mergeCell ref="AG10:AG11"/>
    <mergeCell ref="AD10:A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5"/>
  <sheetViews>
    <sheetView zoomScale="70" zoomScaleNormal="70" workbookViewId="0">
      <selection activeCell="B11" sqref="B11"/>
    </sheetView>
  </sheetViews>
  <sheetFormatPr defaultRowHeight="15"/>
  <cols>
    <col min="1" max="1" width="6" customWidth="1"/>
    <col min="2" max="2" width="14.375" customWidth="1"/>
    <col min="3" max="3" width="10.625" customWidth="1"/>
    <col min="4" max="4" width="15.875" customWidth="1"/>
    <col min="5" max="5" width="15.75" customWidth="1"/>
    <col min="6" max="6" width="14.25" customWidth="1"/>
    <col min="7" max="7" width="13" customWidth="1"/>
    <col min="8" max="8" width="12.375" customWidth="1"/>
    <col min="9" max="9" width="11.375" customWidth="1"/>
    <col min="13" max="13" width="11.375" customWidth="1"/>
  </cols>
  <sheetData>
    <row r="1" spans="1:14" ht="15.75" customHeight="1">
      <c r="A1" s="197" t="s">
        <v>0</v>
      </c>
      <c r="B1" s="199" t="s">
        <v>1</v>
      </c>
      <c r="C1" s="83" t="s">
        <v>10</v>
      </c>
      <c r="D1" s="85" t="s">
        <v>60</v>
      </c>
      <c r="E1" s="85" t="s">
        <v>82</v>
      </c>
      <c r="F1" s="81" t="s">
        <v>83</v>
      </c>
      <c r="G1" s="81" t="s">
        <v>63</v>
      </c>
      <c r="H1" s="81" t="s">
        <v>85</v>
      </c>
      <c r="I1" s="87" t="s">
        <v>62</v>
      </c>
      <c r="N1" s="37"/>
    </row>
    <row r="2" spans="1:14" ht="19.5" customHeight="1">
      <c r="A2" s="198"/>
      <c r="B2" s="200"/>
      <c r="C2" s="84" t="s">
        <v>59</v>
      </c>
      <c r="D2" s="86" t="s">
        <v>61</v>
      </c>
      <c r="E2" s="86" t="s">
        <v>61</v>
      </c>
      <c r="F2" s="82" t="s">
        <v>61</v>
      </c>
      <c r="G2" s="82" t="s">
        <v>84</v>
      </c>
      <c r="H2" s="82" t="s">
        <v>86</v>
      </c>
      <c r="I2" s="88" t="s">
        <v>87</v>
      </c>
      <c r="M2" s="92"/>
      <c r="N2" s="37"/>
    </row>
    <row r="3" spans="1:14" ht="15.75">
      <c r="A3" s="89">
        <v>1</v>
      </c>
      <c r="B3" s="64" t="s">
        <v>12</v>
      </c>
      <c r="C3" s="67">
        <v>0.1</v>
      </c>
      <c r="D3" s="70">
        <f>72750*10</f>
        <v>727500</v>
      </c>
      <c r="E3" s="70">
        <f>1250*10</f>
        <v>12500</v>
      </c>
      <c r="F3" s="67">
        <v>5400000</v>
      </c>
      <c r="G3" s="34">
        <v>55937.52</v>
      </c>
      <c r="H3" s="71">
        <f>889789*3*7%/12*100</f>
        <v>1557130.7500000002</v>
      </c>
      <c r="I3" s="45">
        <f>D3+E3+F3+G3+H3</f>
        <v>7753068.2699999996</v>
      </c>
      <c r="N3" s="37"/>
    </row>
    <row r="4" spans="1:14" ht="15.75">
      <c r="A4" s="90">
        <v>2</v>
      </c>
      <c r="B4" s="64" t="s">
        <v>13</v>
      </c>
      <c r="C4" s="67">
        <v>0.2</v>
      </c>
      <c r="D4" s="70">
        <f>72750*20</f>
        <v>1455000</v>
      </c>
      <c r="E4" s="70">
        <f>1250*20</f>
        <v>25000</v>
      </c>
      <c r="F4" s="67">
        <v>5400000</v>
      </c>
      <c r="G4" s="34">
        <v>55937.52</v>
      </c>
      <c r="H4" s="71">
        <f>1624579*3*7%/12*100</f>
        <v>2843013.2500000005</v>
      </c>
      <c r="I4" s="45">
        <f t="shared" ref="I4:I32" si="0">D4+E4+F4+G4+H4</f>
        <v>9778950.7699999996</v>
      </c>
      <c r="M4" s="93">
        <v>711.375</v>
      </c>
      <c r="N4" s="37"/>
    </row>
    <row r="5" spans="1:14" ht="15.75">
      <c r="A5" s="90">
        <v>3</v>
      </c>
      <c r="B5" s="64" t="s">
        <v>14</v>
      </c>
      <c r="C5" s="67">
        <v>0.12</v>
      </c>
      <c r="D5" s="70">
        <f>72750*12</f>
        <v>873000</v>
      </c>
      <c r="E5" s="70">
        <f>1250*12</f>
        <v>15000</v>
      </c>
      <c r="F5" s="67">
        <v>5400000</v>
      </c>
      <c r="G5" s="34">
        <v>118437.5</v>
      </c>
      <c r="H5" s="71">
        <f>1064927*3*7%/12*100</f>
        <v>1863622.25</v>
      </c>
      <c r="I5" s="45">
        <f t="shared" si="0"/>
        <v>8270059.75</v>
      </c>
      <c r="M5" s="93" t="s">
        <v>105</v>
      </c>
      <c r="N5" s="37"/>
    </row>
    <row r="6" spans="1:14" ht="15.75">
      <c r="A6" s="90">
        <v>4</v>
      </c>
      <c r="B6" s="64" t="s">
        <v>15</v>
      </c>
      <c r="C6" s="67">
        <v>0.1</v>
      </c>
      <c r="D6" s="70">
        <f>72750*10</f>
        <v>727500</v>
      </c>
      <c r="E6" s="76">
        <v>12500</v>
      </c>
      <c r="F6" s="67">
        <v>5400000</v>
      </c>
      <c r="G6" s="34">
        <v>60000</v>
      </c>
      <c r="H6" s="71">
        <f>999789*3*7%/12*100</f>
        <v>1749630.7500000002</v>
      </c>
      <c r="I6" s="45">
        <f t="shared" si="0"/>
        <v>7949630.75</v>
      </c>
      <c r="M6" s="93">
        <v>4358854</v>
      </c>
      <c r="N6" s="37"/>
    </row>
    <row r="7" spans="1:14" ht="15.75">
      <c r="A7" s="90">
        <v>5</v>
      </c>
      <c r="B7" s="64" t="s">
        <v>16</v>
      </c>
      <c r="C7" s="67">
        <v>0.08</v>
      </c>
      <c r="D7" s="70">
        <f>72750*8</f>
        <v>582000</v>
      </c>
      <c r="E7" s="70">
        <f>1250*8</f>
        <v>10000</v>
      </c>
      <c r="F7" s="67">
        <v>5400000</v>
      </c>
      <c r="G7" s="34">
        <v>55937.52</v>
      </c>
      <c r="H7" s="71">
        <f>889852*3*7%/12*100</f>
        <v>1557241.0000000002</v>
      </c>
      <c r="I7" s="45">
        <f t="shared" si="0"/>
        <v>7605178.5199999996</v>
      </c>
      <c r="M7" s="93">
        <v>12229167</v>
      </c>
      <c r="N7" s="37"/>
    </row>
    <row r="8" spans="1:14" ht="15.75">
      <c r="A8" s="90">
        <v>6</v>
      </c>
      <c r="B8" s="64" t="s">
        <v>17</v>
      </c>
      <c r="C8" s="67">
        <v>0.25</v>
      </c>
      <c r="D8" s="70">
        <f>72750*25</f>
        <v>1818750</v>
      </c>
      <c r="E8" s="70">
        <f>1250*25</f>
        <v>31250</v>
      </c>
      <c r="F8" s="67">
        <v>5400000</v>
      </c>
      <c r="G8" s="34">
        <v>158125</v>
      </c>
      <c r="H8" s="71">
        <f>1767024*3*7%/12*100</f>
        <v>3092292</v>
      </c>
      <c r="I8" s="45">
        <f t="shared" si="0"/>
        <v>10500417</v>
      </c>
      <c r="M8" s="60">
        <v>800596409</v>
      </c>
      <c r="N8" s="63"/>
    </row>
    <row r="9" spans="1:14" ht="15.75">
      <c r="A9" s="90">
        <v>7</v>
      </c>
      <c r="B9" s="64" t="s">
        <v>18</v>
      </c>
      <c r="C9" s="67">
        <v>0.25</v>
      </c>
      <c r="D9" s="70">
        <f>72750*25</f>
        <v>1818750</v>
      </c>
      <c r="E9" s="70">
        <f>1250*25</f>
        <v>31250</v>
      </c>
      <c r="F9" s="67">
        <v>5400000</v>
      </c>
      <c r="G9" s="34">
        <v>109375</v>
      </c>
      <c r="H9" s="72">
        <f>1966974*3*7%/12*100</f>
        <v>3442204.5000000005</v>
      </c>
      <c r="I9" s="45">
        <f t="shared" si="0"/>
        <v>10801579.5</v>
      </c>
      <c r="M9">
        <f>SUM(M4:M8)</f>
        <v>817185141.375</v>
      </c>
      <c r="N9" s="37"/>
    </row>
    <row r="10" spans="1:14" ht="15.75">
      <c r="A10" s="90">
        <v>8</v>
      </c>
      <c r="B10" s="64" t="s">
        <v>19</v>
      </c>
      <c r="C10" s="67">
        <v>0.35</v>
      </c>
      <c r="D10" s="70">
        <f>72750*35</f>
        <v>2546250</v>
      </c>
      <c r="E10" s="70">
        <f>1250*35</f>
        <v>43750</v>
      </c>
      <c r="F10" s="67">
        <v>5400000</v>
      </c>
      <c r="G10" s="34">
        <v>124062.5</v>
      </c>
      <c r="H10" s="71">
        <f>2756413*3*7%/12*100</f>
        <v>4823722.7500000009</v>
      </c>
      <c r="I10" s="45">
        <f t="shared" si="0"/>
        <v>12937785.25</v>
      </c>
      <c r="N10" s="37"/>
    </row>
    <row r="11" spans="1:14" ht="15.75">
      <c r="A11" s="90">
        <v>9</v>
      </c>
      <c r="B11" s="64" t="s">
        <v>20</v>
      </c>
      <c r="C11" s="67">
        <v>0.3</v>
      </c>
      <c r="D11" s="70">
        <f>72750*30</f>
        <v>2182500</v>
      </c>
      <c r="E11" s="70">
        <f>1250*30</f>
        <v>37500</v>
      </c>
      <c r="F11" s="67">
        <v>5400000</v>
      </c>
      <c r="G11" s="34">
        <v>102187.5</v>
      </c>
      <c r="H11" s="71">
        <f>2370068*3*7%/12*100</f>
        <v>4147619</v>
      </c>
      <c r="I11" s="45">
        <f t="shared" si="0"/>
        <v>11869806.5</v>
      </c>
      <c r="N11" s="37"/>
    </row>
    <row r="12" spans="1:14" ht="15.75">
      <c r="A12" s="90">
        <v>10</v>
      </c>
      <c r="B12" s="64" t="s">
        <v>21</v>
      </c>
      <c r="C12" s="67">
        <v>0.2</v>
      </c>
      <c r="D12" s="70">
        <f>72750*20</f>
        <v>1455000</v>
      </c>
      <c r="E12" s="70">
        <f>1250*20</f>
        <v>25000</v>
      </c>
      <c r="F12" s="67">
        <v>5400000</v>
      </c>
      <c r="G12" s="34">
        <v>54375</v>
      </c>
      <c r="H12" s="71">
        <v>1613579</v>
      </c>
      <c r="I12" s="45">
        <f t="shared" si="0"/>
        <v>8547954</v>
      </c>
      <c r="N12" s="37"/>
    </row>
    <row r="13" spans="1:14" ht="15.75">
      <c r="A13" s="90">
        <v>11</v>
      </c>
      <c r="B13" s="64" t="s">
        <v>22</v>
      </c>
      <c r="C13" s="67">
        <v>0.1</v>
      </c>
      <c r="D13" s="70">
        <f>72750*10</f>
        <v>727500</v>
      </c>
      <c r="E13" s="70">
        <f>1250*10</f>
        <v>12500</v>
      </c>
      <c r="F13" s="67">
        <v>5400000</v>
      </c>
      <c r="G13" s="34">
        <v>61562.49</v>
      </c>
      <c r="H13" s="71">
        <f>674730*3*7%/12*100</f>
        <v>1180777.5000000002</v>
      </c>
      <c r="I13" s="45">
        <f t="shared" si="0"/>
        <v>7382339.9900000002</v>
      </c>
      <c r="N13" s="37"/>
    </row>
    <row r="14" spans="1:14" ht="15.75">
      <c r="A14" s="90">
        <v>12</v>
      </c>
      <c r="B14" s="64" t="s">
        <v>23</v>
      </c>
      <c r="C14" s="67">
        <v>0.25</v>
      </c>
      <c r="D14" s="70">
        <f>72750*25</f>
        <v>1818750</v>
      </c>
      <c r="E14" s="70">
        <f>1250*25</f>
        <v>31250</v>
      </c>
      <c r="F14" s="67">
        <v>5400000</v>
      </c>
      <c r="G14" s="34">
        <v>112812.5</v>
      </c>
      <c r="H14" s="71">
        <f>1636915*3*7%/12*100</f>
        <v>2864601.25</v>
      </c>
      <c r="I14" s="45">
        <f t="shared" si="0"/>
        <v>10227413.75</v>
      </c>
      <c r="N14" s="37"/>
    </row>
    <row r="15" spans="1:14" ht="15.75">
      <c r="A15" s="90">
        <v>13</v>
      </c>
      <c r="B15" s="64" t="s">
        <v>24</v>
      </c>
      <c r="C15" s="67">
        <v>0.23</v>
      </c>
      <c r="D15" s="70">
        <f>72750*23</f>
        <v>1673250</v>
      </c>
      <c r="E15" s="70">
        <f>1250*23</f>
        <v>28750</v>
      </c>
      <c r="F15" s="67">
        <v>5400000</v>
      </c>
      <c r="G15" s="34">
        <v>106250</v>
      </c>
      <c r="H15" s="71">
        <f>1625616*3*7%/12*100</f>
        <v>2844828.0000000005</v>
      </c>
      <c r="I15" s="45">
        <f t="shared" si="0"/>
        <v>10053078</v>
      </c>
      <c r="N15" s="62"/>
    </row>
    <row r="16" spans="1:14" ht="15.75">
      <c r="A16" s="90">
        <v>14</v>
      </c>
      <c r="B16" s="64" t="s">
        <v>25</v>
      </c>
      <c r="C16" s="67">
        <v>0.35</v>
      </c>
      <c r="D16" s="70">
        <f>72750*35</f>
        <v>2546250</v>
      </c>
      <c r="E16" s="70">
        <f>1250*35</f>
        <v>43750</v>
      </c>
      <c r="F16" s="67">
        <v>5400000</v>
      </c>
      <c r="G16" s="34">
        <v>154687.5</v>
      </c>
      <c r="H16" s="71">
        <f>2473475*3*7%/12*100</f>
        <v>4328581.2500000009</v>
      </c>
      <c r="I16" s="45">
        <f t="shared" si="0"/>
        <v>12473268.75</v>
      </c>
      <c r="N16" s="37"/>
    </row>
    <row r="17" spans="1:14" ht="15.75">
      <c r="A17" s="90">
        <v>15</v>
      </c>
      <c r="B17" s="64" t="s">
        <v>26</v>
      </c>
      <c r="C17" s="67">
        <v>0.27</v>
      </c>
      <c r="D17" s="70">
        <f>72750*27</f>
        <v>1964250</v>
      </c>
      <c r="E17" s="70">
        <f>1250*27</f>
        <v>33750</v>
      </c>
      <c r="F17" s="67">
        <v>5400000</v>
      </c>
      <c r="G17" s="34">
        <v>111875</v>
      </c>
      <c r="H17" s="73">
        <f>1701931*3*7%/12*100</f>
        <v>2978379.25</v>
      </c>
      <c r="I17" s="45">
        <f t="shared" si="0"/>
        <v>10488254.25</v>
      </c>
      <c r="N17" s="37"/>
    </row>
    <row r="18" spans="1:14" ht="15.75">
      <c r="A18" s="90">
        <v>16</v>
      </c>
      <c r="B18" s="64" t="s">
        <v>27</v>
      </c>
      <c r="C18" s="67">
        <v>0.12</v>
      </c>
      <c r="D18" s="70">
        <f>72750*12</f>
        <v>873000</v>
      </c>
      <c r="E18" s="70">
        <f>1250*12</f>
        <v>15000</v>
      </c>
      <c r="F18" s="67">
        <v>5400000</v>
      </c>
      <c r="G18" s="34">
        <v>64062.51</v>
      </c>
      <c r="H18" s="71">
        <f>3594900*3*7%/12*100</f>
        <v>6291075.0000000009</v>
      </c>
      <c r="I18" s="45">
        <f t="shared" si="0"/>
        <v>12643137.510000002</v>
      </c>
      <c r="N18" s="37"/>
    </row>
    <row r="19" spans="1:14" ht="15.75">
      <c r="A19" s="90">
        <v>17</v>
      </c>
      <c r="B19" s="64" t="s">
        <v>28</v>
      </c>
      <c r="C19" s="67">
        <v>0.28999999999999998</v>
      </c>
      <c r="D19" s="70">
        <f>72750*29</f>
        <v>2109750</v>
      </c>
      <c r="E19" s="70">
        <f>1250*29</f>
        <v>36250</v>
      </c>
      <c r="F19" s="67">
        <v>5400000</v>
      </c>
      <c r="G19" s="34">
        <v>112812.5</v>
      </c>
      <c r="H19" s="71">
        <f>2031889*3*7%/12*100</f>
        <v>3555805.7500000005</v>
      </c>
      <c r="I19" s="45">
        <f t="shared" si="0"/>
        <v>11214618.25</v>
      </c>
      <c r="N19" s="37"/>
    </row>
    <row r="20" spans="1:14" ht="15.75">
      <c r="A20" s="90">
        <v>18</v>
      </c>
      <c r="B20" s="64" t="s">
        <v>29</v>
      </c>
      <c r="C20" s="67">
        <v>0.28000000000000003</v>
      </c>
      <c r="D20" s="70">
        <f>72750*28</f>
        <v>2037000</v>
      </c>
      <c r="E20" s="70">
        <f>1250*28</f>
        <v>35000</v>
      </c>
      <c r="F20" s="67">
        <v>5400000</v>
      </c>
      <c r="G20" s="34">
        <v>61562.49</v>
      </c>
      <c r="H20" s="71">
        <f>2029300*3*7%/12*100</f>
        <v>3551275.0000000009</v>
      </c>
      <c r="I20" s="45">
        <f t="shared" si="0"/>
        <v>11084837.490000002</v>
      </c>
      <c r="N20" s="37"/>
    </row>
    <row r="21" spans="1:14" ht="15.75">
      <c r="A21" s="90">
        <v>19</v>
      </c>
      <c r="B21" s="64" t="s">
        <v>30</v>
      </c>
      <c r="C21" s="67">
        <v>0.38</v>
      </c>
      <c r="D21" s="70">
        <f>72750*38</f>
        <v>2764500</v>
      </c>
      <c r="E21" s="70">
        <f>1250*38</f>
        <v>47500</v>
      </c>
      <c r="F21" s="67">
        <v>5400000</v>
      </c>
      <c r="G21" s="34">
        <v>167812.5</v>
      </c>
      <c r="H21" s="71">
        <f>2816820*3*7%/12*100</f>
        <v>4929435.0000000009</v>
      </c>
      <c r="I21" s="45">
        <f t="shared" si="0"/>
        <v>13309247.5</v>
      </c>
      <c r="N21" s="37"/>
    </row>
    <row r="22" spans="1:14" ht="15.75">
      <c r="A22" s="90">
        <v>20</v>
      </c>
      <c r="B22" s="64" t="s">
        <v>31</v>
      </c>
      <c r="C22" s="67">
        <v>0.1</v>
      </c>
      <c r="D22" s="70">
        <f>72750*10</f>
        <v>727500</v>
      </c>
      <c r="E22" s="70">
        <f>1250*10</f>
        <v>12500</v>
      </c>
      <c r="F22" s="67">
        <v>5400000</v>
      </c>
      <c r="G22" s="34">
        <v>60937.47</v>
      </c>
      <c r="H22" s="71">
        <f>973330*3*7%/12*100</f>
        <v>1703327.5000000002</v>
      </c>
      <c r="I22" s="45">
        <f t="shared" si="0"/>
        <v>7904264.9699999997</v>
      </c>
      <c r="N22" s="37"/>
    </row>
    <row r="23" spans="1:14" ht="15.75">
      <c r="A23" s="90">
        <v>21</v>
      </c>
      <c r="B23" s="64" t="s">
        <v>32</v>
      </c>
      <c r="C23" s="67">
        <v>0.08</v>
      </c>
      <c r="D23" s="70">
        <f>72750*8</f>
        <v>582000</v>
      </c>
      <c r="E23" s="70">
        <f>1250*8</f>
        <v>10000</v>
      </c>
      <c r="F23" s="67">
        <v>5400000</v>
      </c>
      <c r="G23" s="34">
        <v>55937.52</v>
      </c>
      <c r="H23" s="71">
        <f>638540*3*7%/12*100</f>
        <v>1117445.0000000002</v>
      </c>
      <c r="I23" s="45">
        <f t="shared" si="0"/>
        <v>7165382.5199999996</v>
      </c>
      <c r="N23" s="37"/>
    </row>
    <row r="24" spans="1:14" ht="15.75">
      <c r="A24" s="90">
        <v>22</v>
      </c>
      <c r="B24" s="64" t="s">
        <v>33</v>
      </c>
      <c r="C24" s="67">
        <v>0.24</v>
      </c>
      <c r="D24" s="70">
        <f>72750*24</f>
        <v>1746000</v>
      </c>
      <c r="E24" s="70">
        <f>1250*24</f>
        <v>30000</v>
      </c>
      <c r="F24" s="67">
        <v>5400000</v>
      </c>
      <c r="G24" s="34">
        <v>110312.5</v>
      </c>
      <c r="H24" s="72">
        <f>1810840*3*7%/12*100</f>
        <v>3168970</v>
      </c>
      <c r="I24" s="45">
        <f t="shared" si="0"/>
        <v>10455282.5</v>
      </c>
    </row>
    <row r="25" spans="1:14" ht="15.75">
      <c r="A25" s="90">
        <v>23</v>
      </c>
      <c r="B25" s="64" t="s">
        <v>34</v>
      </c>
      <c r="C25" s="67">
        <v>0.2</v>
      </c>
      <c r="D25" s="70">
        <f>72750*20</f>
        <v>1455000</v>
      </c>
      <c r="E25" s="70">
        <f>1250*20</f>
        <v>25000</v>
      </c>
      <c r="F25" s="67">
        <v>5400000</v>
      </c>
      <c r="G25" s="34">
        <v>66562.5</v>
      </c>
      <c r="H25" s="71">
        <f>1566740*3*7%/12*100</f>
        <v>2741795</v>
      </c>
      <c r="I25" s="45">
        <f t="shared" si="0"/>
        <v>9688357.5</v>
      </c>
    </row>
    <row r="26" spans="1:14" ht="15.75">
      <c r="A26" s="90">
        <v>24</v>
      </c>
      <c r="B26" s="64" t="s">
        <v>35</v>
      </c>
      <c r="C26" s="67">
        <v>0.1</v>
      </c>
      <c r="D26" s="70">
        <f>72750*10</f>
        <v>727500</v>
      </c>
      <c r="E26" s="70">
        <f>1250*10</f>
        <v>12500</v>
      </c>
      <c r="F26" s="67">
        <v>5400000</v>
      </c>
      <c r="G26" s="34">
        <v>55937.52</v>
      </c>
      <c r="H26" s="71">
        <f>873330*3*7%/12*100</f>
        <v>1528327.5000000002</v>
      </c>
      <c r="I26" s="45">
        <f t="shared" si="0"/>
        <v>7724265.0199999996</v>
      </c>
      <c r="M26" t="s">
        <v>58</v>
      </c>
    </row>
    <row r="27" spans="1:14" ht="15.75">
      <c r="A27" s="90">
        <v>25</v>
      </c>
      <c r="B27" s="64" t="s">
        <v>36</v>
      </c>
      <c r="C27" s="67">
        <v>0.14000000000000001</v>
      </c>
      <c r="D27" s="70">
        <f>72750*14</f>
        <v>1018500</v>
      </c>
      <c r="E27" s="70">
        <f>1250*14</f>
        <v>17500</v>
      </c>
      <c r="F27" s="67">
        <v>5400000</v>
      </c>
      <c r="G27" s="34">
        <v>62499.99</v>
      </c>
      <c r="H27" s="71">
        <f>1222790*3*7%/12*100</f>
        <v>2139882.5</v>
      </c>
      <c r="I27" s="45">
        <f t="shared" si="0"/>
        <v>8638382.4900000002</v>
      </c>
    </row>
    <row r="28" spans="1:14" ht="15.75">
      <c r="A28" s="90">
        <v>26</v>
      </c>
      <c r="B28" s="64" t="s">
        <v>37</v>
      </c>
      <c r="C28" s="67">
        <v>0.25</v>
      </c>
      <c r="D28" s="70">
        <f>72750*25</f>
        <v>1818750</v>
      </c>
      <c r="E28" s="70">
        <f>1250*25</f>
        <v>31250</v>
      </c>
      <c r="F28" s="67">
        <v>5400000</v>
      </c>
      <c r="G28" s="34">
        <v>106250</v>
      </c>
      <c r="H28" s="71">
        <f>1695815*3*7%/12*100</f>
        <v>2967676.25</v>
      </c>
      <c r="I28" s="45">
        <f t="shared" si="0"/>
        <v>10323926.25</v>
      </c>
    </row>
    <row r="29" spans="1:14" ht="15.75">
      <c r="A29" s="90">
        <v>27</v>
      </c>
      <c r="B29" s="64" t="s">
        <v>38</v>
      </c>
      <c r="C29" s="67">
        <v>0.08</v>
      </c>
      <c r="D29" s="70">
        <f>72750*8</f>
        <v>582000</v>
      </c>
      <c r="E29" s="70">
        <f>1250*8</f>
        <v>10000</v>
      </c>
      <c r="F29" s="67">
        <v>5400000</v>
      </c>
      <c r="G29" s="34">
        <v>58437.51</v>
      </c>
      <c r="H29" s="71">
        <f>798020*3*7%/12*100</f>
        <v>1396535</v>
      </c>
      <c r="I29" s="45">
        <f t="shared" si="0"/>
        <v>7446972.5099999998</v>
      </c>
    </row>
    <row r="30" spans="1:14" ht="15.75">
      <c r="A30" s="90">
        <v>28</v>
      </c>
      <c r="B30" s="64" t="s">
        <v>39</v>
      </c>
      <c r="C30" s="67">
        <v>0.2</v>
      </c>
      <c r="D30" s="70">
        <f>72750*20</f>
        <v>1455000</v>
      </c>
      <c r="E30" s="70">
        <f>1250*20</f>
        <v>25000</v>
      </c>
      <c r="F30" s="67">
        <v>5400000</v>
      </c>
      <c r="G30" s="34">
        <v>64062.51</v>
      </c>
      <c r="H30" s="71">
        <f>1566920*3*7%/12*100</f>
        <v>2742110</v>
      </c>
      <c r="I30" s="45">
        <f t="shared" si="0"/>
        <v>9686172.5099999998</v>
      </c>
    </row>
    <row r="31" spans="1:14" ht="15.75">
      <c r="A31" s="90">
        <v>29</v>
      </c>
      <c r="B31" s="64" t="s">
        <v>40</v>
      </c>
      <c r="C31" s="67">
        <v>0.1</v>
      </c>
      <c r="D31" s="70">
        <f>72750*10</f>
        <v>727500</v>
      </c>
      <c r="E31" s="70">
        <f>1250*10</f>
        <v>12500</v>
      </c>
      <c r="F31" s="67">
        <v>5400000</v>
      </c>
      <c r="G31" s="34">
        <v>58437.51</v>
      </c>
      <c r="H31" s="71">
        <f>813510*3*7%/12*100</f>
        <v>1423642.5</v>
      </c>
      <c r="I31" s="45">
        <f t="shared" si="0"/>
        <v>7622080.0099999998</v>
      </c>
    </row>
    <row r="32" spans="1:14" ht="15.75">
      <c r="A32" s="91">
        <v>30</v>
      </c>
      <c r="B32" s="64" t="s">
        <v>41</v>
      </c>
      <c r="C32" s="67">
        <v>0.16</v>
      </c>
      <c r="D32" s="70">
        <f>72750*16</f>
        <v>1164000</v>
      </c>
      <c r="E32" s="70">
        <f>1250*16</f>
        <v>20000</v>
      </c>
      <c r="F32" s="67">
        <v>5400000</v>
      </c>
      <c r="G32" s="34">
        <v>68124.990000000005</v>
      </c>
      <c r="H32" s="71">
        <f>1547380*3*7%/12*100</f>
        <v>2707915.0000000005</v>
      </c>
      <c r="I32" s="45">
        <f t="shared" si="0"/>
        <v>9360039.9900000002</v>
      </c>
    </row>
    <row r="33" spans="1:9" ht="16.5" customHeight="1">
      <c r="A33" s="201" t="s">
        <v>48</v>
      </c>
      <c r="B33" s="202"/>
      <c r="C33" s="67">
        <f>SUM(C3:C32)</f>
        <v>5.87</v>
      </c>
      <c r="D33" s="70">
        <f>SUM(D3:D32)</f>
        <v>42704250</v>
      </c>
      <c r="E33" s="70">
        <f>SUM(E3:E32)</f>
        <v>733750</v>
      </c>
      <c r="F33" s="67">
        <f>SUM(F3:F32)</f>
        <v>162000000</v>
      </c>
      <c r="G33" s="34">
        <v>2615313</v>
      </c>
      <c r="H33" s="74">
        <f>SUM(H3:H32)</f>
        <v>82852439.5</v>
      </c>
      <c r="I33" s="45">
        <f>SUM(I3:I32)</f>
        <v>290905752.07000005</v>
      </c>
    </row>
    <row r="34" spans="1:9" ht="16.5" customHeight="1">
      <c r="A34" s="203" t="s">
        <v>81</v>
      </c>
      <c r="B34" s="204"/>
      <c r="C34" s="68" t="s">
        <v>58</v>
      </c>
      <c r="D34" s="70">
        <f>D33/30</f>
        <v>1423475</v>
      </c>
      <c r="E34" s="77">
        <f>E33/30</f>
        <v>24458.333333333332</v>
      </c>
      <c r="F34" s="79">
        <f>F33/30</f>
        <v>5400000</v>
      </c>
      <c r="G34" s="34">
        <v>87177.09</v>
      </c>
      <c r="H34" s="75">
        <f>H33/30</f>
        <v>2761747.9833333334</v>
      </c>
      <c r="I34" s="45">
        <f>I33/30</f>
        <v>9696858.402333336</v>
      </c>
    </row>
    <row r="35" spans="1:9" ht="15.75">
      <c r="A35" s="65"/>
      <c r="B35" s="66" t="s">
        <v>77</v>
      </c>
      <c r="C35" s="69" t="s">
        <v>66</v>
      </c>
      <c r="D35" s="69">
        <f>D34*5</f>
        <v>7117375</v>
      </c>
      <c r="E35" s="78">
        <f>E34*5</f>
        <v>122291.66666666666</v>
      </c>
      <c r="F35" s="80">
        <f>F34*5</f>
        <v>27000000</v>
      </c>
      <c r="G35" s="50">
        <v>435885.4</v>
      </c>
      <c r="H35" s="19">
        <f>H34*5</f>
        <v>13808739.916666668</v>
      </c>
      <c r="I35" s="19">
        <f>I34*5</f>
        <v>48484292.011666678</v>
      </c>
    </row>
  </sheetData>
  <mergeCells count="4">
    <mergeCell ref="A1:A2"/>
    <mergeCell ref="B1:B2"/>
    <mergeCell ref="A33:B33"/>
    <mergeCell ref="A34:B34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7"/>
  <sheetViews>
    <sheetView topLeftCell="I3" zoomScale="70" zoomScaleNormal="70" workbookViewId="0">
      <selection activeCell="AD5" sqref="AD5"/>
    </sheetView>
  </sheetViews>
  <sheetFormatPr defaultRowHeight="15"/>
  <cols>
    <col min="1" max="1" width="5.75" customWidth="1"/>
    <col min="2" max="2" width="8" customWidth="1"/>
    <col min="3" max="3" width="7.25" customWidth="1"/>
    <col min="4" max="4" width="10.125" customWidth="1"/>
    <col min="5" max="5" width="8.375" customWidth="1"/>
    <col min="6" max="6" width="10.75" customWidth="1"/>
    <col min="7" max="7" width="6.375" customWidth="1"/>
    <col min="8" max="8" width="11.375" customWidth="1"/>
    <col min="9" max="9" width="9" customWidth="1"/>
    <col min="10" max="10" width="13.625" customWidth="1"/>
    <col min="12" max="12" width="10" bestFit="1" customWidth="1"/>
    <col min="21" max="21" width="17.125" customWidth="1"/>
  </cols>
  <sheetData>
    <row r="1" spans="1:27" ht="15.75" thickBot="1">
      <c r="C1" s="196" t="s">
        <v>72</v>
      </c>
      <c r="D1" s="196"/>
      <c r="E1" s="196"/>
      <c r="F1" s="196"/>
      <c r="G1" s="196" t="s">
        <v>73</v>
      </c>
      <c r="H1" s="196"/>
      <c r="I1" s="196"/>
      <c r="J1" s="196"/>
    </row>
    <row r="2" spans="1:27" ht="16.5" thickBot="1">
      <c r="A2" s="205" t="s">
        <v>0</v>
      </c>
      <c r="B2" s="205" t="s">
        <v>74</v>
      </c>
      <c r="C2" s="207" t="s">
        <v>75</v>
      </c>
      <c r="D2" s="208"/>
      <c r="E2" s="208"/>
      <c r="F2" s="209"/>
      <c r="G2" s="207" t="s">
        <v>70</v>
      </c>
      <c r="H2" s="208"/>
      <c r="I2" s="208"/>
      <c r="J2" s="209"/>
    </row>
    <row r="3" spans="1:27" ht="16.5" thickBot="1">
      <c r="A3" s="206"/>
      <c r="B3" s="206"/>
      <c r="C3" s="22" t="s">
        <v>71</v>
      </c>
      <c r="D3" s="22" t="s">
        <v>67</v>
      </c>
      <c r="E3" s="22" t="s">
        <v>68</v>
      </c>
      <c r="F3" s="22" t="s">
        <v>69</v>
      </c>
      <c r="G3" s="23" t="s">
        <v>71</v>
      </c>
      <c r="H3" s="23" t="s">
        <v>67</v>
      </c>
      <c r="I3" s="23" t="s">
        <v>68</v>
      </c>
      <c r="J3" s="23" t="s">
        <v>69</v>
      </c>
      <c r="O3" s="205" t="s">
        <v>79</v>
      </c>
      <c r="P3" s="205" t="s">
        <v>74</v>
      </c>
      <c r="Q3" s="207" t="s">
        <v>73</v>
      </c>
      <c r="R3" s="208"/>
      <c r="S3" s="208"/>
      <c r="T3" s="208"/>
      <c r="U3" s="210" t="s">
        <v>80</v>
      </c>
      <c r="V3" s="36"/>
      <c r="W3" s="36"/>
      <c r="X3" s="36"/>
    </row>
    <row r="4" spans="1:27" ht="16.5" thickBot="1">
      <c r="A4" s="24">
        <v>1</v>
      </c>
      <c r="B4" s="25">
        <v>0.1</v>
      </c>
      <c r="C4" s="21">
        <v>1</v>
      </c>
      <c r="D4" s="21">
        <v>65000</v>
      </c>
      <c r="E4" s="21">
        <v>48</v>
      </c>
      <c r="F4" s="21">
        <v>1354.17</v>
      </c>
      <c r="G4" s="22">
        <v>2</v>
      </c>
      <c r="H4" s="22">
        <v>50000</v>
      </c>
      <c r="I4" s="22">
        <v>48</v>
      </c>
      <c r="J4" s="22">
        <v>1041.67</v>
      </c>
      <c r="L4" s="12">
        <f>F4*3</f>
        <v>4062.51</v>
      </c>
      <c r="M4">
        <f>J4*3</f>
        <v>3125.01</v>
      </c>
      <c r="O4" s="206"/>
      <c r="P4" s="206"/>
      <c r="Q4" s="23" t="s">
        <v>71</v>
      </c>
      <c r="R4" s="23" t="s">
        <v>67</v>
      </c>
      <c r="S4" s="23" t="s">
        <v>68</v>
      </c>
      <c r="T4" s="31" t="s">
        <v>69</v>
      </c>
      <c r="U4" s="211"/>
      <c r="V4" s="30"/>
      <c r="W4" s="30"/>
      <c r="X4" s="30"/>
    </row>
    <row r="5" spans="1:27" ht="15.75">
      <c r="A5" s="24">
        <v>2</v>
      </c>
      <c r="B5" s="25">
        <v>0.2</v>
      </c>
      <c r="C5" s="22">
        <v>1</v>
      </c>
      <c r="D5" s="22">
        <v>65000</v>
      </c>
      <c r="E5" s="22">
        <v>48</v>
      </c>
      <c r="F5" s="22">
        <v>1354.17</v>
      </c>
      <c r="G5" s="22">
        <v>2</v>
      </c>
      <c r="H5" s="22">
        <v>50000</v>
      </c>
      <c r="I5" s="22">
        <v>48</v>
      </c>
      <c r="J5" s="22">
        <v>1041.67</v>
      </c>
      <c r="L5" s="12">
        <f t="shared" ref="L5:L33" si="0">F5*3</f>
        <v>4062.51</v>
      </c>
      <c r="M5">
        <f t="shared" ref="M5:M33" si="1">J5*3</f>
        <v>3125.01</v>
      </c>
      <c r="O5" s="20">
        <v>1</v>
      </c>
      <c r="P5" s="29">
        <v>0.1</v>
      </c>
      <c r="Q5" s="22">
        <v>2</v>
      </c>
      <c r="R5" s="22">
        <v>80000</v>
      </c>
      <c r="S5" s="22">
        <v>48</v>
      </c>
      <c r="T5" s="30">
        <v>1666.67</v>
      </c>
      <c r="U5" s="34"/>
      <c r="V5" s="30"/>
      <c r="W5" s="21">
        <v>4062.51</v>
      </c>
      <c r="X5" s="22">
        <v>3125.01</v>
      </c>
      <c r="Y5" s="20">
        <v>43749.99</v>
      </c>
      <c r="Z5" s="37">
        <v>5000.01</v>
      </c>
      <c r="AA5">
        <f>W5+X5+Y5+Z5</f>
        <v>55937.52</v>
      </c>
    </row>
    <row r="6" spans="1:27" ht="15.75">
      <c r="A6" s="24">
        <v>3</v>
      </c>
      <c r="B6" s="25">
        <v>0.12</v>
      </c>
      <c r="C6" s="22">
        <v>3</v>
      </c>
      <c r="D6" s="22">
        <v>195000</v>
      </c>
      <c r="E6" s="22">
        <v>48</v>
      </c>
      <c r="F6" s="22">
        <v>4062.5</v>
      </c>
      <c r="G6" s="22">
        <v>4</v>
      </c>
      <c r="H6" s="22">
        <v>100000</v>
      </c>
      <c r="I6" s="22">
        <v>48</v>
      </c>
      <c r="J6" s="22">
        <v>2083.33</v>
      </c>
      <c r="L6" s="12">
        <f t="shared" si="0"/>
        <v>12187.5</v>
      </c>
      <c r="M6">
        <f t="shared" si="1"/>
        <v>6249.99</v>
      </c>
      <c r="O6" s="24">
        <v>2</v>
      </c>
      <c r="P6" s="25">
        <v>0.2</v>
      </c>
      <c r="Q6" s="22">
        <v>2</v>
      </c>
      <c r="R6" s="22">
        <v>80000</v>
      </c>
      <c r="S6" s="22">
        <v>48</v>
      </c>
      <c r="T6" s="30">
        <v>1666.67</v>
      </c>
      <c r="U6" s="34"/>
      <c r="V6" s="30"/>
      <c r="W6" s="22">
        <v>4062.51</v>
      </c>
      <c r="X6" s="22">
        <v>3125.01</v>
      </c>
      <c r="Y6" s="24">
        <v>43749.99</v>
      </c>
      <c r="Z6" s="37">
        <v>5000.01</v>
      </c>
      <c r="AA6">
        <f t="shared" ref="AA6:AA34" si="2">W6+X6+Y6+Z6</f>
        <v>55937.52</v>
      </c>
    </row>
    <row r="7" spans="1:27" ht="15.75">
      <c r="A7" s="24">
        <v>4</v>
      </c>
      <c r="B7" s="25">
        <v>0.1</v>
      </c>
      <c r="C7" s="22">
        <v>2</v>
      </c>
      <c r="D7" s="22">
        <v>130000</v>
      </c>
      <c r="E7" s="22">
        <v>48</v>
      </c>
      <c r="F7" s="22">
        <v>2708.33</v>
      </c>
      <c r="G7" s="22">
        <v>2</v>
      </c>
      <c r="H7" s="22">
        <v>50000</v>
      </c>
      <c r="I7" s="22">
        <v>48</v>
      </c>
      <c r="J7" s="22">
        <v>1041.67</v>
      </c>
      <c r="L7" s="12">
        <f t="shared" si="0"/>
        <v>8124.99</v>
      </c>
      <c r="M7">
        <f t="shared" si="1"/>
        <v>3125.01</v>
      </c>
      <c r="O7" s="24">
        <v>3</v>
      </c>
      <c r="P7" s="25">
        <v>0.12</v>
      </c>
      <c r="Q7" s="22">
        <v>5</v>
      </c>
      <c r="R7" s="22">
        <v>200000</v>
      </c>
      <c r="S7" s="22">
        <v>48</v>
      </c>
      <c r="T7" s="30">
        <v>4166.67</v>
      </c>
      <c r="U7" s="34"/>
      <c r="V7" s="30"/>
      <c r="W7" s="22">
        <v>12187.5</v>
      </c>
      <c r="X7" s="22">
        <v>6249.99</v>
      </c>
      <c r="Y7" s="24">
        <v>87500.01</v>
      </c>
      <c r="Z7" s="37">
        <v>12500.01</v>
      </c>
      <c r="AA7">
        <f t="shared" si="2"/>
        <v>118437.51</v>
      </c>
    </row>
    <row r="8" spans="1:27" ht="15.75">
      <c r="A8" s="24">
        <v>5</v>
      </c>
      <c r="B8" s="25">
        <v>0.08</v>
      </c>
      <c r="C8" s="22">
        <v>1</v>
      </c>
      <c r="D8" s="22">
        <v>65000</v>
      </c>
      <c r="E8" s="22">
        <v>48</v>
      </c>
      <c r="F8" s="22">
        <v>1354.17</v>
      </c>
      <c r="G8" s="22">
        <v>2</v>
      </c>
      <c r="H8" s="22">
        <v>50000</v>
      </c>
      <c r="I8" s="22">
        <v>48</v>
      </c>
      <c r="J8" s="22">
        <v>1041.67</v>
      </c>
      <c r="L8" s="12">
        <f t="shared" si="0"/>
        <v>4062.51</v>
      </c>
      <c r="M8">
        <f t="shared" si="1"/>
        <v>3125.01</v>
      </c>
      <c r="O8" s="24">
        <v>4</v>
      </c>
      <c r="P8" s="25">
        <v>0.1</v>
      </c>
      <c r="Q8" s="22">
        <v>2</v>
      </c>
      <c r="R8" s="22">
        <v>80000</v>
      </c>
      <c r="S8" s="22">
        <v>48</v>
      </c>
      <c r="T8" s="30">
        <v>1666.67</v>
      </c>
      <c r="U8" s="34"/>
      <c r="V8" s="30"/>
      <c r="W8" s="22">
        <v>8124.99</v>
      </c>
      <c r="X8" s="22">
        <v>3125.01</v>
      </c>
      <c r="Y8" s="24">
        <v>43749.99</v>
      </c>
      <c r="Z8" s="37">
        <v>5000.01</v>
      </c>
      <c r="AA8">
        <f t="shared" si="2"/>
        <v>60000</v>
      </c>
    </row>
    <row r="9" spans="1:27" ht="15.75">
      <c r="A9" s="24">
        <v>6</v>
      </c>
      <c r="B9" s="25">
        <v>0.25</v>
      </c>
      <c r="C9" s="22">
        <v>3</v>
      </c>
      <c r="D9" s="22">
        <v>195000</v>
      </c>
      <c r="E9" s="22">
        <v>48</v>
      </c>
      <c r="F9" s="22">
        <v>4062.5</v>
      </c>
      <c r="G9" s="22">
        <v>3</v>
      </c>
      <c r="H9" s="22">
        <v>75000</v>
      </c>
      <c r="I9" s="22">
        <v>48</v>
      </c>
      <c r="J9" s="22">
        <v>1562.5</v>
      </c>
      <c r="L9" s="12">
        <f t="shared" si="0"/>
        <v>12187.5</v>
      </c>
      <c r="M9">
        <f t="shared" si="1"/>
        <v>4687.5</v>
      </c>
      <c r="O9" s="24">
        <v>5</v>
      </c>
      <c r="P9" s="25">
        <v>0.08</v>
      </c>
      <c r="Q9" s="22">
        <v>2</v>
      </c>
      <c r="R9" s="22">
        <v>80000</v>
      </c>
      <c r="S9" s="22">
        <v>48</v>
      </c>
      <c r="T9" s="30">
        <v>1666.67</v>
      </c>
      <c r="U9" s="34"/>
      <c r="V9" s="30"/>
      <c r="W9" s="22">
        <v>4062.51</v>
      </c>
      <c r="X9" s="22">
        <v>3125.01</v>
      </c>
      <c r="Y9" s="24">
        <v>43749.99</v>
      </c>
      <c r="Z9" s="37">
        <v>5000.01</v>
      </c>
      <c r="AA9">
        <f t="shared" si="2"/>
        <v>55937.52</v>
      </c>
    </row>
    <row r="10" spans="1:27" ht="15.75">
      <c r="A10" s="24">
        <v>7</v>
      </c>
      <c r="B10" s="25">
        <v>0.25</v>
      </c>
      <c r="C10" s="22">
        <v>2</v>
      </c>
      <c r="D10" s="22">
        <v>130000</v>
      </c>
      <c r="E10" s="22">
        <v>48</v>
      </c>
      <c r="F10" s="22">
        <v>2708.33</v>
      </c>
      <c r="G10" s="22">
        <v>4</v>
      </c>
      <c r="H10" s="22">
        <v>100000</v>
      </c>
      <c r="I10" s="22">
        <v>48</v>
      </c>
      <c r="J10" s="22">
        <v>2083.33</v>
      </c>
      <c r="L10" s="12">
        <f t="shared" si="0"/>
        <v>8124.99</v>
      </c>
      <c r="M10">
        <f t="shared" si="1"/>
        <v>6249.99</v>
      </c>
      <c r="O10" s="24">
        <v>6</v>
      </c>
      <c r="P10" s="25">
        <v>0.25</v>
      </c>
      <c r="Q10" s="22">
        <v>4</v>
      </c>
      <c r="R10" s="22">
        <v>160000</v>
      </c>
      <c r="S10" s="22">
        <v>48</v>
      </c>
      <c r="T10" s="30">
        <v>3333.33</v>
      </c>
      <c r="U10" s="34"/>
      <c r="V10" s="30"/>
      <c r="W10" s="22">
        <v>12187.5</v>
      </c>
      <c r="X10" s="22">
        <v>4687.5</v>
      </c>
      <c r="Y10" s="24">
        <v>131250</v>
      </c>
      <c r="Z10" s="37">
        <v>9999.99</v>
      </c>
      <c r="AA10">
        <f t="shared" si="2"/>
        <v>158124.99</v>
      </c>
    </row>
    <row r="11" spans="1:27" ht="15.75">
      <c r="A11" s="24">
        <v>8</v>
      </c>
      <c r="B11" s="25">
        <v>0.35</v>
      </c>
      <c r="C11" s="22">
        <v>5</v>
      </c>
      <c r="D11" s="22">
        <v>325000</v>
      </c>
      <c r="E11" s="22">
        <v>48</v>
      </c>
      <c r="F11" s="22">
        <v>6770.83</v>
      </c>
      <c r="G11" s="22">
        <v>4</v>
      </c>
      <c r="H11" s="22">
        <v>100000</v>
      </c>
      <c r="I11" s="22">
        <v>48</v>
      </c>
      <c r="J11" s="22">
        <v>2083.33</v>
      </c>
      <c r="L11" s="12">
        <f t="shared" si="0"/>
        <v>20312.489999999998</v>
      </c>
      <c r="M11">
        <f t="shared" si="1"/>
        <v>6249.99</v>
      </c>
      <c r="O11" s="24">
        <v>7</v>
      </c>
      <c r="P11" s="25">
        <v>0.25</v>
      </c>
      <c r="Q11" s="22">
        <v>3</v>
      </c>
      <c r="R11" s="22">
        <v>120000</v>
      </c>
      <c r="S11" s="22">
        <v>48</v>
      </c>
      <c r="T11" s="30">
        <v>2500</v>
      </c>
      <c r="U11" s="34"/>
      <c r="V11" s="30"/>
      <c r="W11" s="22">
        <v>8124.99</v>
      </c>
      <c r="X11" s="22">
        <v>6249.99</v>
      </c>
      <c r="Y11" s="24">
        <v>87500.01</v>
      </c>
      <c r="Z11" s="37">
        <v>7500</v>
      </c>
      <c r="AA11">
        <f t="shared" si="2"/>
        <v>109374.98999999999</v>
      </c>
    </row>
    <row r="12" spans="1:27" ht="15.75">
      <c r="A12" s="24">
        <v>9</v>
      </c>
      <c r="B12" s="25">
        <v>0.3</v>
      </c>
      <c r="C12" s="22">
        <v>1</v>
      </c>
      <c r="D12" s="22">
        <v>65000</v>
      </c>
      <c r="E12" s="22">
        <v>48</v>
      </c>
      <c r="F12" s="22">
        <v>1354.17</v>
      </c>
      <c r="G12" s="22">
        <v>2</v>
      </c>
      <c r="H12" s="22">
        <v>50000</v>
      </c>
      <c r="I12" s="22">
        <v>48</v>
      </c>
      <c r="J12" s="22">
        <v>1041.67</v>
      </c>
      <c r="L12" s="12">
        <f t="shared" si="0"/>
        <v>4062.51</v>
      </c>
      <c r="M12">
        <f t="shared" si="1"/>
        <v>3125.01</v>
      </c>
      <c r="O12" s="24">
        <v>8</v>
      </c>
      <c r="P12" s="25">
        <v>0.35</v>
      </c>
      <c r="Q12" s="22">
        <v>4</v>
      </c>
      <c r="R12" s="22">
        <v>160000</v>
      </c>
      <c r="S12" s="22">
        <v>48</v>
      </c>
      <c r="T12" s="30">
        <v>3333.33</v>
      </c>
      <c r="U12" s="34"/>
      <c r="V12" s="30"/>
      <c r="W12" s="22">
        <v>20312.490000000002</v>
      </c>
      <c r="X12" s="22">
        <v>6249.99</v>
      </c>
      <c r="Y12" s="24">
        <v>87500.01</v>
      </c>
      <c r="Z12" s="37">
        <v>9999.99</v>
      </c>
      <c r="AA12">
        <f t="shared" si="2"/>
        <v>124062.48</v>
      </c>
    </row>
    <row r="13" spans="1:27" ht="15.75">
      <c r="A13" s="24">
        <v>10</v>
      </c>
      <c r="B13" s="25">
        <v>0.2</v>
      </c>
      <c r="C13" s="22">
        <v>1</v>
      </c>
      <c r="D13" s="22">
        <v>65000</v>
      </c>
      <c r="E13" s="22">
        <v>48</v>
      </c>
      <c r="F13" s="22">
        <v>1354.17</v>
      </c>
      <c r="G13" s="22">
        <v>1</v>
      </c>
      <c r="H13" s="22">
        <v>25000</v>
      </c>
      <c r="I13" s="22">
        <v>48</v>
      </c>
      <c r="J13" s="22">
        <v>520.83000000000004</v>
      </c>
      <c r="L13" s="12">
        <f t="shared" si="0"/>
        <v>4062.51</v>
      </c>
      <c r="M13">
        <f t="shared" si="1"/>
        <v>1562.4900000000002</v>
      </c>
      <c r="O13" s="24">
        <v>9</v>
      </c>
      <c r="P13" s="25">
        <v>0.3</v>
      </c>
      <c r="Q13" s="22">
        <v>3</v>
      </c>
      <c r="R13" s="22">
        <v>120000</v>
      </c>
      <c r="S13" s="22">
        <v>48</v>
      </c>
      <c r="T13" s="30">
        <v>2500</v>
      </c>
      <c r="U13" s="34"/>
      <c r="V13" s="30"/>
      <c r="W13" s="22">
        <v>4062.51</v>
      </c>
      <c r="X13" s="22">
        <v>3125.01</v>
      </c>
      <c r="Y13" s="24">
        <v>87500.01</v>
      </c>
      <c r="Z13" s="37">
        <v>7500</v>
      </c>
      <c r="AA13">
        <f t="shared" si="2"/>
        <v>102187.53</v>
      </c>
    </row>
    <row r="14" spans="1:27" ht="15.75">
      <c r="A14" s="24">
        <v>11</v>
      </c>
      <c r="B14" s="25">
        <v>0.1</v>
      </c>
      <c r="C14" s="22">
        <v>2</v>
      </c>
      <c r="D14" s="22">
        <v>130000</v>
      </c>
      <c r="E14" s="22">
        <v>48</v>
      </c>
      <c r="F14" s="22">
        <v>2708.33</v>
      </c>
      <c r="G14" s="22">
        <v>3</v>
      </c>
      <c r="H14" s="22">
        <v>75000</v>
      </c>
      <c r="I14" s="22">
        <v>48</v>
      </c>
      <c r="J14" s="22">
        <v>1562.5</v>
      </c>
      <c r="L14" s="12">
        <f t="shared" si="0"/>
        <v>8124.99</v>
      </c>
      <c r="M14">
        <f t="shared" si="1"/>
        <v>4687.5</v>
      </c>
      <c r="O14" s="24">
        <v>10</v>
      </c>
      <c r="P14" s="25">
        <v>0.2</v>
      </c>
      <c r="Q14" s="22">
        <v>2</v>
      </c>
      <c r="R14" s="22">
        <v>80000</v>
      </c>
      <c r="S14" s="22">
        <v>48</v>
      </c>
      <c r="T14" s="30">
        <v>1666.67</v>
      </c>
      <c r="U14" s="34"/>
      <c r="V14" s="30"/>
      <c r="W14" s="22">
        <v>4062.51</v>
      </c>
      <c r="X14" s="22">
        <v>1562.49</v>
      </c>
      <c r="Y14" s="24">
        <v>43749.99</v>
      </c>
      <c r="Z14" s="37">
        <v>5000.01</v>
      </c>
      <c r="AA14">
        <f t="shared" si="2"/>
        <v>54375</v>
      </c>
    </row>
    <row r="15" spans="1:27" ht="15.75">
      <c r="A15" s="24">
        <v>12</v>
      </c>
      <c r="B15" s="25">
        <v>0.25</v>
      </c>
      <c r="C15" s="22">
        <v>3</v>
      </c>
      <c r="D15" s="22">
        <v>195000</v>
      </c>
      <c r="E15" s="22">
        <v>48</v>
      </c>
      <c r="F15" s="22">
        <v>4062.5</v>
      </c>
      <c r="G15" s="22">
        <v>2</v>
      </c>
      <c r="H15" s="22">
        <v>50000</v>
      </c>
      <c r="I15" s="22">
        <v>48</v>
      </c>
      <c r="J15" s="22">
        <v>1041.67</v>
      </c>
      <c r="L15" s="12">
        <f t="shared" si="0"/>
        <v>12187.5</v>
      </c>
      <c r="M15">
        <f t="shared" si="1"/>
        <v>3125.01</v>
      </c>
      <c r="O15" s="24">
        <v>11</v>
      </c>
      <c r="P15" s="25">
        <v>0.1</v>
      </c>
      <c r="Q15" s="22">
        <v>2</v>
      </c>
      <c r="R15" s="22">
        <v>80000</v>
      </c>
      <c r="S15" s="22">
        <v>48</v>
      </c>
      <c r="T15" s="30">
        <v>1666.67</v>
      </c>
      <c r="U15" s="34"/>
      <c r="V15" s="30"/>
      <c r="W15" s="22">
        <v>8124.99</v>
      </c>
      <c r="X15" s="22">
        <v>4687.5</v>
      </c>
      <c r="Y15" s="24">
        <v>43749.99</v>
      </c>
      <c r="Z15" s="37">
        <v>5000.01</v>
      </c>
      <c r="AA15">
        <f t="shared" si="2"/>
        <v>61562.49</v>
      </c>
    </row>
    <row r="16" spans="1:27" ht="15.75">
      <c r="A16" s="24">
        <v>13</v>
      </c>
      <c r="B16" s="25">
        <v>0.23</v>
      </c>
      <c r="C16" s="22">
        <v>2</v>
      </c>
      <c r="D16" s="22">
        <v>130000</v>
      </c>
      <c r="E16" s="22">
        <v>48</v>
      </c>
      <c r="F16" s="22">
        <v>2708.33</v>
      </c>
      <c r="G16" s="22">
        <v>2</v>
      </c>
      <c r="H16" s="22">
        <v>50000</v>
      </c>
      <c r="I16" s="22">
        <v>48</v>
      </c>
      <c r="J16" s="22">
        <v>1041.67</v>
      </c>
      <c r="L16" s="12">
        <f t="shared" si="0"/>
        <v>8124.99</v>
      </c>
      <c r="M16">
        <f t="shared" si="1"/>
        <v>3125.01</v>
      </c>
      <c r="O16" s="24">
        <v>12</v>
      </c>
      <c r="P16" s="25">
        <v>0.25</v>
      </c>
      <c r="Q16" s="22">
        <v>4</v>
      </c>
      <c r="R16" s="22">
        <v>160000</v>
      </c>
      <c r="S16" s="22">
        <v>48</v>
      </c>
      <c r="T16" s="30">
        <v>3333.33</v>
      </c>
      <c r="U16" s="34"/>
      <c r="V16" s="30"/>
      <c r="W16" s="22">
        <v>12187.5</v>
      </c>
      <c r="X16" s="22">
        <v>3125.01</v>
      </c>
      <c r="Y16" s="24">
        <v>87500.01</v>
      </c>
      <c r="Z16" s="37">
        <v>9999.99</v>
      </c>
      <c r="AA16">
        <f t="shared" si="2"/>
        <v>112812.51</v>
      </c>
    </row>
    <row r="17" spans="1:27" ht="15.75">
      <c r="A17" s="24">
        <v>14</v>
      </c>
      <c r="B17" s="25">
        <v>0.35</v>
      </c>
      <c r="C17" s="22">
        <v>3</v>
      </c>
      <c r="D17" s="22">
        <v>195000</v>
      </c>
      <c r="E17" s="22">
        <v>48</v>
      </c>
      <c r="F17" s="22">
        <v>4062.5</v>
      </c>
      <c r="G17" s="22">
        <v>4</v>
      </c>
      <c r="H17" s="22">
        <v>100000</v>
      </c>
      <c r="I17" s="22">
        <v>48</v>
      </c>
      <c r="J17" s="22">
        <v>2083.33</v>
      </c>
      <c r="L17" s="12">
        <f t="shared" si="0"/>
        <v>12187.5</v>
      </c>
      <c r="M17">
        <f t="shared" si="1"/>
        <v>6249.99</v>
      </c>
      <c r="O17" s="24">
        <v>13</v>
      </c>
      <c r="P17" s="25">
        <v>0.23</v>
      </c>
      <c r="Q17" s="22">
        <v>3</v>
      </c>
      <c r="R17" s="22">
        <v>120000</v>
      </c>
      <c r="S17" s="22">
        <v>48</v>
      </c>
      <c r="T17" s="30">
        <v>2500</v>
      </c>
      <c r="U17" s="34"/>
      <c r="V17" s="30"/>
      <c r="W17" s="22">
        <v>8124.99</v>
      </c>
      <c r="X17" s="22">
        <v>3125.01</v>
      </c>
      <c r="Y17" s="24">
        <v>87500.01</v>
      </c>
      <c r="Z17" s="37">
        <v>7500</v>
      </c>
      <c r="AA17">
        <f t="shared" si="2"/>
        <v>106250.01</v>
      </c>
    </row>
    <row r="18" spans="1:27" ht="15.75">
      <c r="A18" s="24">
        <v>15</v>
      </c>
      <c r="B18" s="25">
        <v>0.27</v>
      </c>
      <c r="C18" s="22">
        <v>3</v>
      </c>
      <c r="D18" s="22">
        <v>195000</v>
      </c>
      <c r="E18" s="22">
        <v>48</v>
      </c>
      <c r="F18" s="22">
        <v>4062.5</v>
      </c>
      <c r="G18" s="22">
        <v>3</v>
      </c>
      <c r="H18" s="22">
        <v>75000</v>
      </c>
      <c r="I18" s="22">
        <v>48</v>
      </c>
      <c r="J18" s="22">
        <v>1562.5</v>
      </c>
      <c r="L18" s="12">
        <f t="shared" si="0"/>
        <v>12187.5</v>
      </c>
      <c r="M18">
        <f t="shared" si="1"/>
        <v>4687.5</v>
      </c>
      <c r="O18" s="24">
        <v>14</v>
      </c>
      <c r="P18" s="25">
        <v>0.35</v>
      </c>
      <c r="Q18" s="22">
        <v>2</v>
      </c>
      <c r="R18" s="22">
        <v>80000</v>
      </c>
      <c r="S18" s="22">
        <v>48</v>
      </c>
      <c r="T18" s="30">
        <v>1666.67</v>
      </c>
      <c r="U18" s="34"/>
      <c r="V18" s="30"/>
      <c r="W18" s="22">
        <v>12187.5</v>
      </c>
      <c r="X18" s="22">
        <v>6249.99</v>
      </c>
      <c r="Y18" s="24">
        <v>131250</v>
      </c>
      <c r="Z18" s="37">
        <v>5000.01</v>
      </c>
      <c r="AA18">
        <f t="shared" si="2"/>
        <v>154687.5</v>
      </c>
    </row>
    <row r="19" spans="1:27" ht="15.75">
      <c r="A19" s="24">
        <v>16</v>
      </c>
      <c r="B19" s="25">
        <v>0.12</v>
      </c>
      <c r="C19" s="22">
        <v>3</v>
      </c>
      <c r="D19" s="22">
        <v>195000</v>
      </c>
      <c r="E19" s="22">
        <v>48</v>
      </c>
      <c r="F19" s="22">
        <v>4062.5</v>
      </c>
      <c r="G19" s="22">
        <v>2</v>
      </c>
      <c r="H19" s="22">
        <v>50000</v>
      </c>
      <c r="I19" s="22">
        <v>48</v>
      </c>
      <c r="J19" s="22">
        <v>1041.67</v>
      </c>
      <c r="L19" s="12">
        <f t="shared" si="0"/>
        <v>12187.5</v>
      </c>
      <c r="M19">
        <f t="shared" si="1"/>
        <v>3125.01</v>
      </c>
      <c r="O19" s="24">
        <v>15</v>
      </c>
      <c r="P19" s="25">
        <v>0.27</v>
      </c>
      <c r="Q19" s="22">
        <v>3</v>
      </c>
      <c r="R19" s="22">
        <v>120000</v>
      </c>
      <c r="S19" s="22">
        <v>48</v>
      </c>
      <c r="T19" s="30">
        <v>2500</v>
      </c>
      <c r="U19" s="34"/>
      <c r="V19" s="30"/>
      <c r="W19" s="22">
        <v>12187.5</v>
      </c>
      <c r="X19" s="22">
        <v>4687.5</v>
      </c>
      <c r="Y19" s="24">
        <v>87500.01</v>
      </c>
      <c r="Z19" s="37">
        <v>7500</v>
      </c>
      <c r="AA19">
        <f t="shared" si="2"/>
        <v>111875.01</v>
      </c>
    </row>
    <row r="20" spans="1:27" ht="15.75">
      <c r="A20" s="24">
        <v>17</v>
      </c>
      <c r="B20" s="25">
        <v>0.28999999999999998</v>
      </c>
      <c r="C20" s="22">
        <v>3</v>
      </c>
      <c r="D20" s="22">
        <v>195000</v>
      </c>
      <c r="E20" s="22">
        <v>48</v>
      </c>
      <c r="F20" s="22">
        <v>4062.5</v>
      </c>
      <c r="G20" s="22">
        <v>2</v>
      </c>
      <c r="H20" s="22">
        <v>50000</v>
      </c>
      <c r="I20" s="22">
        <v>48</v>
      </c>
      <c r="J20" s="22">
        <v>1041.67</v>
      </c>
      <c r="L20" s="12">
        <f t="shared" si="0"/>
        <v>12187.5</v>
      </c>
      <c r="M20">
        <f t="shared" si="1"/>
        <v>3125.01</v>
      </c>
      <c r="O20" s="24">
        <v>16</v>
      </c>
      <c r="P20" s="25">
        <v>0.12</v>
      </c>
      <c r="Q20" s="22">
        <v>2</v>
      </c>
      <c r="R20" s="22">
        <v>80000</v>
      </c>
      <c r="S20" s="22">
        <v>48</v>
      </c>
      <c r="T20" s="30">
        <v>1666.67</v>
      </c>
      <c r="U20" s="34"/>
      <c r="V20" s="30"/>
      <c r="W20" s="22">
        <v>12187.5</v>
      </c>
      <c r="X20" s="22">
        <v>3125.01</v>
      </c>
      <c r="Y20" s="24">
        <v>43749.99</v>
      </c>
      <c r="Z20" s="37">
        <v>5000.01</v>
      </c>
      <c r="AA20">
        <f t="shared" si="2"/>
        <v>64062.51</v>
      </c>
    </row>
    <row r="21" spans="1:27" ht="15.75">
      <c r="A21" s="24">
        <v>18</v>
      </c>
      <c r="B21" s="25">
        <v>0.28000000000000003</v>
      </c>
      <c r="C21" s="22">
        <v>2</v>
      </c>
      <c r="D21" s="22">
        <v>130000</v>
      </c>
      <c r="E21" s="22">
        <v>48</v>
      </c>
      <c r="F21" s="22">
        <v>2708.33</v>
      </c>
      <c r="G21" s="22">
        <v>3</v>
      </c>
      <c r="H21" s="22">
        <v>75000</v>
      </c>
      <c r="I21" s="22">
        <v>48</v>
      </c>
      <c r="J21" s="22">
        <v>1562.5</v>
      </c>
      <c r="L21" s="12">
        <f t="shared" si="0"/>
        <v>8124.99</v>
      </c>
      <c r="M21">
        <f t="shared" si="1"/>
        <v>4687.5</v>
      </c>
      <c r="O21" s="24">
        <v>17</v>
      </c>
      <c r="P21" s="25">
        <v>0.28999999999999998</v>
      </c>
      <c r="Q21" s="22">
        <v>4</v>
      </c>
      <c r="R21" s="22">
        <v>160000</v>
      </c>
      <c r="S21" s="22">
        <v>48</v>
      </c>
      <c r="T21" s="30">
        <v>3333.33</v>
      </c>
      <c r="U21" s="34"/>
      <c r="V21" s="30"/>
      <c r="W21" s="22">
        <v>12187.5</v>
      </c>
      <c r="X21" s="22">
        <v>3125.01</v>
      </c>
      <c r="Y21" s="24">
        <v>87500.01</v>
      </c>
      <c r="Z21" s="37">
        <v>9999.99</v>
      </c>
      <c r="AA21">
        <f t="shared" si="2"/>
        <v>112812.51</v>
      </c>
    </row>
    <row r="22" spans="1:27" ht="15.75">
      <c r="A22" s="24">
        <v>19</v>
      </c>
      <c r="B22" s="25">
        <v>0.38</v>
      </c>
      <c r="C22" s="22">
        <v>5</v>
      </c>
      <c r="D22" s="22">
        <v>325000</v>
      </c>
      <c r="E22" s="22">
        <v>48</v>
      </c>
      <c r="F22" s="22">
        <v>6770.83</v>
      </c>
      <c r="G22" s="22">
        <v>4</v>
      </c>
      <c r="H22" s="22">
        <v>100000</v>
      </c>
      <c r="I22" s="22">
        <v>48</v>
      </c>
      <c r="J22" s="22">
        <v>2083.33</v>
      </c>
      <c r="L22" s="12">
        <f t="shared" si="0"/>
        <v>20312.489999999998</v>
      </c>
      <c r="M22">
        <f t="shared" si="1"/>
        <v>6249.99</v>
      </c>
      <c r="O22" s="24">
        <v>18</v>
      </c>
      <c r="P22" s="25">
        <v>0.28000000000000003</v>
      </c>
      <c r="Q22" s="22">
        <v>2</v>
      </c>
      <c r="R22" s="22">
        <v>80000</v>
      </c>
      <c r="S22" s="22">
        <v>48</v>
      </c>
      <c r="T22" s="30">
        <v>1666.67</v>
      </c>
      <c r="U22" s="34"/>
      <c r="V22" s="30"/>
      <c r="W22" s="22">
        <v>8124.99</v>
      </c>
      <c r="X22" s="22">
        <v>4687.5</v>
      </c>
      <c r="Y22" s="24">
        <v>43749.99</v>
      </c>
      <c r="Z22" s="37">
        <v>5000.01</v>
      </c>
      <c r="AA22">
        <f t="shared" si="2"/>
        <v>61562.49</v>
      </c>
    </row>
    <row r="23" spans="1:27" ht="15.75">
      <c r="A23" s="24">
        <v>20</v>
      </c>
      <c r="B23" s="25">
        <v>0.1</v>
      </c>
      <c r="C23" s="22">
        <v>2</v>
      </c>
      <c r="D23" s="22">
        <v>130000</v>
      </c>
      <c r="E23" s="22">
        <v>48</v>
      </c>
      <c r="F23" s="22">
        <v>2708.33</v>
      </c>
      <c r="G23" s="22">
        <v>1</v>
      </c>
      <c r="H23" s="22">
        <v>25000</v>
      </c>
      <c r="I23" s="22">
        <v>48</v>
      </c>
      <c r="J23" s="22">
        <v>520.83000000000004</v>
      </c>
      <c r="L23" s="12">
        <f t="shared" si="0"/>
        <v>8124.99</v>
      </c>
      <c r="M23">
        <f t="shared" si="1"/>
        <v>1562.4900000000002</v>
      </c>
      <c r="O23" s="24">
        <v>19</v>
      </c>
      <c r="P23" s="25">
        <v>0.38</v>
      </c>
      <c r="Q23" s="22">
        <v>4</v>
      </c>
      <c r="R23" s="22">
        <v>160000</v>
      </c>
      <c r="S23" s="22">
        <v>48</v>
      </c>
      <c r="T23" s="30">
        <v>3333.33</v>
      </c>
      <c r="U23" s="34"/>
      <c r="V23" s="30"/>
      <c r="W23" s="22">
        <v>20312.490000000002</v>
      </c>
      <c r="X23" s="22">
        <v>6249.99</v>
      </c>
      <c r="Y23" s="24">
        <v>131250</v>
      </c>
      <c r="Z23" s="37">
        <v>9999.99</v>
      </c>
      <c r="AA23">
        <f t="shared" si="2"/>
        <v>167812.47</v>
      </c>
    </row>
    <row r="24" spans="1:27" ht="15.75">
      <c r="A24" s="24">
        <v>21</v>
      </c>
      <c r="B24" s="25">
        <v>0.08</v>
      </c>
      <c r="C24" s="22">
        <v>1</v>
      </c>
      <c r="D24" s="22">
        <v>65000</v>
      </c>
      <c r="E24" s="22">
        <v>48</v>
      </c>
      <c r="F24" s="22">
        <v>1354.17</v>
      </c>
      <c r="G24" s="22">
        <v>2</v>
      </c>
      <c r="H24" s="22">
        <v>50000</v>
      </c>
      <c r="I24" s="22">
        <v>48</v>
      </c>
      <c r="J24" s="22">
        <v>1041.67</v>
      </c>
      <c r="L24" s="12">
        <f t="shared" si="0"/>
        <v>4062.51</v>
      </c>
      <c r="M24">
        <f t="shared" si="1"/>
        <v>3125.01</v>
      </c>
      <c r="O24" s="24">
        <v>20</v>
      </c>
      <c r="P24" s="25">
        <v>0.1</v>
      </c>
      <c r="Q24" s="22">
        <v>3</v>
      </c>
      <c r="R24" s="22">
        <v>120000</v>
      </c>
      <c r="S24" s="22">
        <v>48</v>
      </c>
      <c r="T24" s="30">
        <v>2500</v>
      </c>
      <c r="U24" s="34"/>
      <c r="V24" s="30"/>
      <c r="W24" s="22">
        <v>8124.99</v>
      </c>
      <c r="X24" s="22">
        <v>1562.49</v>
      </c>
      <c r="Y24" s="24">
        <v>43749.99</v>
      </c>
      <c r="Z24" s="37">
        <v>7500</v>
      </c>
      <c r="AA24">
        <f t="shared" si="2"/>
        <v>60937.47</v>
      </c>
    </row>
    <row r="25" spans="1:27" ht="15.75">
      <c r="A25" s="24">
        <v>22</v>
      </c>
      <c r="B25" s="25">
        <v>0.24</v>
      </c>
      <c r="C25" s="22">
        <v>2</v>
      </c>
      <c r="D25" s="22">
        <v>130000</v>
      </c>
      <c r="E25" s="22">
        <v>48</v>
      </c>
      <c r="F25" s="22">
        <v>2708.33</v>
      </c>
      <c r="G25" s="22">
        <v>3</v>
      </c>
      <c r="H25" s="22">
        <v>75000</v>
      </c>
      <c r="I25" s="22">
        <v>48</v>
      </c>
      <c r="J25" s="22">
        <v>1562.5</v>
      </c>
      <c r="L25" s="12">
        <f t="shared" si="0"/>
        <v>8124.99</v>
      </c>
      <c r="M25">
        <f t="shared" si="1"/>
        <v>4687.5</v>
      </c>
      <c r="O25" s="24">
        <v>21</v>
      </c>
      <c r="P25" s="25">
        <v>0.08</v>
      </c>
      <c r="Q25" s="22">
        <v>2</v>
      </c>
      <c r="R25" s="22">
        <v>80000</v>
      </c>
      <c r="S25" s="22">
        <v>48</v>
      </c>
      <c r="T25" s="30">
        <v>1666.67</v>
      </c>
      <c r="U25" s="34"/>
      <c r="V25" s="30"/>
      <c r="W25" s="22">
        <v>4062.51</v>
      </c>
      <c r="X25" s="22">
        <v>3125.01</v>
      </c>
      <c r="Y25" s="24">
        <v>43749.99</v>
      </c>
      <c r="Z25" s="37">
        <v>5000.01</v>
      </c>
      <c r="AA25">
        <f t="shared" si="2"/>
        <v>55937.52</v>
      </c>
    </row>
    <row r="26" spans="1:27" ht="15.75">
      <c r="A26" s="24">
        <v>23</v>
      </c>
      <c r="B26" s="25">
        <v>0.2</v>
      </c>
      <c r="C26" s="22">
        <v>3</v>
      </c>
      <c r="D26" s="22">
        <v>195000</v>
      </c>
      <c r="E26" s="22">
        <v>48</v>
      </c>
      <c r="F26" s="22">
        <v>4062.5</v>
      </c>
      <c r="G26" s="22">
        <v>2</v>
      </c>
      <c r="H26" s="22">
        <v>50000</v>
      </c>
      <c r="I26" s="22">
        <v>48</v>
      </c>
      <c r="J26" s="22">
        <v>1041.67</v>
      </c>
      <c r="L26" s="12">
        <f t="shared" si="0"/>
        <v>12187.5</v>
      </c>
      <c r="M26">
        <f t="shared" si="1"/>
        <v>3125.01</v>
      </c>
      <c r="O26" s="24">
        <v>22</v>
      </c>
      <c r="P26" s="25">
        <v>0.24</v>
      </c>
      <c r="Q26" s="22">
        <v>4</v>
      </c>
      <c r="R26" s="22">
        <v>160000</v>
      </c>
      <c r="S26" s="22">
        <v>48</v>
      </c>
      <c r="T26" s="30">
        <v>3333.33</v>
      </c>
      <c r="U26" s="34"/>
      <c r="V26" s="30"/>
      <c r="W26" s="22">
        <v>8124.99</v>
      </c>
      <c r="X26" s="22">
        <v>4687.5</v>
      </c>
      <c r="Y26" s="24">
        <v>87500.01</v>
      </c>
      <c r="Z26" s="37">
        <v>9999.99</v>
      </c>
      <c r="AA26">
        <f t="shared" si="2"/>
        <v>110312.49</v>
      </c>
    </row>
    <row r="27" spans="1:27" ht="15.75">
      <c r="A27" s="24">
        <v>24</v>
      </c>
      <c r="B27" s="25">
        <v>0.1</v>
      </c>
      <c r="C27" s="22">
        <v>1</v>
      </c>
      <c r="D27" s="22">
        <v>65000</v>
      </c>
      <c r="E27" s="22">
        <v>48</v>
      </c>
      <c r="F27" s="22">
        <v>1354.17</v>
      </c>
      <c r="G27" s="22">
        <v>2</v>
      </c>
      <c r="H27" s="22">
        <v>50000</v>
      </c>
      <c r="I27" s="22">
        <v>48</v>
      </c>
      <c r="J27" s="22">
        <v>1041.67</v>
      </c>
      <c r="L27" s="12">
        <f t="shared" si="0"/>
        <v>4062.51</v>
      </c>
      <c r="M27">
        <f t="shared" si="1"/>
        <v>3125.01</v>
      </c>
      <c r="O27" s="24">
        <v>23</v>
      </c>
      <c r="P27" s="25">
        <v>0.2</v>
      </c>
      <c r="Q27" s="22">
        <v>3</v>
      </c>
      <c r="R27" s="22">
        <v>120000</v>
      </c>
      <c r="S27" s="22">
        <v>48</v>
      </c>
      <c r="T27" s="30">
        <v>2500</v>
      </c>
      <c r="U27" s="34"/>
      <c r="V27" s="30"/>
      <c r="W27" s="22">
        <v>12187.5</v>
      </c>
      <c r="X27" s="22">
        <v>3125.01</v>
      </c>
      <c r="Y27" s="24">
        <v>43749.99</v>
      </c>
      <c r="Z27" s="37">
        <v>7500</v>
      </c>
      <c r="AA27">
        <f t="shared" si="2"/>
        <v>66562.5</v>
      </c>
    </row>
    <row r="28" spans="1:27" ht="15.75">
      <c r="A28" s="24">
        <v>25</v>
      </c>
      <c r="B28" s="25">
        <v>0.14000000000000001</v>
      </c>
      <c r="C28" s="22">
        <v>2</v>
      </c>
      <c r="D28" s="22">
        <v>130000</v>
      </c>
      <c r="E28" s="22">
        <v>48</v>
      </c>
      <c r="F28" s="22">
        <v>2708.33</v>
      </c>
      <c r="G28" s="22">
        <v>2</v>
      </c>
      <c r="H28" s="22">
        <v>50000</v>
      </c>
      <c r="I28" s="22">
        <v>48</v>
      </c>
      <c r="J28" s="22">
        <v>1041.67</v>
      </c>
      <c r="L28" s="12">
        <f t="shared" si="0"/>
        <v>8124.99</v>
      </c>
      <c r="M28">
        <f t="shared" si="1"/>
        <v>3125.01</v>
      </c>
      <c r="O28" s="24">
        <v>24</v>
      </c>
      <c r="P28" s="25">
        <v>0.1</v>
      </c>
      <c r="Q28" s="22">
        <v>2</v>
      </c>
      <c r="R28" s="22">
        <v>80000</v>
      </c>
      <c r="S28" s="22">
        <v>48</v>
      </c>
      <c r="T28" s="30">
        <v>1666.67</v>
      </c>
      <c r="U28" s="34"/>
      <c r="V28" s="30"/>
      <c r="W28" s="22">
        <v>4062.51</v>
      </c>
      <c r="X28" s="22">
        <v>3125.01</v>
      </c>
      <c r="Y28" s="24">
        <v>43749.99</v>
      </c>
      <c r="Z28" s="37">
        <v>5000.01</v>
      </c>
      <c r="AA28">
        <f t="shared" si="2"/>
        <v>55937.52</v>
      </c>
    </row>
    <row r="29" spans="1:27" ht="15.75">
      <c r="A29" s="24">
        <v>26</v>
      </c>
      <c r="B29" s="25">
        <v>0.25</v>
      </c>
      <c r="C29" s="22">
        <v>2</v>
      </c>
      <c r="D29" s="22">
        <v>130000</v>
      </c>
      <c r="E29" s="22">
        <v>48</v>
      </c>
      <c r="F29" s="22">
        <v>2708.33</v>
      </c>
      <c r="G29" s="22">
        <v>2</v>
      </c>
      <c r="H29" s="22">
        <v>50000</v>
      </c>
      <c r="I29" s="22">
        <v>48</v>
      </c>
      <c r="J29" s="22">
        <v>1041.67</v>
      </c>
      <c r="L29" s="12">
        <f t="shared" si="0"/>
        <v>8124.99</v>
      </c>
      <c r="M29">
        <f t="shared" si="1"/>
        <v>3125.01</v>
      </c>
      <c r="O29" s="24">
        <v>25</v>
      </c>
      <c r="P29" s="25">
        <v>0.14000000000000001</v>
      </c>
      <c r="Q29" s="22">
        <v>3</v>
      </c>
      <c r="R29" s="22">
        <v>120000</v>
      </c>
      <c r="S29" s="22">
        <v>48</v>
      </c>
      <c r="T29" s="30">
        <v>2500</v>
      </c>
      <c r="U29" s="34"/>
      <c r="V29" s="30"/>
      <c r="W29" s="22">
        <v>8124.99</v>
      </c>
      <c r="X29" s="22">
        <v>3125.01</v>
      </c>
      <c r="Y29" s="24">
        <v>43749.99</v>
      </c>
      <c r="Z29" s="37">
        <v>7500</v>
      </c>
      <c r="AA29">
        <f t="shared" si="2"/>
        <v>62499.99</v>
      </c>
    </row>
    <row r="30" spans="1:27" ht="15.75">
      <c r="A30" s="24">
        <v>27</v>
      </c>
      <c r="B30" s="25">
        <v>0.08</v>
      </c>
      <c r="C30" s="22">
        <v>1</v>
      </c>
      <c r="D30" s="22">
        <v>65000</v>
      </c>
      <c r="E30" s="22">
        <v>48</v>
      </c>
      <c r="F30" s="22">
        <v>1354.17</v>
      </c>
      <c r="G30" s="22">
        <v>2</v>
      </c>
      <c r="H30" s="22">
        <v>50000</v>
      </c>
      <c r="I30" s="22">
        <v>48</v>
      </c>
      <c r="J30" s="22">
        <v>1041.67</v>
      </c>
      <c r="L30" s="12">
        <f t="shared" si="0"/>
        <v>4062.51</v>
      </c>
      <c r="M30">
        <f t="shared" si="1"/>
        <v>3125.01</v>
      </c>
      <c r="O30" s="24">
        <v>26</v>
      </c>
      <c r="P30" s="25">
        <v>0.25</v>
      </c>
      <c r="Q30" s="22">
        <v>3</v>
      </c>
      <c r="R30" s="22">
        <v>120000</v>
      </c>
      <c r="S30" s="22">
        <v>48</v>
      </c>
      <c r="T30" s="30">
        <v>2500</v>
      </c>
      <c r="U30" s="34"/>
      <c r="V30" s="30"/>
      <c r="W30" s="22">
        <v>8124.99</v>
      </c>
      <c r="X30" s="22">
        <v>3125.01</v>
      </c>
      <c r="Y30" s="24">
        <v>87500.01</v>
      </c>
      <c r="Z30" s="37">
        <v>7500</v>
      </c>
      <c r="AA30">
        <f t="shared" si="2"/>
        <v>106250.01</v>
      </c>
    </row>
    <row r="31" spans="1:27" ht="15.75">
      <c r="A31" s="24">
        <v>28</v>
      </c>
      <c r="B31" s="25">
        <v>0.2</v>
      </c>
      <c r="C31" s="22">
        <v>3</v>
      </c>
      <c r="D31" s="22">
        <v>195000</v>
      </c>
      <c r="E31" s="22">
        <v>48</v>
      </c>
      <c r="F31" s="22">
        <v>4062.5</v>
      </c>
      <c r="G31" s="22">
        <v>2</v>
      </c>
      <c r="H31" s="22">
        <v>50000</v>
      </c>
      <c r="I31" s="22">
        <v>48</v>
      </c>
      <c r="J31" s="22">
        <v>1041.67</v>
      </c>
      <c r="L31" s="12">
        <f t="shared" si="0"/>
        <v>12187.5</v>
      </c>
      <c r="M31">
        <f t="shared" si="1"/>
        <v>3125.01</v>
      </c>
      <c r="O31" s="24">
        <v>27</v>
      </c>
      <c r="P31" s="25">
        <v>0.08</v>
      </c>
      <c r="Q31" s="22">
        <v>3</v>
      </c>
      <c r="R31" s="22">
        <v>120000</v>
      </c>
      <c r="S31" s="22">
        <v>48</v>
      </c>
      <c r="T31" s="30">
        <v>2500</v>
      </c>
      <c r="U31" s="34"/>
      <c r="V31" s="30"/>
      <c r="W31" s="22">
        <v>4062.51</v>
      </c>
      <c r="X31" s="22">
        <v>3125.01</v>
      </c>
      <c r="Y31" s="24">
        <v>43749.99</v>
      </c>
      <c r="Z31" s="37">
        <v>7500</v>
      </c>
      <c r="AA31">
        <f t="shared" si="2"/>
        <v>58437.509999999995</v>
      </c>
    </row>
    <row r="32" spans="1:27" ht="15.75">
      <c r="A32" s="24">
        <v>29</v>
      </c>
      <c r="B32" s="25">
        <v>0.1</v>
      </c>
      <c r="C32" s="22">
        <v>1</v>
      </c>
      <c r="D32" s="22">
        <v>65000</v>
      </c>
      <c r="E32" s="22">
        <v>48</v>
      </c>
      <c r="F32" s="22">
        <v>1354.17</v>
      </c>
      <c r="G32" s="22">
        <v>2</v>
      </c>
      <c r="H32" s="22">
        <v>50000</v>
      </c>
      <c r="I32" s="22">
        <v>48</v>
      </c>
      <c r="J32" s="22">
        <v>1041.67</v>
      </c>
      <c r="L32" s="12">
        <f t="shared" si="0"/>
        <v>4062.51</v>
      </c>
      <c r="M32">
        <f t="shared" si="1"/>
        <v>3125.01</v>
      </c>
      <c r="O32" s="24">
        <v>28</v>
      </c>
      <c r="P32" s="25">
        <v>0.2</v>
      </c>
      <c r="Q32" s="22">
        <v>2</v>
      </c>
      <c r="R32" s="22">
        <v>80000</v>
      </c>
      <c r="S32" s="22">
        <v>48</v>
      </c>
      <c r="T32" s="30">
        <v>1666.67</v>
      </c>
      <c r="U32" s="34"/>
      <c r="V32" s="30"/>
      <c r="W32" s="22">
        <v>12187.5</v>
      </c>
      <c r="X32" s="22">
        <v>3125.01</v>
      </c>
      <c r="Y32" s="24">
        <v>43749.99</v>
      </c>
      <c r="Z32" s="37">
        <v>5000.01</v>
      </c>
      <c r="AA32">
        <f t="shared" si="2"/>
        <v>64062.51</v>
      </c>
    </row>
    <row r="33" spans="1:27" ht="16.5" thickBot="1">
      <c r="A33" s="26">
        <v>30</v>
      </c>
      <c r="B33" s="27">
        <v>0.16</v>
      </c>
      <c r="C33" s="23">
        <v>3</v>
      </c>
      <c r="D33" s="23">
        <v>195000</v>
      </c>
      <c r="E33" s="23">
        <v>48</v>
      </c>
      <c r="F33" s="23">
        <v>4062.5</v>
      </c>
      <c r="G33" s="23">
        <v>3</v>
      </c>
      <c r="H33" s="23">
        <v>75000</v>
      </c>
      <c r="I33" s="23">
        <v>48</v>
      </c>
      <c r="J33" s="23">
        <v>1562.5</v>
      </c>
      <c r="L33" s="12">
        <f t="shared" si="0"/>
        <v>12187.5</v>
      </c>
      <c r="M33">
        <f t="shared" si="1"/>
        <v>4687.5</v>
      </c>
      <c r="O33" s="24">
        <v>29</v>
      </c>
      <c r="P33" s="25">
        <v>0.1</v>
      </c>
      <c r="Q33" s="22">
        <v>3</v>
      </c>
      <c r="R33" s="22">
        <v>120000</v>
      </c>
      <c r="S33" s="22">
        <v>48</v>
      </c>
      <c r="T33" s="30">
        <v>2500</v>
      </c>
      <c r="U33" s="34"/>
      <c r="V33" s="30"/>
      <c r="W33" s="22">
        <v>4062.51</v>
      </c>
      <c r="X33" s="22">
        <v>3125.01</v>
      </c>
      <c r="Y33" s="24">
        <v>43749.99</v>
      </c>
      <c r="Z33" s="37">
        <v>7500</v>
      </c>
      <c r="AA33">
        <f t="shared" si="2"/>
        <v>58437.509999999995</v>
      </c>
    </row>
    <row r="34" spans="1:27" ht="16.5" thickBot="1">
      <c r="A34" s="28" t="s">
        <v>65</v>
      </c>
      <c r="B34" s="23">
        <v>5.87</v>
      </c>
      <c r="C34" s="23">
        <v>67</v>
      </c>
      <c r="D34" s="23">
        <v>4355000</v>
      </c>
      <c r="E34" s="23">
        <v>1440</v>
      </c>
      <c r="F34" s="23">
        <v>90729.17</v>
      </c>
      <c r="G34" s="23">
        <v>74</v>
      </c>
      <c r="H34" s="23">
        <v>1850000</v>
      </c>
      <c r="I34" s="23">
        <v>1440</v>
      </c>
      <c r="J34" s="23">
        <v>38541.67</v>
      </c>
      <c r="L34" s="12">
        <f>SUM(L4:L33)</f>
        <v>272187.48</v>
      </c>
      <c r="M34">
        <f>SUM(M4:M33)</f>
        <v>115625.09999999996</v>
      </c>
      <c r="O34" s="26">
        <v>30</v>
      </c>
      <c r="P34" s="27">
        <v>0.16</v>
      </c>
      <c r="Q34" s="23">
        <v>3</v>
      </c>
      <c r="R34" s="23">
        <v>120000</v>
      </c>
      <c r="S34" s="23">
        <v>48</v>
      </c>
      <c r="T34" s="31">
        <v>2500</v>
      </c>
      <c r="U34" s="34"/>
      <c r="V34" s="30"/>
      <c r="W34" s="23">
        <v>12187.5</v>
      </c>
      <c r="X34" s="23">
        <v>4687.5</v>
      </c>
      <c r="Y34" s="26">
        <v>43749.99</v>
      </c>
      <c r="Z34" s="38">
        <v>7500</v>
      </c>
      <c r="AA34">
        <f t="shared" si="2"/>
        <v>68124.989999999991</v>
      </c>
    </row>
    <row r="35" spans="1:27" ht="16.5" thickBot="1">
      <c r="A35" s="28" t="s">
        <v>76</v>
      </c>
      <c r="B35" s="23">
        <v>0.2</v>
      </c>
      <c r="C35" s="23">
        <v>2.23</v>
      </c>
      <c r="D35" s="23">
        <v>145166.67000000001</v>
      </c>
      <c r="E35" s="23">
        <v>48</v>
      </c>
      <c r="F35" s="23">
        <v>3024.31</v>
      </c>
      <c r="G35" s="23">
        <v>2.4700000000000002</v>
      </c>
      <c r="H35" s="23">
        <v>61666.67</v>
      </c>
      <c r="I35" s="23">
        <v>48</v>
      </c>
      <c r="J35" s="23">
        <v>1284.72</v>
      </c>
      <c r="L35" s="12">
        <f>L34/30</f>
        <v>9072.9159999999993</v>
      </c>
      <c r="M35">
        <f>M34/30</f>
        <v>3854.1699999999987</v>
      </c>
      <c r="O35" s="26" t="s">
        <v>65</v>
      </c>
      <c r="P35" s="23">
        <v>5.87</v>
      </c>
      <c r="Q35" s="23">
        <v>86</v>
      </c>
      <c r="R35" s="23">
        <v>3440000</v>
      </c>
      <c r="S35" s="23">
        <v>1440</v>
      </c>
      <c r="T35" s="31">
        <v>71666.67</v>
      </c>
      <c r="U35" s="32"/>
      <c r="V35" s="30"/>
      <c r="W35" s="30"/>
      <c r="X35" s="30"/>
      <c r="AA35">
        <f>SUM(AA5:AA34)</f>
        <v>2615312.5799999991</v>
      </c>
    </row>
    <row r="36" spans="1:27" ht="16.5" thickBot="1">
      <c r="A36" s="28" t="s">
        <v>77</v>
      </c>
      <c r="B36" s="23" t="s">
        <v>66</v>
      </c>
      <c r="C36" s="23" t="s">
        <v>78</v>
      </c>
      <c r="D36" s="23">
        <v>725833.33</v>
      </c>
      <c r="E36" s="23">
        <v>240</v>
      </c>
      <c r="F36" s="23">
        <v>15121.53</v>
      </c>
      <c r="G36" s="23">
        <v>12.33</v>
      </c>
      <c r="H36" s="23">
        <v>308333.3</v>
      </c>
      <c r="I36" s="23">
        <v>240</v>
      </c>
      <c r="J36" s="23">
        <v>6423.61</v>
      </c>
      <c r="L36">
        <f>L35*5</f>
        <v>45364.579999999994</v>
      </c>
      <c r="M36">
        <f>M35*5</f>
        <v>19270.849999999995</v>
      </c>
      <c r="O36" s="26" t="s">
        <v>76</v>
      </c>
      <c r="P36" s="23">
        <v>0.2</v>
      </c>
      <c r="Q36" s="23">
        <v>2.87</v>
      </c>
      <c r="R36" s="23">
        <v>114666.67</v>
      </c>
      <c r="S36" s="23">
        <v>48</v>
      </c>
      <c r="T36" s="31">
        <v>2388.89</v>
      </c>
      <c r="U36" s="32"/>
      <c r="V36" s="30"/>
      <c r="W36" s="30"/>
      <c r="X36" s="30"/>
      <c r="AA36">
        <f>AA35/30</f>
        <v>87177.085999999967</v>
      </c>
    </row>
    <row r="37" spans="1:27" ht="16.5" thickBot="1">
      <c r="O37" s="26" t="s">
        <v>77</v>
      </c>
      <c r="P37" s="23" t="s">
        <v>66</v>
      </c>
      <c r="Q37" s="23">
        <v>14.33</v>
      </c>
      <c r="R37" s="23">
        <v>573333.30000000005</v>
      </c>
      <c r="S37" s="23">
        <v>240</v>
      </c>
      <c r="T37" s="31">
        <v>11944.44</v>
      </c>
      <c r="U37" s="32"/>
      <c r="V37" s="30"/>
      <c r="W37" s="30"/>
      <c r="X37" s="30"/>
      <c r="AA37">
        <f>AA36*5</f>
        <v>435885.42999999982</v>
      </c>
    </row>
  </sheetData>
  <mergeCells count="10">
    <mergeCell ref="P3:P4"/>
    <mergeCell ref="Q3:T3"/>
    <mergeCell ref="U3:U4"/>
    <mergeCell ref="C1:F1"/>
    <mergeCell ref="G1:J1"/>
    <mergeCell ref="A2:A3"/>
    <mergeCell ref="B2:B3"/>
    <mergeCell ref="C2:F2"/>
    <mergeCell ref="G2:J2"/>
    <mergeCell ref="O3:O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6"/>
  <sheetViews>
    <sheetView zoomScale="70" zoomScaleNormal="70" workbookViewId="0">
      <selection activeCell="O4" sqref="O4"/>
    </sheetView>
  </sheetViews>
  <sheetFormatPr defaultRowHeight="15"/>
  <cols>
    <col min="1" max="1" width="10" customWidth="1"/>
    <col min="2" max="2" width="14.125" customWidth="1"/>
    <col min="4" max="4" width="13.75" customWidth="1"/>
    <col min="15" max="15" width="13.625" customWidth="1"/>
    <col min="16" max="16" width="9" customWidth="1"/>
  </cols>
  <sheetData>
    <row r="1" spans="1:15">
      <c r="A1" s="215" t="s">
        <v>79</v>
      </c>
      <c r="B1" s="215" t="s">
        <v>74</v>
      </c>
      <c r="C1" s="212" t="s">
        <v>88</v>
      </c>
      <c r="D1" s="212"/>
      <c r="E1" s="212" t="s">
        <v>93</v>
      </c>
      <c r="F1" s="212"/>
      <c r="G1" s="212" t="s">
        <v>95</v>
      </c>
      <c r="H1" s="212"/>
      <c r="I1" s="212" t="s">
        <v>91</v>
      </c>
      <c r="J1" s="212"/>
      <c r="K1" s="212" t="s">
        <v>92</v>
      </c>
      <c r="L1" s="212"/>
      <c r="M1" s="213" t="s">
        <v>96</v>
      </c>
      <c r="N1" s="213"/>
      <c r="O1" s="214" t="s">
        <v>97</v>
      </c>
    </row>
    <row r="2" spans="1:15" ht="15" customHeight="1">
      <c r="A2" s="215"/>
      <c r="B2" s="215"/>
      <c r="C2" s="13" t="s">
        <v>65</v>
      </c>
      <c r="D2" s="13" t="s">
        <v>90</v>
      </c>
      <c r="E2" s="13" t="s">
        <v>65</v>
      </c>
      <c r="F2" s="13" t="s">
        <v>90</v>
      </c>
      <c r="G2" s="13" t="s">
        <v>65</v>
      </c>
      <c r="H2" s="13" t="s">
        <v>90</v>
      </c>
      <c r="I2" s="13" t="s">
        <v>65</v>
      </c>
      <c r="J2" s="13" t="s">
        <v>90</v>
      </c>
      <c r="K2" s="13" t="s">
        <v>65</v>
      </c>
      <c r="L2" s="13" t="s">
        <v>90</v>
      </c>
      <c r="M2" s="40" t="s">
        <v>65</v>
      </c>
      <c r="N2" s="13" t="s">
        <v>90</v>
      </c>
      <c r="O2" s="214"/>
    </row>
    <row r="3" spans="1:15" ht="15" customHeight="1">
      <c r="A3" s="215"/>
      <c r="B3" s="215"/>
      <c r="C3" s="13" t="s">
        <v>89</v>
      </c>
      <c r="D3" s="13" t="s">
        <v>61</v>
      </c>
      <c r="E3" s="13" t="s">
        <v>94</v>
      </c>
      <c r="F3" s="13" t="s">
        <v>61</v>
      </c>
      <c r="G3" s="13" t="s">
        <v>94</v>
      </c>
      <c r="H3" s="13" t="s">
        <v>61</v>
      </c>
      <c r="I3" s="13" t="s">
        <v>94</v>
      </c>
      <c r="J3" s="13" t="s">
        <v>61</v>
      </c>
      <c r="K3" s="13" t="s">
        <v>94</v>
      </c>
      <c r="L3" s="13" t="s">
        <v>61</v>
      </c>
      <c r="M3" s="40" t="s">
        <v>94</v>
      </c>
      <c r="N3" s="13" t="s">
        <v>61</v>
      </c>
      <c r="O3" s="214"/>
    </row>
    <row r="4" spans="1:15" ht="15.75">
      <c r="A4" s="33">
        <v>1</v>
      </c>
      <c r="B4" s="42">
        <v>0.1</v>
      </c>
      <c r="C4" s="17">
        <f>212.5*10</f>
        <v>2125</v>
      </c>
      <c r="D4" s="17">
        <f t="shared" ref="D4:D18" si="0">150*C4</f>
        <v>318750</v>
      </c>
      <c r="E4" s="17">
        <f>3.3*10</f>
        <v>33</v>
      </c>
      <c r="F4" s="17">
        <f>2400*E4</f>
        <v>79200</v>
      </c>
      <c r="G4" s="17">
        <f>1*10</f>
        <v>10</v>
      </c>
      <c r="H4" s="17">
        <f>1950*G4</f>
        <v>19500</v>
      </c>
      <c r="I4" s="17">
        <f>2.5*10</f>
        <v>25</v>
      </c>
      <c r="J4" s="17">
        <f>2600*I4</f>
        <v>65000</v>
      </c>
      <c r="K4" s="17">
        <v>10</v>
      </c>
      <c r="L4" s="17">
        <f>4000*K4</f>
        <v>40000</v>
      </c>
      <c r="M4" s="47">
        <f>1.3*10</f>
        <v>13</v>
      </c>
      <c r="N4" s="17">
        <f>4000*M4</f>
        <v>52000</v>
      </c>
      <c r="O4" s="17">
        <f>D4+F4+H4+J4+L4+N4</f>
        <v>574450</v>
      </c>
    </row>
    <row r="5" spans="1:15" ht="15.75">
      <c r="A5" s="34">
        <v>2</v>
      </c>
      <c r="B5" s="43">
        <v>0.2</v>
      </c>
      <c r="C5" s="18">
        <f>212.5*20</f>
        <v>4250</v>
      </c>
      <c r="D5" s="18">
        <f t="shared" si="0"/>
        <v>637500</v>
      </c>
      <c r="E5" s="18">
        <f>3.3*20</f>
        <v>66</v>
      </c>
      <c r="F5" s="18">
        <f t="shared" ref="F5:F33" si="1">2400*E5</f>
        <v>158400</v>
      </c>
      <c r="G5" s="18">
        <v>20</v>
      </c>
      <c r="H5" s="18">
        <f t="shared" ref="H5:H22" si="2">1950*G5</f>
        <v>39000</v>
      </c>
      <c r="I5" s="18">
        <f>2.5*20</f>
        <v>50</v>
      </c>
      <c r="J5" s="18">
        <f t="shared" ref="J5:J33" si="3">2600*I5</f>
        <v>130000</v>
      </c>
      <c r="K5" s="18">
        <v>20</v>
      </c>
      <c r="L5" s="18">
        <f t="shared" ref="L5:L33" si="4">4000*K5</f>
        <v>80000</v>
      </c>
      <c r="M5" s="45">
        <f>1.3*20</f>
        <v>26</v>
      </c>
      <c r="N5" s="18">
        <f t="shared" ref="N5:N22" si="5">4000*M5</f>
        <v>104000</v>
      </c>
      <c r="O5" s="18">
        <f t="shared" ref="O5:O33" si="6">D5+F5+H5+J5+L5+N5</f>
        <v>1148900</v>
      </c>
    </row>
    <row r="6" spans="1:15" ht="15.75">
      <c r="A6" s="34">
        <v>3</v>
      </c>
      <c r="B6" s="43">
        <v>0.12</v>
      </c>
      <c r="C6" s="18">
        <f>212.5*12</f>
        <v>2550</v>
      </c>
      <c r="D6" s="18">
        <f t="shared" si="0"/>
        <v>382500</v>
      </c>
      <c r="E6" s="45">
        <f>3.3*12</f>
        <v>39.599999999999994</v>
      </c>
      <c r="F6" s="18">
        <f t="shared" si="1"/>
        <v>95039.999999999985</v>
      </c>
      <c r="G6" s="18">
        <v>12</v>
      </c>
      <c r="H6" s="18">
        <f t="shared" si="2"/>
        <v>23400</v>
      </c>
      <c r="I6" s="18">
        <f>2.5*12</f>
        <v>30</v>
      </c>
      <c r="J6" s="18">
        <f t="shared" si="3"/>
        <v>78000</v>
      </c>
      <c r="K6" s="18">
        <v>12</v>
      </c>
      <c r="L6" s="18">
        <f t="shared" si="4"/>
        <v>48000</v>
      </c>
      <c r="M6" s="45">
        <f>1.3*12</f>
        <v>15.600000000000001</v>
      </c>
      <c r="N6" s="18">
        <f t="shared" si="5"/>
        <v>62400.000000000007</v>
      </c>
      <c r="O6" s="18">
        <f t="shared" si="6"/>
        <v>689340</v>
      </c>
    </row>
    <row r="7" spans="1:15" ht="15.75">
      <c r="A7" s="34">
        <v>4</v>
      </c>
      <c r="B7" s="43">
        <v>0.1</v>
      </c>
      <c r="C7" s="18">
        <f>212.5*10</f>
        <v>2125</v>
      </c>
      <c r="D7" s="18">
        <f t="shared" si="0"/>
        <v>318750</v>
      </c>
      <c r="E7" s="18">
        <f>3.3*10</f>
        <v>33</v>
      </c>
      <c r="F7" s="18">
        <f t="shared" si="1"/>
        <v>79200</v>
      </c>
      <c r="G7" s="18">
        <v>10</v>
      </c>
      <c r="H7" s="18">
        <f t="shared" si="2"/>
        <v>19500</v>
      </c>
      <c r="I7" s="18">
        <f>2.5*10</f>
        <v>25</v>
      </c>
      <c r="J7" s="18">
        <f t="shared" si="3"/>
        <v>65000</v>
      </c>
      <c r="K7" s="18">
        <v>10</v>
      </c>
      <c r="L7" s="18">
        <f t="shared" si="4"/>
        <v>40000</v>
      </c>
      <c r="M7" s="45">
        <f>1.3*10</f>
        <v>13</v>
      </c>
      <c r="N7" s="18">
        <f t="shared" si="5"/>
        <v>52000</v>
      </c>
      <c r="O7" s="18">
        <f t="shared" si="6"/>
        <v>574450</v>
      </c>
    </row>
    <row r="8" spans="1:15" ht="15.75">
      <c r="A8" s="34">
        <v>5</v>
      </c>
      <c r="B8" s="43">
        <v>0.08</v>
      </c>
      <c r="C8" s="18">
        <f>212.5*8</f>
        <v>1700</v>
      </c>
      <c r="D8" s="18">
        <f t="shared" si="0"/>
        <v>255000</v>
      </c>
      <c r="E8" s="45">
        <f>3.3*8</f>
        <v>26.4</v>
      </c>
      <c r="F8" s="18">
        <f t="shared" si="1"/>
        <v>63360</v>
      </c>
      <c r="G8" s="18">
        <v>8</v>
      </c>
      <c r="H8" s="18">
        <f t="shared" si="2"/>
        <v>15600</v>
      </c>
      <c r="I8" s="18">
        <f>2.5*8</f>
        <v>20</v>
      </c>
      <c r="J8" s="18">
        <f t="shared" si="3"/>
        <v>52000</v>
      </c>
      <c r="K8" s="18">
        <v>8</v>
      </c>
      <c r="L8" s="18">
        <f t="shared" si="4"/>
        <v>32000</v>
      </c>
      <c r="M8" s="45">
        <f>1.3*8</f>
        <v>10.4</v>
      </c>
      <c r="N8" s="18">
        <f t="shared" si="5"/>
        <v>41600</v>
      </c>
      <c r="O8" s="18">
        <f t="shared" si="6"/>
        <v>459560</v>
      </c>
    </row>
    <row r="9" spans="1:15" ht="15.75">
      <c r="A9" s="34">
        <v>6</v>
      </c>
      <c r="B9" s="43">
        <v>0.25</v>
      </c>
      <c r="C9" s="45">
        <f>212.5*25</f>
        <v>5312.5</v>
      </c>
      <c r="D9" s="18">
        <f t="shared" si="0"/>
        <v>796875</v>
      </c>
      <c r="E9" s="45">
        <f>3.3*25</f>
        <v>82.5</v>
      </c>
      <c r="F9" s="18">
        <f t="shared" si="1"/>
        <v>198000</v>
      </c>
      <c r="G9" s="18">
        <v>25</v>
      </c>
      <c r="H9" s="18">
        <f t="shared" si="2"/>
        <v>48750</v>
      </c>
      <c r="I9" s="45">
        <f>2.5*25</f>
        <v>62.5</v>
      </c>
      <c r="J9" s="18">
        <f t="shared" si="3"/>
        <v>162500</v>
      </c>
      <c r="K9" s="18">
        <v>25</v>
      </c>
      <c r="L9" s="18">
        <f t="shared" si="4"/>
        <v>100000</v>
      </c>
      <c r="M9" s="45">
        <f>1.3*25</f>
        <v>32.5</v>
      </c>
      <c r="N9" s="18">
        <f t="shared" si="5"/>
        <v>130000</v>
      </c>
      <c r="O9" s="18">
        <f t="shared" si="6"/>
        <v>1436125</v>
      </c>
    </row>
    <row r="10" spans="1:15" ht="15.75">
      <c r="A10" s="34">
        <v>7</v>
      </c>
      <c r="B10" s="43">
        <v>0.25</v>
      </c>
      <c r="C10" s="45">
        <f>212.5*25</f>
        <v>5312.5</v>
      </c>
      <c r="D10" s="18">
        <f t="shared" si="0"/>
        <v>796875</v>
      </c>
      <c r="E10" s="45">
        <f>3.3*25</f>
        <v>82.5</v>
      </c>
      <c r="F10" s="18">
        <f t="shared" si="1"/>
        <v>198000</v>
      </c>
      <c r="G10" s="18">
        <v>25</v>
      </c>
      <c r="H10" s="18">
        <f t="shared" si="2"/>
        <v>48750</v>
      </c>
      <c r="I10" s="45">
        <f>2.5*25</f>
        <v>62.5</v>
      </c>
      <c r="J10" s="18">
        <f t="shared" si="3"/>
        <v>162500</v>
      </c>
      <c r="K10" s="18">
        <v>25</v>
      </c>
      <c r="L10" s="18">
        <f t="shared" si="4"/>
        <v>100000</v>
      </c>
      <c r="M10" s="45">
        <f>1.3*25</f>
        <v>32.5</v>
      </c>
      <c r="N10" s="18">
        <f t="shared" si="5"/>
        <v>130000</v>
      </c>
      <c r="O10" s="18">
        <f t="shared" si="6"/>
        <v>1436125</v>
      </c>
    </row>
    <row r="11" spans="1:15" ht="15.75">
      <c r="A11" s="34">
        <v>8</v>
      </c>
      <c r="B11" s="43">
        <v>0.35</v>
      </c>
      <c r="C11" s="45">
        <f>212.5*35</f>
        <v>7437.5</v>
      </c>
      <c r="D11" s="18">
        <f t="shared" si="0"/>
        <v>1115625</v>
      </c>
      <c r="E11" s="45">
        <f>3.3*35</f>
        <v>115.5</v>
      </c>
      <c r="F11" s="18">
        <f t="shared" si="1"/>
        <v>277200</v>
      </c>
      <c r="G11" s="18">
        <v>35</v>
      </c>
      <c r="H11" s="18">
        <f t="shared" si="2"/>
        <v>68250</v>
      </c>
      <c r="I11" s="45">
        <f>2.5*35</f>
        <v>87.5</v>
      </c>
      <c r="J11" s="18">
        <f t="shared" si="3"/>
        <v>227500</v>
      </c>
      <c r="K11" s="18">
        <v>35</v>
      </c>
      <c r="L11" s="18">
        <f t="shared" si="4"/>
        <v>140000</v>
      </c>
      <c r="M11" s="45">
        <f>1.3*35</f>
        <v>45.5</v>
      </c>
      <c r="N11" s="18">
        <f t="shared" si="5"/>
        <v>182000</v>
      </c>
      <c r="O11" s="18">
        <f t="shared" si="6"/>
        <v>2010575</v>
      </c>
    </row>
    <row r="12" spans="1:15" ht="15.75">
      <c r="A12" s="34">
        <v>9</v>
      </c>
      <c r="B12" s="43">
        <v>0.3</v>
      </c>
      <c r="C12" s="18">
        <f>212.5*30</f>
        <v>6375</v>
      </c>
      <c r="D12" s="18">
        <f t="shared" si="0"/>
        <v>956250</v>
      </c>
      <c r="E12" s="18">
        <f>3.3*30</f>
        <v>99</v>
      </c>
      <c r="F12" s="18">
        <f t="shared" si="1"/>
        <v>237600</v>
      </c>
      <c r="G12" s="18">
        <v>30</v>
      </c>
      <c r="H12" s="18">
        <f t="shared" si="2"/>
        <v>58500</v>
      </c>
      <c r="I12" s="18">
        <f>2.5*30</f>
        <v>75</v>
      </c>
      <c r="J12" s="18">
        <f t="shared" si="3"/>
        <v>195000</v>
      </c>
      <c r="K12" s="18">
        <v>30</v>
      </c>
      <c r="L12" s="18">
        <f t="shared" si="4"/>
        <v>120000</v>
      </c>
      <c r="M12" s="45">
        <f>1.3*30</f>
        <v>39</v>
      </c>
      <c r="N12" s="18">
        <f t="shared" si="5"/>
        <v>156000</v>
      </c>
      <c r="O12" s="18">
        <f t="shared" si="6"/>
        <v>1723350</v>
      </c>
    </row>
    <row r="13" spans="1:15" ht="15.75">
      <c r="A13" s="34">
        <v>10</v>
      </c>
      <c r="B13" s="43">
        <v>0.2</v>
      </c>
      <c r="C13" s="18">
        <f>212.5*20</f>
        <v>4250</v>
      </c>
      <c r="D13" s="18">
        <f t="shared" si="0"/>
        <v>637500</v>
      </c>
      <c r="E13" s="18">
        <f>3.3*20</f>
        <v>66</v>
      </c>
      <c r="F13" s="18">
        <f t="shared" si="1"/>
        <v>158400</v>
      </c>
      <c r="G13" s="18">
        <v>20</v>
      </c>
      <c r="H13" s="18">
        <f t="shared" si="2"/>
        <v>39000</v>
      </c>
      <c r="I13" s="18">
        <f>2.5*20</f>
        <v>50</v>
      </c>
      <c r="J13" s="18">
        <f t="shared" si="3"/>
        <v>130000</v>
      </c>
      <c r="K13" s="18">
        <v>20</v>
      </c>
      <c r="L13" s="18">
        <f t="shared" si="4"/>
        <v>80000</v>
      </c>
      <c r="M13" s="45">
        <f>1.3*20</f>
        <v>26</v>
      </c>
      <c r="N13" s="18">
        <f t="shared" si="5"/>
        <v>104000</v>
      </c>
      <c r="O13" s="18">
        <f t="shared" si="6"/>
        <v>1148900</v>
      </c>
    </row>
    <row r="14" spans="1:15" ht="15.75">
      <c r="A14" s="34">
        <v>11</v>
      </c>
      <c r="B14" s="43">
        <v>0.1</v>
      </c>
      <c r="C14" s="18">
        <f>212.5*10</f>
        <v>2125</v>
      </c>
      <c r="D14" s="18">
        <f t="shared" si="0"/>
        <v>318750</v>
      </c>
      <c r="E14" s="18">
        <f>3.3*10</f>
        <v>33</v>
      </c>
      <c r="F14" s="18">
        <f t="shared" si="1"/>
        <v>79200</v>
      </c>
      <c r="G14" s="18">
        <v>10</v>
      </c>
      <c r="H14" s="18">
        <f t="shared" si="2"/>
        <v>19500</v>
      </c>
      <c r="I14" s="18">
        <f>2.5*10</f>
        <v>25</v>
      </c>
      <c r="J14" s="18">
        <f t="shared" si="3"/>
        <v>65000</v>
      </c>
      <c r="K14" s="18">
        <v>10</v>
      </c>
      <c r="L14" s="18">
        <f t="shared" si="4"/>
        <v>40000</v>
      </c>
      <c r="M14" s="45">
        <f>1.3*10</f>
        <v>13</v>
      </c>
      <c r="N14" s="18">
        <f t="shared" si="5"/>
        <v>52000</v>
      </c>
      <c r="O14" s="18">
        <f t="shared" si="6"/>
        <v>574450</v>
      </c>
    </row>
    <row r="15" spans="1:15" ht="15.75">
      <c r="A15" s="34">
        <v>12</v>
      </c>
      <c r="B15" s="43">
        <v>0.25</v>
      </c>
      <c r="C15" s="45">
        <f>212.5*25</f>
        <v>5312.5</v>
      </c>
      <c r="D15" s="18">
        <f t="shared" si="0"/>
        <v>796875</v>
      </c>
      <c r="E15" s="45">
        <f>3.3*25</f>
        <v>82.5</v>
      </c>
      <c r="F15" s="18">
        <f t="shared" si="1"/>
        <v>198000</v>
      </c>
      <c r="G15" s="18">
        <v>25</v>
      </c>
      <c r="H15" s="18">
        <f t="shared" si="2"/>
        <v>48750</v>
      </c>
      <c r="I15" s="45">
        <f>2.5*25</f>
        <v>62.5</v>
      </c>
      <c r="J15" s="18">
        <f t="shared" si="3"/>
        <v>162500</v>
      </c>
      <c r="K15" s="18">
        <v>25</v>
      </c>
      <c r="L15" s="18">
        <f t="shared" si="4"/>
        <v>100000</v>
      </c>
      <c r="M15" s="45">
        <f>1.3*25</f>
        <v>32.5</v>
      </c>
      <c r="N15" s="18">
        <f t="shared" si="5"/>
        <v>130000</v>
      </c>
      <c r="O15" s="18">
        <f t="shared" si="6"/>
        <v>1436125</v>
      </c>
    </row>
    <row r="16" spans="1:15" ht="15.75">
      <c r="A16" s="34">
        <v>13</v>
      </c>
      <c r="B16" s="43">
        <v>0.23</v>
      </c>
      <c r="C16" s="45">
        <f>212.5*23</f>
        <v>4887.5</v>
      </c>
      <c r="D16" s="18">
        <f t="shared" si="0"/>
        <v>733125</v>
      </c>
      <c r="E16" s="45">
        <f>3.3*23</f>
        <v>75.899999999999991</v>
      </c>
      <c r="F16" s="18">
        <f t="shared" si="1"/>
        <v>182159.99999999997</v>
      </c>
      <c r="G16" s="18">
        <v>23</v>
      </c>
      <c r="H16" s="18">
        <f t="shared" si="2"/>
        <v>44850</v>
      </c>
      <c r="I16" s="45">
        <f>2.5*23</f>
        <v>57.5</v>
      </c>
      <c r="J16" s="18">
        <f t="shared" si="3"/>
        <v>149500</v>
      </c>
      <c r="K16" s="18">
        <v>23</v>
      </c>
      <c r="L16" s="18">
        <f t="shared" si="4"/>
        <v>92000</v>
      </c>
      <c r="M16" s="48">
        <f>1.3*23</f>
        <v>29.900000000000002</v>
      </c>
      <c r="N16" s="18">
        <f t="shared" si="5"/>
        <v>119600.00000000001</v>
      </c>
      <c r="O16" s="18">
        <f t="shared" si="6"/>
        <v>1321235</v>
      </c>
    </row>
    <row r="17" spans="1:15" ht="15.75">
      <c r="A17" s="34">
        <v>14</v>
      </c>
      <c r="B17" s="43">
        <v>0.35</v>
      </c>
      <c r="C17" s="45">
        <f>212.5*35</f>
        <v>7437.5</v>
      </c>
      <c r="D17" s="18">
        <f t="shared" si="0"/>
        <v>1115625</v>
      </c>
      <c r="E17" s="45">
        <f>3.3*35</f>
        <v>115.5</v>
      </c>
      <c r="F17" s="18">
        <f t="shared" si="1"/>
        <v>277200</v>
      </c>
      <c r="G17" s="18">
        <v>35</v>
      </c>
      <c r="H17" s="18">
        <f t="shared" si="2"/>
        <v>68250</v>
      </c>
      <c r="I17" s="45">
        <f>2.5*35</f>
        <v>87.5</v>
      </c>
      <c r="J17" s="18">
        <f t="shared" si="3"/>
        <v>227500</v>
      </c>
      <c r="K17" s="18">
        <v>35</v>
      </c>
      <c r="L17" s="18">
        <f t="shared" si="4"/>
        <v>140000</v>
      </c>
      <c r="M17" s="45">
        <f>1.3*35</f>
        <v>45.5</v>
      </c>
      <c r="N17" s="18">
        <f t="shared" si="5"/>
        <v>182000</v>
      </c>
      <c r="O17" s="18">
        <f t="shared" si="6"/>
        <v>2010575</v>
      </c>
    </row>
    <row r="18" spans="1:15" ht="15.75">
      <c r="A18" s="34">
        <v>15</v>
      </c>
      <c r="B18" s="43">
        <v>0.27</v>
      </c>
      <c r="C18" s="45">
        <f>212.5*27</f>
        <v>5737.5</v>
      </c>
      <c r="D18" s="18">
        <f t="shared" si="0"/>
        <v>860625</v>
      </c>
      <c r="E18" s="45">
        <f>3.3*27</f>
        <v>89.1</v>
      </c>
      <c r="F18" s="18">
        <f t="shared" si="1"/>
        <v>213840</v>
      </c>
      <c r="G18" s="18">
        <v>27</v>
      </c>
      <c r="H18" s="18">
        <f t="shared" si="2"/>
        <v>52650</v>
      </c>
      <c r="I18" s="45">
        <f>2.5*27</f>
        <v>67.5</v>
      </c>
      <c r="J18" s="18">
        <f t="shared" si="3"/>
        <v>175500</v>
      </c>
      <c r="K18" s="18">
        <v>27</v>
      </c>
      <c r="L18" s="18">
        <f t="shared" si="4"/>
        <v>108000</v>
      </c>
      <c r="M18" s="49">
        <f>1.3*27</f>
        <v>35.1</v>
      </c>
      <c r="N18" s="18">
        <f t="shared" si="5"/>
        <v>140400</v>
      </c>
      <c r="O18" s="18">
        <f t="shared" si="6"/>
        <v>1551015</v>
      </c>
    </row>
    <row r="19" spans="1:15" ht="15.75">
      <c r="A19" s="34">
        <v>16</v>
      </c>
      <c r="B19" s="43">
        <v>0.12</v>
      </c>
      <c r="C19" s="18">
        <f>212.5*12</f>
        <v>2550</v>
      </c>
      <c r="D19" s="18">
        <f>1250*C19</f>
        <v>3187500</v>
      </c>
      <c r="E19" s="45">
        <f>3.3*12</f>
        <v>39.599999999999994</v>
      </c>
      <c r="F19" s="18">
        <f t="shared" si="1"/>
        <v>95039.999999999985</v>
      </c>
      <c r="G19" s="18">
        <v>12</v>
      </c>
      <c r="H19" s="18">
        <f t="shared" si="2"/>
        <v>23400</v>
      </c>
      <c r="I19" s="18">
        <f>2.5*12</f>
        <v>30</v>
      </c>
      <c r="J19" s="18">
        <f t="shared" si="3"/>
        <v>78000</v>
      </c>
      <c r="K19" s="18">
        <v>12</v>
      </c>
      <c r="L19" s="18">
        <f t="shared" si="4"/>
        <v>48000</v>
      </c>
      <c r="M19" s="45">
        <f>1.3*12</f>
        <v>15.600000000000001</v>
      </c>
      <c r="N19" s="18">
        <f t="shared" si="5"/>
        <v>62400.000000000007</v>
      </c>
      <c r="O19" s="18">
        <f t="shared" si="6"/>
        <v>3494340</v>
      </c>
    </row>
    <row r="20" spans="1:15" ht="15.75">
      <c r="A20" s="34">
        <v>17</v>
      </c>
      <c r="B20" s="43">
        <v>0.28999999999999998</v>
      </c>
      <c r="C20" s="45">
        <f>212.5*29</f>
        <v>6162.5</v>
      </c>
      <c r="D20" s="18">
        <f t="shared" ref="D20:D33" si="7">150*C20</f>
        <v>924375</v>
      </c>
      <c r="E20" s="45">
        <f>3.3*29</f>
        <v>95.699999999999989</v>
      </c>
      <c r="F20" s="18">
        <f t="shared" si="1"/>
        <v>229679.99999999997</v>
      </c>
      <c r="G20" s="18">
        <v>29</v>
      </c>
      <c r="H20" s="18">
        <f t="shared" si="2"/>
        <v>56550</v>
      </c>
      <c r="I20" s="45">
        <f>2.5*29</f>
        <v>72.5</v>
      </c>
      <c r="J20" s="18">
        <f t="shared" si="3"/>
        <v>188500</v>
      </c>
      <c r="K20" s="18">
        <v>29</v>
      </c>
      <c r="L20" s="18">
        <f t="shared" si="4"/>
        <v>116000</v>
      </c>
      <c r="M20" s="45">
        <f>1.3*29</f>
        <v>37.700000000000003</v>
      </c>
      <c r="N20" s="18">
        <f t="shared" si="5"/>
        <v>150800</v>
      </c>
      <c r="O20" s="18">
        <f t="shared" si="6"/>
        <v>1665905</v>
      </c>
    </row>
    <row r="21" spans="1:15" ht="15.75">
      <c r="A21" s="34">
        <v>18</v>
      </c>
      <c r="B21" s="43">
        <v>0.28000000000000003</v>
      </c>
      <c r="C21" s="18">
        <f>212.5*28</f>
        <v>5950</v>
      </c>
      <c r="D21" s="18">
        <f t="shared" si="7"/>
        <v>892500</v>
      </c>
      <c r="E21" s="45">
        <f>3.3*28</f>
        <v>92.399999999999991</v>
      </c>
      <c r="F21" s="18">
        <f t="shared" si="1"/>
        <v>221759.99999999997</v>
      </c>
      <c r="G21" s="18">
        <v>28</v>
      </c>
      <c r="H21" s="18">
        <f t="shared" si="2"/>
        <v>54600</v>
      </c>
      <c r="I21" s="18">
        <f>2.5*28</f>
        <v>70</v>
      </c>
      <c r="J21" s="18">
        <f t="shared" si="3"/>
        <v>182000</v>
      </c>
      <c r="K21" s="18">
        <v>28</v>
      </c>
      <c r="L21" s="18">
        <f t="shared" si="4"/>
        <v>112000</v>
      </c>
      <c r="M21" s="45">
        <f>1.3*28</f>
        <v>36.4</v>
      </c>
      <c r="N21" s="18">
        <f t="shared" si="5"/>
        <v>145600</v>
      </c>
      <c r="O21" s="18">
        <f t="shared" si="6"/>
        <v>1608460</v>
      </c>
    </row>
    <row r="22" spans="1:15" ht="15.75">
      <c r="A22" s="34">
        <v>19</v>
      </c>
      <c r="B22" s="43">
        <v>0.38</v>
      </c>
      <c r="C22" s="18">
        <f>212*38</f>
        <v>8056</v>
      </c>
      <c r="D22" s="18">
        <f t="shared" si="7"/>
        <v>1208400</v>
      </c>
      <c r="E22" s="45">
        <f>3.3*38</f>
        <v>125.39999999999999</v>
      </c>
      <c r="F22" s="18">
        <f t="shared" si="1"/>
        <v>300960</v>
      </c>
      <c r="G22" s="18">
        <v>38</v>
      </c>
      <c r="H22" s="18">
        <f t="shared" si="2"/>
        <v>74100</v>
      </c>
      <c r="I22" s="18">
        <f>2.5*38</f>
        <v>95</v>
      </c>
      <c r="J22" s="18">
        <f t="shared" si="3"/>
        <v>247000</v>
      </c>
      <c r="K22" s="18">
        <v>38</v>
      </c>
      <c r="L22" s="18">
        <f t="shared" si="4"/>
        <v>152000</v>
      </c>
      <c r="M22" s="45">
        <f>1.3*38</f>
        <v>49.4</v>
      </c>
      <c r="N22" s="18">
        <f t="shared" si="5"/>
        <v>197600</v>
      </c>
      <c r="O22" s="18">
        <f t="shared" si="6"/>
        <v>2180060</v>
      </c>
    </row>
    <row r="23" spans="1:15" ht="15.75">
      <c r="A23" s="34">
        <v>20</v>
      </c>
      <c r="B23" s="43">
        <v>0.1</v>
      </c>
      <c r="C23" s="18">
        <f>212.5*10</f>
        <v>2125</v>
      </c>
      <c r="D23" s="18">
        <f t="shared" si="7"/>
        <v>318750</v>
      </c>
      <c r="E23" s="18">
        <f>3.3*10</f>
        <v>33</v>
      </c>
      <c r="F23" s="18">
        <f t="shared" si="1"/>
        <v>79200</v>
      </c>
      <c r="G23" s="18">
        <f>2.5*10</f>
        <v>25</v>
      </c>
      <c r="H23" s="18">
        <f>2500*G23</f>
        <v>62500</v>
      </c>
      <c r="I23" s="18">
        <f>2.5*10</f>
        <v>25</v>
      </c>
      <c r="J23" s="18">
        <f t="shared" si="3"/>
        <v>65000</v>
      </c>
      <c r="K23" s="18">
        <v>10</v>
      </c>
      <c r="L23" s="18">
        <f t="shared" si="4"/>
        <v>40000</v>
      </c>
      <c r="M23" s="45">
        <f>1.3*10</f>
        <v>13</v>
      </c>
      <c r="N23" s="18">
        <f>2500*M23</f>
        <v>32500</v>
      </c>
      <c r="O23" s="18">
        <f t="shared" si="6"/>
        <v>597950</v>
      </c>
    </row>
    <row r="24" spans="1:15" ht="15.75">
      <c r="A24" s="34">
        <v>21</v>
      </c>
      <c r="B24" s="43">
        <v>0.08</v>
      </c>
      <c r="C24" s="18">
        <f>212.5*8</f>
        <v>1700</v>
      </c>
      <c r="D24" s="18">
        <f t="shared" si="7"/>
        <v>255000</v>
      </c>
      <c r="E24" s="45">
        <f>3.3*8</f>
        <v>26.4</v>
      </c>
      <c r="F24" s="18">
        <f t="shared" si="1"/>
        <v>63360</v>
      </c>
      <c r="G24" s="18">
        <f>2.5*8</f>
        <v>20</v>
      </c>
      <c r="H24" s="18">
        <f t="shared" ref="H24:H33" si="8">2500*G24</f>
        <v>50000</v>
      </c>
      <c r="I24" s="18">
        <f>2.5*8</f>
        <v>20</v>
      </c>
      <c r="J24" s="18">
        <f t="shared" si="3"/>
        <v>52000</v>
      </c>
      <c r="K24" s="18">
        <v>8</v>
      </c>
      <c r="L24" s="18">
        <f t="shared" si="4"/>
        <v>32000</v>
      </c>
      <c r="M24" s="45">
        <f>1.3*8</f>
        <v>10.4</v>
      </c>
      <c r="N24" s="18">
        <f t="shared" ref="N24:N33" si="9">2500*M24</f>
        <v>26000</v>
      </c>
      <c r="O24" s="18">
        <f t="shared" si="6"/>
        <v>478360</v>
      </c>
    </row>
    <row r="25" spans="1:15" ht="15.75">
      <c r="A25" s="34">
        <v>22</v>
      </c>
      <c r="B25" s="43">
        <v>0.24</v>
      </c>
      <c r="C25" s="18">
        <f>212.5*24</f>
        <v>5100</v>
      </c>
      <c r="D25" s="18">
        <f t="shared" si="7"/>
        <v>765000</v>
      </c>
      <c r="E25" s="45">
        <f>3.3*24</f>
        <v>79.199999999999989</v>
      </c>
      <c r="F25" s="18">
        <f t="shared" si="1"/>
        <v>190079.99999999997</v>
      </c>
      <c r="G25" s="18">
        <f>2.5*24</f>
        <v>60</v>
      </c>
      <c r="H25" s="18">
        <f t="shared" si="8"/>
        <v>150000</v>
      </c>
      <c r="I25" s="18">
        <f>2.5*24</f>
        <v>60</v>
      </c>
      <c r="J25" s="18">
        <f t="shared" si="3"/>
        <v>156000</v>
      </c>
      <c r="K25" s="18">
        <v>24</v>
      </c>
      <c r="L25" s="18">
        <f t="shared" si="4"/>
        <v>96000</v>
      </c>
      <c r="M25" s="45">
        <f>1.3*24</f>
        <v>31.200000000000003</v>
      </c>
      <c r="N25" s="18">
        <f t="shared" si="9"/>
        <v>78000</v>
      </c>
      <c r="O25" s="18">
        <f t="shared" si="6"/>
        <v>1435080</v>
      </c>
    </row>
    <row r="26" spans="1:15" ht="15.75">
      <c r="A26" s="34">
        <v>23</v>
      </c>
      <c r="B26" s="43">
        <v>0.2</v>
      </c>
      <c r="C26" s="18">
        <f>212.5*20</f>
        <v>4250</v>
      </c>
      <c r="D26" s="18">
        <f t="shared" si="7"/>
        <v>637500</v>
      </c>
      <c r="E26" s="18">
        <f>3.3*20</f>
        <v>66</v>
      </c>
      <c r="F26" s="18">
        <f t="shared" si="1"/>
        <v>158400</v>
      </c>
      <c r="G26" s="18">
        <f>2.5*20</f>
        <v>50</v>
      </c>
      <c r="H26" s="18">
        <f t="shared" si="8"/>
        <v>125000</v>
      </c>
      <c r="I26" s="18">
        <f>2.5*20</f>
        <v>50</v>
      </c>
      <c r="J26" s="18">
        <f t="shared" si="3"/>
        <v>130000</v>
      </c>
      <c r="K26" s="18">
        <v>20</v>
      </c>
      <c r="L26" s="18">
        <f t="shared" si="4"/>
        <v>80000</v>
      </c>
      <c r="M26" s="45">
        <f>1.3*20</f>
        <v>26</v>
      </c>
      <c r="N26" s="18">
        <f t="shared" si="9"/>
        <v>65000</v>
      </c>
      <c r="O26" s="18">
        <f t="shared" si="6"/>
        <v>1195900</v>
      </c>
    </row>
    <row r="27" spans="1:15" ht="15.75">
      <c r="A27" s="34">
        <v>24</v>
      </c>
      <c r="B27" s="43">
        <v>0.1</v>
      </c>
      <c r="C27" s="18">
        <f>212.5*10</f>
        <v>2125</v>
      </c>
      <c r="D27" s="18">
        <f t="shared" si="7"/>
        <v>318750</v>
      </c>
      <c r="E27" s="18">
        <f>3.3*10</f>
        <v>33</v>
      </c>
      <c r="F27" s="18">
        <f t="shared" si="1"/>
        <v>79200</v>
      </c>
      <c r="G27" s="18">
        <f>2.5*10</f>
        <v>25</v>
      </c>
      <c r="H27" s="18">
        <f t="shared" si="8"/>
        <v>62500</v>
      </c>
      <c r="I27" s="18">
        <v>25</v>
      </c>
      <c r="J27" s="18">
        <f t="shared" si="3"/>
        <v>65000</v>
      </c>
      <c r="K27" s="18">
        <v>10</v>
      </c>
      <c r="L27" s="18">
        <f t="shared" si="4"/>
        <v>40000</v>
      </c>
      <c r="M27" s="45">
        <f>1.3*10</f>
        <v>13</v>
      </c>
      <c r="N27" s="18">
        <f t="shared" si="9"/>
        <v>32500</v>
      </c>
      <c r="O27" s="18">
        <f t="shared" si="6"/>
        <v>597950</v>
      </c>
    </row>
    <row r="28" spans="1:15" ht="15.75">
      <c r="A28" s="34">
        <v>25</v>
      </c>
      <c r="B28" s="43">
        <v>0.14000000000000001</v>
      </c>
      <c r="C28" s="18">
        <f>212.5*14</f>
        <v>2975</v>
      </c>
      <c r="D28" s="18">
        <f t="shared" si="7"/>
        <v>446250</v>
      </c>
      <c r="E28" s="45">
        <f>3.3*14</f>
        <v>46.199999999999996</v>
      </c>
      <c r="F28" s="18">
        <f t="shared" si="1"/>
        <v>110879.99999999999</v>
      </c>
      <c r="G28" s="18">
        <f>2.5*14</f>
        <v>35</v>
      </c>
      <c r="H28" s="18">
        <f t="shared" si="8"/>
        <v>87500</v>
      </c>
      <c r="I28" s="18">
        <f>2.5*14</f>
        <v>35</v>
      </c>
      <c r="J28" s="18">
        <f t="shared" si="3"/>
        <v>91000</v>
      </c>
      <c r="K28" s="18">
        <v>14</v>
      </c>
      <c r="L28" s="18">
        <f t="shared" si="4"/>
        <v>56000</v>
      </c>
      <c r="M28" s="45">
        <f>1.3*14</f>
        <v>18.2</v>
      </c>
      <c r="N28" s="18">
        <f t="shared" si="9"/>
        <v>45500</v>
      </c>
      <c r="O28" s="18">
        <f t="shared" si="6"/>
        <v>837130</v>
      </c>
    </row>
    <row r="29" spans="1:15" ht="15.75">
      <c r="A29" s="34">
        <v>26</v>
      </c>
      <c r="B29" s="43">
        <v>0.25</v>
      </c>
      <c r="C29" s="45">
        <f>212.5*25</f>
        <v>5312.5</v>
      </c>
      <c r="D29" s="18">
        <f t="shared" si="7"/>
        <v>796875</v>
      </c>
      <c r="E29" s="45">
        <f>3.3*25</f>
        <v>82.5</v>
      </c>
      <c r="F29" s="18">
        <f t="shared" si="1"/>
        <v>198000</v>
      </c>
      <c r="G29" s="45">
        <f>2.5*25</f>
        <v>62.5</v>
      </c>
      <c r="H29" s="18">
        <f t="shared" si="8"/>
        <v>156250</v>
      </c>
      <c r="I29" s="45">
        <f>2.5*25</f>
        <v>62.5</v>
      </c>
      <c r="J29" s="18">
        <f t="shared" si="3"/>
        <v>162500</v>
      </c>
      <c r="K29" s="18">
        <v>25</v>
      </c>
      <c r="L29" s="18">
        <f t="shared" si="4"/>
        <v>100000</v>
      </c>
      <c r="M29" s="45">
        <f>1.3*25</f>
        <v>32.5</v>
      </c>
      <c r="N29" s="18">
        <f t="shared" si="9"/>
        <v>81250</v>
      </c>
      <c r="O29" s="18">
        <f t="shared" si="6"/>
        <v>1494875</v>
      </c>
    </row>
    <row r="30" spans="1:15" ht="15.75">
      <c r="A30" s="34">
        <v>27</v>
      </c>
      <c r="B30" s="43">
        <v>0.08</v>
      </c>
      <c r="C30" s="18">
        <f>212.5*8</f>
        <v>1700</v>
      </c>
      <c r="D30" s="18">
        <f t="shared" si="7"/>
        <v>255000</v>
      </c>
      <c r="E30" s="45">
        <f>3.3*8</f>
        <v>26.4</v>
      </c>
      <c r="F30" s="18">
        <f t="shared" si="1"/>
        <v>63360</v>
      </c>
      <c r="G30" s="18">
        <f>2.5*8</f>
        <v>20</v>
      </c>
      <c r="H30" s="18">
        <f t="shared" si="8"/>
        <v>50000</v>
      </c>
      <c r="I30" s="18">
        <f>2.5*8</f>
        <v>20</v>
      </c>
      <c r="J30" s="18">
        <f t="shared" si="3"/>
        <v>52000</v>
      </c>
      <c r="K30" s="18">
        <v>8</v>
      </c>
      <c r="L30" s="18">
        <f t="shared" si="4"/>
        <v>32000</v>
      </c>
      <c r="M30" s="18">
        <v>10</v>
      </c>
      <c r="N30" s="18">
        <f t="shared" si="9"/>
        <v>25000</v>
      </c>
      <c r="O30" s="18">
        <f t="shared" si="6"/>
        <v>477360</v>
      </c>
    </row>
    <row r="31" spans="1:15" ht="15.75">
      <c r="A31" s="34">
        <v>28</v>
      </c>
      <c r="B31" s="43">
        <v>0.2</v>
      </c>
      <c r="C31" s="18">
        <f>212.5*20</f>
        <v>4250</v>
      </c>
      <c r="D31" s="18">
        <f t="shared" si="7"/>
        <v>637500</v>
      </c>
      <c r="E31" s="18">
        <f>3.3*20</f>
        <v>66</v>
      </c>
      <c r="F31" s="18">
        <f t="shared" si="1"/>
        <v>158400</v>
      </c>
      <c r="G31" s="18">
        <f>2.5*20</f>
        <v>50</v>
      </c>
      <c r="H31" s="18">
        <f t="shared" si="8"/>
        <v>125000</v>
      </c>
      <c r="I31" s="18">
        <f>2.5*20</f>
        <v>50</v>
      </c>
      <c r="J31" s="18">
        <f t="shared" si="3"/>
        <v>130000</v>
      </c>
      <c r="K31" s="18">
        <v>20</v>
      </c>
      <c r="L31" s="18">
        <f t="shared" si="4"/>
        <v>80000</v>
      </c>
      <c r="M31" s="18">
        <v>26</v>
      </c>
      <c r="N31" s="18">
        <f t="shared" si="9"/>
        <v>65000</v>
      </c>
      <c r="O31" s="18">
        <f t="shared" si="6"/>
        <v>1195900</v>
      </c>
    </row>
    <row r="32" spans="1:15" ht="15.75">
      <c r="A32" s="34">
        <v>29</v>
      </c>
      <c r="B32" s="43">
        <v>0.1</v>
      </c>
      <c r="C32" s="18">
        <f>212.5*10</f>
        <v>2125</v>
      </c>
      <c r="D32" s="18">
        <f t="shared" si="7"/>
        <v>318750</v>
      </c>
      <c r="E32" s="18">
        <f>3.3*10</f>
        <v>33</v>
      </c>
      <c r="F32" s="18">
        <f t="shared" si="1"/>
        <v>79200</v>
      </c>
      <c r="G32" s="18">
        <f>2.5*10</f>
        <v>25</v>
      </c>
      <c r="H32" s="18">
        <f t="shared" si="8"/>
        <v>62500</v>
      </c>
      <c r="I32" s="18">
        <f>2.5*10</f>
        <v>25</v>
      </c>
      <c r="J32" s="18">
        <f t="shared" si="3"/>
        <v>65000</v>
      </c>
      <c r="K32" s="18">
        <v>10</v>
      </c>
      <c r="L32" s="18">
        <f t="shared" si="4"/>
        <v>40000</v>
      </c>
      <c r="M32" s="18">
        <v>13</v>
      </c>
      <c r="N32" s="18">
        <f t="shared" si="9"/>
        <v>32500</v>
      </c>
      <c r="O32" s="18">
        <f t="shared" si="6"/>
        <v>597950</v>
      </c>
    </row>
    <row r="33" spans="1:15" ht="15.75">
      <c r="A33" s="35">
        <v>30</v>
      </c>
      <c r="B33" s="44">
        <v>0.16</v>
      </c>
      <c r="C33" s="19">
        <f>212.5*16</f>
        <v>3400</v>
      </c>
      <c r="D33" s="19">
        <f t="shared" si="7"/>
        <v>510000</v>
      </c>
      <c r="E33" s="46">
        <f>3.3*16</f>
        <v>52.8</v>
      </c>
      <c r="F33" s="19">
        <f t="shared" si="1"/>
        <v>126720</v>
      </c>
      <c r="G33" s="19">
        <f>2.5*16</f>
        <v>40</v>
      </c>
      <c r="H33" s="19">
        <f t="shared" si="8"/>
        <v>100000</v>
      </c>
      <c r="I33" s="19">
        <f>2.5*16</f>
        <v>40</v>
      </c>
      <c r="J33" s="19">
        <f t="shared" si="3"/>
        <v>104000</v>
      </c>
      <c r="K33" s="19">
        <v>16</v>
      </c>
      <c r="L33" s="19">
        <f t="shared" si="4"/>
        <v>64000</v>
      </c>
      <c r="M33" s="46">
        <f>1.3*16</f>
        <v>20.8</v>
      </c>
      <c r="N33" s="19">
        <f t="shared" si="9"/>
        <v>52000</v>
      </c>
      <c r="O33" s="19">
        <f t="shared" si="6"/>
        <v>956720</v>
      </c>
    </row>
    <row r="34" spans="1:15" ht="15.75">
      <c r="A34" s="32" t="s">
        <v>65</v>
      </c>
      <c r="B34" s="32">
        <v>5.87</v>
      </c>
      <c r="C34" s="14">
        <f t="shared" ref="C34:O34" si="10">SUM(C4:C33)</f>
        <v>124718.5</v>
      </c>
      <c r="D34" s="14">
        <f t="shared" si="10"/>
        <v>21512775</v>
      </c>
      <c r="E34" s="41">
        <f t="shared" si="10"/>
        <v>1937.1000000000004</v>
      </c>
      <c r="F34" s="14">
        <f t="shared" si="10"/>
        <v>4649040</v>
      </c>
      <c r="G34" s="41">
        <f t="shared" si="10"/>
        <v>834.5</v>
      </c>
      <c r="H34" s="14">
        <f t="shared" si="10"/>
        <v>1854150</v>
      </c>
      <c r="I34" s="41">
        <f t="shared" si="10"/>
        <v>1467.5</v>
      </c>
      <c r="J34" s="14">
        <f t="shared" si="10"/>
        <v>3815500</v>
      </c>
      <c r="K34" s="41">
        <f t="shared" si="10"/>
        <v>587</v>
      </c>
      <c r="L34" s="14">
        <f t="shared" si="10"/>
        <v>2348000</v>
      </c>
      <c r="M34" s="41">
        <f t="shared" si="10"/>
        <v>762.7</v>
      </c>
      <c r="N34" s="14">
        <f t="shared" si="10"/>
        <v>2729650</v>
      </c>
      <c r="O34" s="41">
        <f t="shared" si="10"/>
        <v>36909115</v>
      </c>
    </row>
    <row r="35" spans="1:15" ht="15.75">
      <c r="A35" s="32" t="s">
        <v>76</v>
      </c>
      <c r="B35" s="32">
        <v>0.2</v>
      </c>
      <c r="C35" s="14">
        <f t="shared" ref="C35:O35" si="11">C34/30</f>
        <v>4157.2833333333338</v>
      </c>
      <c r="D35" s="14">
        <f t="shared" si="11"/>
        <v>717092.5</v>
      </c>
      <c r="E35" s="14">
        <f t="shared" si="11"/>
        <v>64.570000000000007</v>
      </c>
      <c r="F35" s="14">
        <f t="shared" si="11"/>
        <v>154968</v>
      </c>
      <c r="G35" s="15">
        <f t="shared" si="11"/>
        <v>27.816666666666666</v>
      </c>
      <c r="H35" s="14">
        <f t="shared" si="11"/>
        <v>61805</v>
      </c>
      <c r="I35" s="15">
        <f t="shared" si="11"/>
        <v>48.916666666666664</v>
      </c>
      <c r="J35" s="14">
        <f t="shared" si="11"/>
        <v>127183.33333333333</v>
      </c>
      <c r="K35" s="15">
        <f t="shared" si="11"/>
        <v>19.566666666666666</v>
      </c>
      <c r="L35" s="14">
        <f t="shared" si="11"/>
        <v>78266.666666666672</v>
      </c>
      <c r="M35" s="15">
        <f t="shared" si="11"/>
        <v>25.423333333333336</v>
      </c>
      <c r="N35" s="14">
        <f t="shared" si="11"/>
        <v>90988.333333333328</v>
      </c>
      <c r="O35" s="15">
        <f t="shared" si="11"/>
        <v>1230303.8333333333</v>
      </c>
    </row>
    <row r="36" spans="1:15" ht="15.75">
      <c r="A36" s="32" t="s">
        <v>77</v>
      </c>
      <c r="B36" s="32" t="s">
        <v>66</v>
      </c>
      <c r="C36" s="14">
        <f t="shared" ref="C36:O36" si="12">C35*5</f>
        <v>20786.416666666668</v>
      </c>
      <c r="D36" s="14">
        <f t="shared" si="12"/>
        <v>3585462.5</v>
      </c>
      <c r="E36" s="14">
        <f t="shared" si="12"/>
        <v>322.85000000000002</v>
      </c>
      <c r="F36" s="14">
        <f t="shared" si="12"/>
        <v>774840</v>
      </c>
      <c r="G36" s="15">
        <f t="shared" si="12"/>
        <v>139.08333333333334</v>
      </c>
      <c r="H36" s="14">
        <f t="shared" si="12"/>
        <v>309025</v>
      </c>
      <c r="I36" s="15">
        <f t="shared" si="12"/>
        <v>244.58333333333331</v>
      </c>
      <c r="J36" s="14">
        <f t="shared" si="12"/>
        <v>635916.66666666663</v>
      </c>
      <c r="K36" s="15">
        <f t="shared" si="12"/>
        <v>97.833333333333329</v>
      </c>
      <c r="L36" s="14">
        <f t="shared" si="12"/>
        <v>391333.33333333337</v>
      </c>
      <c r="M36" s="15">
        <f t="shared" si="12"/>
        <v>127.11666666666667</v>
      </c>
      <c r="N36" s="14">
        <f t="shared" si="12"/>
        <v>454941.66666666663</v>
      </c>
      <c r="O36" s="15">
        <f t="shared" si="12"/>
        <v>6151519.166666666</v>
      </c>
    </row>
  </sheetData>
  <mergeCells count="9">
    <mergeCell ref="K1:L1"/>
    <mergeCell ref="M1:N1"/>
    <mergeCell ref="O1:O3"/>
    <mergeCell ref="A1:A3"/>
    <mergeCell ref="B1:B3"/>
    <mergeCell ref="C1:D1"/>
    <mergeCell ref="E1:F1"/>
    <mergeCell ref="G1:H1"/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P37"/>
  <sheetViews>
    <sheetView zoomScale="60" zoomScaleNormal="60" workbookViewId="0">
      <selection activeCell="C36" sqref="C36"/>
    </sheetView>
  </sheetViews>
  <sheetFormatPr defaultRowHeight="15"/>
  <cols>
    <col min="4" max="4" width="10.625" customWidth="1"/>
    <col min="13" max="13" width="10.75" bestFit="1" customWidth="1"/>
    <col min="15" max="15" width="12.125" customWidth="1"/>
  </cols>
  <sheetData>
    <row r="2" spans="1:16">
      <c r="A2" s="215" t="s">
        <v>79</v>
      </c>
      <c r="B2" s="215" t="s">
        <v>74</v>
      </c>
      <c r="C2" s="212" t="s">
        <v>98</v>
      </c>
      <c r="D2" s="212"/>
      <c r="E2" s="212" t="s">
        <v>100</v>
      </c>
      <c r="F2" s="212"/>
      <c r="G2" s="212" t="s">
        <v>101</v>
      </c>
      <c r="H2" s="212"/>
      <c r="I2" s="212" t="s">
        <v>102</v>
      </c>
      <c r="J2" s="212"/>
      <c r="K2" s="212" t="s">
        <v>103</v>
      </c>
      <c r="L2" s="216"/>
      <c r="M2" s="217"/>
      <c r="N2" s="217"/>
      <c r="O2" s="217"/>
      <c r="P2" s="217"/>
    </row>
    <row r="3" spans="1:16">
      <c r="A3" s="215"/>
      <c r="B3" s="215"/>
      <c r="C3" s="13" t="s">
        <v>65</v>
      </c>
      <c r="D3" s="13" t="s">
        <v>90</v>
      </c>
      <c r="E3" s="13" t="s">
        <v>65</v>
      </c>
      <c r="F3" s="13" t="s">
        <v>90</v>
      </c>
      <c r="G3" s="13" t="s">
        <v>65</v>
      </c>
      <c r="H3" s="13" t="s">
        <v>90</v>
      </c>
      <c r="I3" s="13" t="s">
        <v>65</v>
      </c>
      <c r="J3" s="13" t="s">
        <v>90</v>
      </c>
      <c r="K3" s="13" t="s">
        <v>65</v>
      </c>
      <c r="L3" s="39" t="s">
        <v>90</v>
      </c>
      <c r="M3" s="52"/>
      <c r="N3" s="53"/>
      <c r="O3" s="52" t="s">
        <v>104</v>
      </c>
      <c r="P3" s="53"/>
    </row>
    <row r="4" spans="1:16">
      <c r="A4" s="215"/>
      <c r="B4" s="215"/>
      <c r="C4" s="13" t="s">
        <v>99</v>
      </c>
      <c r="D4" s="13" t="s">
        <v>61</v>
      </c>
      <c r="E4" s="13" t="s">
        <v>94</v>
      </c>
      <c r="F4" s="13" t="s">
        <v>61</v>
      </c>
      <c r="G4" s="39" t="s">
        <v>99</v>
      </c>
      <c r="H4" s="13" t="s">
        <v>61</v>
      </c>
      <c r="I4" s="13" t="s">
        <v>99</v>
      </c>
      <c r="J4" s="13" t="s">
        <v>61</v>
      </c>
      <c r="K4" s="13" t="s">
        <v>94</v>
      </c>
      <c r="L4" s="39" t="s">
        <v>61</v>
      </c>
      <c r="M4" s="52"/>
      <c r="N4" s="53"/>
      <c r="O4" s="52"/>
      <c r="P4" s="53"/>
    </row>
    <row r="5" spans="1:16" ht="15.75">
      <c r="A5" s="33">
        <v>1</v>
      </c>
      <c r="B5" s="42">
        <v>0.1</v>
      </c>
      <c r="C5" s="17">
        <v>0</v>
      </c>
      <c r="D5" s="17">
        <v>0</v>
      </c>
      <c r="E5" s="17">
        <v>3</v>
      </c>
      <c r="F5" s="17">
        <f>55000*E5</f>
        <v>165000</v>
      </c>
      <c r="G5" s="47">
        <f>0.133*10</f>
        <v>1.33</v>
      </c>
      <c r="H5" s="47">
        <f>180*G5</f>
        <v>239.4</v>
      </c>
      <c r="I5" s="17">
        <f>0.1*10</f>
        <v>1</v>
      </c>
      <c r="J5" s="17">
        <f>100*I5</f>
        <v>100</v>
      </c>
      <c r="K5" s="17">
        <v>3</v>
      </c>
      <c r="L5" s="55">
        <f>50000*K5</f>
        <v>150000</v>
      </c>
      <c r="M5" s="54">
        <f>F5+H5+J5+L5</f>
        <v>315339.40000000002</v>
      </c>
      <c r="N5" s="56">
        <v>574450</v>
      </c>
      <c r="O5" s="54">
        <f>M5+N5</f>
        <v>889789.4</v>
      </c>
      <c r="P5" s="51"/>
    </row>
    <row r="6" spans="1:16" ht="15.75">
      <c r="A6" s="34">
        <v>2</v>
      </c>
      <c r="B6" s="43">
        <v>0.2</v>
      </c>
      <c r="C6" s="18">
        <v>2</v>
      </c>
      <c r="D6" s="18">
        <f>135000*C6</f>
        <v>270000</v>
      </c>
      <c r="E6" s="18">
        <v>5</v>
      </c>
      <c r="F6" s="17">
        <f t="shared" ref="F6:F34" si="0">55000*E6</f>
        <v>275000</v>
      </c>
      <c r="G6" s="45">
        <f>0.133*20</f>
        <v>2.66</v>
      </c>
      <c r="H6" s="47">
        <f t="shared" ref="H6:H34" si="1">180*G6</f>
        <v>478.8</v>
      </c>
      <c r="I6" s="18">
        <f>0.1*20</f>
        <v>2</v>
      </c>
      <c r="J6" s="17">
        <f t="shared" ref="J6:J34" si="2">100*I6</f>
        <v>200</v>
      </c>
      <c r="K6" s="18">
        <v>4</v>
      </c>
      <c r="L6" s="55">
        <f t="shared" ref="L6:L34" si="3">50000*K6</f>
        <v>200000</v>
      </c>
      <c r="M6" s="54">
        <f t="shared" ref="M6:M34" si="4">F6+H6+J6+L6</f>
        <v>475678.8</v>
      </c>
      <c r="N6" s="56">
        <v>1148900</v>
      </c>
      <c r="O6" s="54">
        <f t="shared" ref="O6:O34" si="5">M6+N6</f>
        <v>1624578.8</v>
      </c>
      <c r="P6" s="51"/>
    </row>
    <row r="7" spans="1:16" ht="15.75">
      <c r="A7" s="34">
        <v>3</v>
      </c>
      <c r="B7" s="43">
        <v>0.12</v>
      </c>
      <c r="C7" s="18">
        <v>1</v>
      </c>
      <c r="D7" s="18">
        <f t="shared" ref="D7:D34" si="6">135000*C7</f>
        <v>135000</v>
      </c>
      <c r="E7" s="45">
        <v>5</v>
      </c>
      <c r="F7" s="17">
        <f t="shared" si="0"/>
        <v>275000</v>
      </c>
      <c r="G7" s="45">
        <f>0.133*12</f>
        <v>1.5960000000000001</v>
      </c>
      <c r="H7" s="47">
        <f t="shared" si="1"/>
        <v>287.28000000000003</v>
      </c>
      <c r="I7" s="18">
        <v>3</v>
      </c>
      <c r="J7" s="17">
        <f t="shared" si="2"/>
        <v>300</v>
      </c>
      <c r="K7" s="18">
        <v>2</v>
      </c>
      <c r="L7" s="55">
        <f t="shared" si="3"/>
        <v>100000</v>
      </c>
      <c r="M7" s="54">
        <f t="shared" si="4"/>
        <v>375587.28</v>
      </c>
      <c r="N7" s="56">
        <v>689340</v>
      </c>
      <c r="O7" s="54">
        <f t="shared" si="5"/>
        <v>1064927.28</v>
      </c>
      <c r="P7" s="51"/>
    </row>
    <row r="8" spans="1:16" ht="15.75">
      <c r="A8" s="34">
        <v>4</v>
      </c>
      <c r="B8" s="43">
        <v>0.1</v>
      </c>
      <c r="C8" s="18">
        <v>0</v>
      </c>
      <c r="D8" s="18">
        <f t="shared" si="6"/>
        <v>0</v>
      </c>
      <c r="E8" s="18">
        <v>5</v>
      </c>
      <c r="F8" s="17">
        <f t="shared" si="0"/>
        <v>275000</v>
      </c>
      <c r="G8" s="45">
        <f>0.133*10</f>
        <v>1.33</v>
      </c>
      <c r="H8" s="47">
        <f t="shared" si="1"/>
        <v>239.4</v>
      </c>
      <c r="I8" s="18">
        <v>1</v>
      </c>
      <c r="J8" s="17">
        <f t="shared" si="2"/>
        <v>100</v>
      </c>
      <c r="K8" s="18">
        <v>3</v>
      </c>
      <c r="L8" s="55">
        <f t="shared" si="3"/>
        <v>150000</v>
      </c>
      <c r="M8" s="54">
        <f t="shared" si="4"/>
        <v>425339.4</v>
      </c>
      <c r="N8" s="56">
        <v>574450</v>
      </c>
      <c r="O8" s="54">
        <f t="shared" si="5"/>
        <v>999789.4</v>
      </c>
      <c r="P8" s="51"/>
    </row>
    <row r="9" spans="1:16" ht="15.75">
      <c r="A9" s="34">
        <v>5</v>
      </c>
      <c r="B9" s="43">
        <v>0.08</v>
      </c>
      <c r="C9" s="18">
        <v>2</v>
      </c>
      <c r="D9" s="18">
        <f t="shared" si="6"/>
        <v>270000</v>
      </c>
      <c r="E9" s="45">
        <v>6</v>
      </c>
      <c r="F9" s="17">
        <f t="shared" si="0"/>
        <v>330000</v>
      </c>
      <c r="G9" s="45">
        <f>0.133*8</f>
        <v>1.0640000000000001</v>
      </c>
      <c r="H9" s="47">
        <f t="shared" si="1"/>
        <v>191.52</v>
      </c>
      <c r="I9" s="18">
        <f>1</f>
        <v>1</v>
      </c>
      <c r="J9" s="17">
        <f t="shared" si="2"/>
        <v>100</v>
      </c>
      <c r="K9" s="18">
        <v>2</v>
      </c>
      <c r="L9" s="55">
        <f t="shared" si="3"/>
        <v>100000</v>
      </c>
      <c r="M9" s="54">
        <f t="shared" si="4"/>
        <v>430291.52</v>
      </c>
      <c r="N9" s="56">
        <v>459560</v>
      </c>
      <c r="O9" s="54">
        <f t="shared" si="5"/>
        <v>889851.52</v>
      </c>
      <c r="P9" s="51"/>
    </row>
    <row r="10" spans="1:16" ht="15.75">
      <c r="A10" s="34">
        <v>6</v>
      </c>
      <c r="B10" s="43">
        <v>0.25</v>
      </c>
      <c r="C10" s="45">
        <v>2</v>
      </c>
      <c r="D10" s="18">
        <f t="shared" si="6"/>
        <v>270000</v>
      </c>
      <c r="E10" s="45">
        <v>6</v>
      </c>
      <c r="F10" s="17">
        <f t="shared" si="0"/>
        <v>330000</v>
      </c>
      <c r="G10" s="45">
        <f>0.133*25</f>
        <v>3.3250000000000002</v>
      </c>
      <c r="H10" s="47">
        <f t="shared" si="1"/>
        <v>598.5</v>
      </c>
      <c r="I10" s="45">
        <f>0.1*25</f>
        <v>2.5</v>
      </c>
      <c r="J10" s="17">
        <f t="shared" si="2"/>
        <v>250</v>
      </c>
      <c r="K10" s="18">
        <v>4</v>
      </c>
      <c r="L10" s="55">
        <f t="shared" si="3"/>
        <v>200000</v>
      </c>
      <c r="M10" s="54">
        <f t="shared" si="4"/>
        <v>530848.5</v>
      </c>
      <c r="N10" s="56">
        <v>1436125</v>
      </c>
      <c r="O10" s="54">
        <f t="shared" si="5"/>
        <v>1966973.5</v>
      </c>
      <c r="P10" s="51"/>
    </row>
    <row r="11" spans="1:16" ht="15.75">
      <c r="A11" s="34">
        <v>7</v>
      </c>
      <c r="B11" s="43">
        <v>0.25</v>
      </c>
      <c r="C11" s="45">
        <v>2</v>
      </c>
      <c r="D11" s="18">
        <f t="shared" si="6"/>
        <v>270000</v>
      </c>
      <c r="E11" s="45">
        <v>6</v>
      </c>
      <c r="F11" s="17">
        <f t="shared" si="0"/>
        <v>330000</v>
      </c>
      <c r="G11" s="45">
        <f>0.133*25</f>
        <v>3.3250000000000002</v>
      </c>
      <c r="H11" s="47">
        <f t="shared" si="1"/>
        <v>598.5</v>
      </c>
      <c r="I11" s="45">
        <v>3</v>
      </c>
      <c r="J11" s="17">
        <f t="shared" si="2"/>
        <v>300</v>
      </c>
      <c r="K11" s="18">
        <v>0</v>
      </c>
      <c r="L11" s="55">
        <f t="shared" si="3"/>
        <v>0</v>
      </c>
      <c r="M11" s="54">
        <f t="shared" si="4"/>
        <v>330898.5</v>
      </c>
      <c r="N11" s="56">
        <v>1436125</v>
      </c>
      <c r="O11" s="54">
        <f t="shared" si="5"/>
        <v>1767023.5</v>
      </c>
      <c r="P11" s="51"/>
    </row>
    <row r="12" spans="1:16" ht="15.75">
      <c r="A12" s="34">
        <v>8</v>
      </c>
      <c r="B12" s="43">
        <v>0.35</v>
      </c>
      <c r="C12" s="45">
        <v>4</v>
      </c>
      <c r="D12" s="18">
        <f t="shared" si="6"/>
        <v>540000</v>
      </c>
      <c r="E12" s="45">
        <v>9</v>
      </c>
      <c r="F12" s="17">
        <f t="shared" si="0"/>
        <v>495000</v>
      </c>
      <c r="G12" s="45">
        <f>0.133*35</f>
        <v>4.6550000000000002</v>
      </c>
      <c r="H12" s="47">
        <f t="shared" si="1"/>
        <v>837.90000000000009</v>
      </c>
      <c r="I12" s="45">
        <v>0</v>
      </c>
      <c r="J12" s="17">
        <f t="shared" si="2"/>
        <v>0</v>
      </c>
      <c r="K12" s="18">
        <v>5</v>
      </c>
      <c r="L12" s="55">
        <f t="shared" si="3"/>
        <v>250000</v>
      </c>
      <c r="M12" s="54">
        <f t="shared" si="4"/>
        <v>745837.9</v>
      </c>
      <c r="N12" s="56">
        <v>2010575</v>
      </c>
      <c r="O12" s="54">
        <f t="shared" si="5"/>
        <v>2756412.9</v>
      </c>
      <c r="P12" s="51"/>
    </row>
    <row r="13" spans="1:16" ht="15.75">
      <c r="A13" s="34">
        <v>9</v>
      </c>
      <c r="B13" s="43">
        <v>0.3</v>
      </c>
      <c r="C13" s="18">
        <v>2</v>
      </c>
      <c r="D13" s="18">
        <f t="shared" si="6"/>
        <v>270000</v>
      </c>
      <c r="E13" s="45">
        <f>0.24*30</f>
        <v>7.1999999999999993</v>
      </c>
      <c r="F13" s="17">
        <f t="shared" si="0"/>
        <v>395999.99999999994</v>
      </c>
      <c r="G13" s="45">
        <f>0.133*30</f>
        <v>3.99</v>
      </c>
      <c r="H13" s="47">
        <f t="shared" si="1"/>
        <v>718.2</v>
      </c>
      <c r="I13" s="18">
        <v>0</v>
      </c>
      <c r="J13" s="17">
        <f t="shared" si="2"/>
        <v>0</v>
      </c>
      <c r="K13" s="18">
        <v>5</v>
      </c>
      <c r="L13" s="55">
        <f t="shared" si="3"/>
        <v>250000</v>
      </c>
      <c r="M13" s="54">
        <f t="shared" si="4"/>
        <v>646718.19999999995</v>
      </c>
      <c r="N13" s="56">
        <v>1723350</v>
      </c>
      <c r="O13" s="54">
        <f t="shared" si="5"/>
        <v>2370068.2000000002</v>
      </c>
      <c r="P13" s="51"/>
    </row>
    <row r="14" spans="1:16" ht="15.75">
      <c r="A14" s="34">
        <v>10</v>
      </c>
      <c r="B14" s="43">
        <v>0.2</v>
      </c>
      <c r="C14" s="18">
        <v>2</v>
      </c>
      <c r="D14" s="18">
        <f t="shared" si="6"/>
        <v>270000</v>
      </c>
      <c r="E14" s="45">
        <f>0.24*20</f>
        <v>4.8</v>
      </c>
      <c r="F14" s="17">
        <f t="shared" si="0"/>
        <v>264000</v>
      </c>
      <c r="G14" s="45">
        <f>0.133*20</f>
        <v>2.66</v>
      </c>
      <c r="H14" s="47">
        <f t="shared" si="1"/>
        <v>478.8</v>
      </c>
      <c r="I14" s="18">
        <f>0.1*20</f>
        <v>2</v>
      </c>
      <c r="J14" s="17">
        <f t="shared" si="2"/>
        <v>200</v>
      </c>
      <c r="K14" s="18">
        <v>4</v>
      </c>
      <c r="L14" s="55">
        <f t="shared" si="3"/>
        <v>200000</v>
      </c>
      <c r="M14" s="54">
        <f t="shared" si="4"/>
        <v>464678.8</v>
      </c>
      <c r="N14" s="56">
        <v>1148900</v>
      </c>
      <c r="O14" s="54">
        <f t="shared" si="5"/>
        <v>1613578.8</v>
      </c>
      <c r="P14" s="51"/>
    </row>
    <row r="15" spans="1:16" ht="15.75">
      <c r="A15" s="34">
        <v>11</v>
      </c>
      <c r="B15" s="43">
        <v>0.1</v>
      </c>
      <c r="C15" s="18">
        <v>1</v>
      </c>
      <c r="D15" s="18">
        <f t="shared" si="6"/>
        <v>135000</v>
      </c>
      <c r="E15" s="18">
        <v>0</v>
      </c>
      <c r="F15" s="17">
        <f t="shared" si="0"/>
        <v>0</v>
      </c>
      <c r="G15" s="18">
        <v>1</v>
      </c>
      <c r="H15" s="47">
        <f t="shared" si="1"/>
        <v>180</v>
      </c>
      <c r="I15" s="18">
        <f>0.1*10</f>
        <v>1</v>
      </c>
      <c r="J15" s="17">
        <f t="shared" si="2"/>
        <v>100</v>
      </c>
      <c r="K15" s="18">
        <v>2</v>
      </c>
      <c r="L15" s="55">
        <f t="shared" si="3"/>
        <v>100000</v>
      </c>
      <c r="M15" s="54">
        <f t="shared" si="4"/>
        <v>100280</v>
      </c>
      <c r="N15" s="56">
        <v>574450</v>
      </c>
      <c r="O15" s="54">
        <f t="shared" si="5"/>
        <v>674730</v>
      </c>
      <c r="P15" s="51"/>
    </row>
    <row r="16" spans="1:16" ht="15.75">
      <c r="A16" s="34">
        <v>12</v>
      </c>
      <c r="B16" s="43">
        <v>0.25</v>
      </c>
      <c r="C16" s="45">
        <v>2</v>
      </c>
      <c r="D16" s="18">
        <f t="shared" si="6"/>
        <v>270000</v>
      </c>
      <c r="E16" s="45">
        <v>0</v>
      </c>
      <c r="F16" s="17">
        <f t="shared" si="0"/>
        <v>0</v>
      </c>
      <c r="G16" s="18">
        <v>3</v>
      </c>
      <c r="H16" s="47">
        <f t="shared" si="1"/>
        <v>540</v>
      </c>
      <c r="I16" s="45">
        <f>0.1*25</f>
        <v>2.5</v>
      </c>
      <c r="J16" s="17">
        <f t="shared" si="2"/>
        <v>250</v>
      </c>
      <c r="K16" s="18">
        <v>4</v>
      </c>
      <c r="L16" s="55">
        <f t="shared" si="3"/>
        <v>200000</v>
      </c>
      <c r="M16" s="54">
        <f t="shared" si="4"/>
        <v>200790</v>
      </c>
      <c r="N16" s="56">
        <v>1436125</v>
      </c>
      <c r="O16" s="54">
        <f t="shared" si="5"/>
        <v>1636915</v>
      </c>
      <c r="P16" s="51"/>
    </row>
    <row r="17" spans="1:16" ht="15.75">
      <c r="A17" s="34">
        <v>13</v>
      </c>
      <c r="B17" s="43">
        <v>0.23</v>
      </c>
      <c r="C17" s="45">
        <v>3</v>
      </c>
      <c r="D17" s="18">
        <f t="shared" si="6"/>
        <v>405000</v>
      </c>
      <c r="E17" s="45">
        <f>0.24*23</f>
        <v>5.52</v>
      </c>
      <c r="F17" s="17">
        <f t="shared" si="0"/>
        <v>303600</v>
      </c>
      <c r="G17" s="45">
        <f>0.133*23</f>
        <v>3.0590000000000002</v>
      </c>
      <c r="H17" s="47">
        <f t="shared" si="1"/>
        <v>550.62</v>
      </c>
      <c r="I17" s="45">
        <f>0.1*23</f>
        <v>2.3000000000000003</v>
      </c>
      <c r="J17" s="17">
        <f t="shared" si="2"/>
        <v>230.00000000000003</v>
      </c>
      <c r="K17" s="18">
        <v>0</v>
      </c>
      <c r="L17" s="55">
        <f t="shared" si="3"/>
        <v>0</v>
      </c>
      <c r="M17" s="54">
        <f t="shared" si="4"/>
        <v>304380.62</v>
      </c>
      <c r="N17" s="56">
        <v>1321235</v>
      </c>
      <c r="O17" s="54">
        <f t="shared" si="5"/>
        <v>1625615.62</v>
      </c>
      <c r="P17" s="51"/>
    </row>
    <row r="18" spans="1:16" ht="15.75">
      <c r="A18" s="34">
        <v>14</v>
      </c>
      <c r="B18" s="43">
        <v>0.35</v>
      </c>
      <c r="C18" s="45">
        <v>5</v>
      </c>
      <c r="D18" s="18">
        <f t="shared" si="6"/>
        <v>675000</v>
      </c>
      <c r="E18" s="45">
        <f>0.24*35</f>
        <v>8.4</v>
      </c>
      <c r="F18" s="17">
        <f t="shared" si="0"/>
        <v>462000</v>
      </c>
      <c r="G18" s="18">
        <v>5</v>
      </c>
      <c r="H18" s="47">
        <f t="shared" si="1"/>
        <v>900</v>
      </c>
      <c r="I18" s="45">
        <v>0</v>
      </c>
      <c r="J18" s="17">
        <f t="shared" si="2"/>
        <v>0</v>
      </c>
      <c r="K18" s="18">
        <v>0</v>
      </c>
      <c r="L18" s="55">
        <f t="shared" si="3"/>
        <v>0</v>
      </c>
      <c r="M18" s="54">
        <f t="shared" si="4"/>
        <v>462900</v>
      </c>
      <c r="N18" s="56">
        <v>2010575</v>
      </c>
      <c r="O18" s="54">
        <f t="shared" si="5"/>
        <v>2473475</v>
      </c>
      <c r="P18" s="51"/>
    </row>
    <row r="19" spans="1:16" ht="15.75">
      <c r="A19" s="34">
        <v>15</v>
      </c>
      <c r="B19" s="43">
        <v>0.27</v>
      </c>
      <c r="C19" s="45">
        <v>3</v>
      </c>
      <c r="D19" s="18">
        <f t="shared" si="6"/>
        <v>405000</v>
      </c>
      <c r="E19" s="45">
        <v>0</v>
      </c>
      <c r="F19" s="17">
        <f t="shared" si="0"/>
        <v>0</v>
      </c>
      <c r="G19" s="45">
        <f>0.133*27</f>
        <v>3.5910000000000002</v>
      </c>
      <c r="H19" s="47">
        <f t="shared" si="1"/>
        <v>646.38</v>
      </c>
      <c r="I19" s="45">
        <f>0.1*27</f>
        <v>2.7</v>
      </c>
      <c r="J19" s="17">
        <f t="shared" si="2"/>
        <v>270</v>
      </c>
      <c r="K19" s="18">
        <v>3</v>
      </c>
      <c r="L19" s="55">
        <f t="shared" si="3"/>
        <v>150000</v>
      </c>
      <c r="M19" s="54">
        <f t="shared" si="4"/>
        <v>150916.38</v>
      </c>
      <c r="N19" s="56">
        <v>1551015</v>
      </c>
      <c r="O19" s="54">
        <f t="shared" si="5"/>
        <v>1701931.38</v>
      </c>
      <c r="P19" s="51"/>
    </row>
    <row r="20" spans="1:16" ht="15.75">
      <c r="A20" s="34">
        <v>16</v>
      </c>
      <c r="B20" s="43">
        <v>0.12</v>
      </c>
      <c r="C20" s="18">
        <v>1</v>
      </c>
      <c r="D20" s="18">
        <f t="shared" si="6"/>
        <v>135000</v>
      </c>
      <c r="E20" s="45">
        <v>0</v>
      </c>
      <c r="F20" s="17">
        <f t="shared" si="0"/>
        <v>0</v>
      </c>
      <c r="G20" s="18">
        <v>2</v>
      </c>
      <c r="H20" s="47">
        <f t="shared" si="1"/>
        <v>360</v>
      </c>
      <c r="I20" s="18">
        <v>2</v>
      </c>
      <c r="J20" s="17">
        <f t="shared" si="2"/>
        <v>200</v>
      </c>
      <c r="K20" s="18">
        <v>2</v>
      </c>
      <c r="L20" s="55">
        <f t="shared" si="3"/>
        <v>100000</v>
      </c>
      <c r="M20" s="54">
        <f t="shared" si="4"/>
        <v>100560</v>
      </c>
      <c r="N20" s="56">
        <v>3494340</v>
      </c>
      <c r="O20" s="54">
        <f t="shared" si="5"/>
        <v>3594900</v>
      </c>
      <c r="P20" s="51"/>
    </row>
    <row r="21" spans="1:16" ht="15.75">
      <c r="A21" s="34">
        <v>17</v>
      </c>
      <c r="B21" s="43">
        <v>0.28999999999999998</v>
      </c>
      <c r="C21" s="45">
        <v>4</v>
      </c>
      <c r="D21" s="18">
        <f t="shared" si="6"/>
        <v>540000</v>
      </c>
      <c r="E21" s="45">
        <v>3</v>
      </c>
      <c r="F21" s="17">
        <f t="shared" si="0"/>
        <v>165000</v>
      </c>
      <c r="G21" s="45">
        <f>0.133*29</f>
        <v>3.8570000000000002</v>
      </c>
      <c r="H21" s="47">
        <f t="shared" si="1"/>
        <v>694.26</v>
      </c>
      <c r="I21" s="45">
        <f>0.1*29</f>
        <v>2.9000000000000004</v>
      </c>
      <c r="J21" s="17">
        <f t="shared" si="2"/>
        <v>290.00000000000006</v>
      </c>
      <c r="K21" s="18">
        <v>4</v>
      </c>
      <c r="L21" s="55">
        <f t="shared" si="3"/>
        <v>200000</v>
      </c>
      <c r="M21" s="54">
        <f t="shared" si="4"/>
        <v>365984.26</v>
      </c>
      <c r="N21" s="56">
        <v>1665905</v>
      </c>
      <c r="O21" s="54">
        <f t="shared" si="5"/>
        <v>2031889.26</v>
      </c>
      <c r="P21" s="51"/>
    </row>
    <row r="22" spans="1:16" ht="15.75">
      <c r="A22" s="34">
        <v>18</v>
      </c>
      <c r="B22" s="43">
        <v>0.28000000000000003</v>
      </c>
      <c r="C22" s="18">
        <v>3</v>
      </c>
      <c r="D22" s="18">
        <f t="shared" si="6"/>
        <v>405000</v>
      </c>
      <c r="E22" s="45">
        <v>4</v>
      </c>
      <c r="F22" s="17">
        <f t="shared" si="0"/>
        <v>220000</v>
      </c>
      <c r="G22" s="18">
        <v>3</v>
      </c>
      <c r="H22" s="47">
        <f t="shared" si="1"/>
        <v>540</v>
      </c>
      <c r="I22" s="18">
        <v>3</v>
      </c>
      <c r="J22" s="17">
        <f t="shared" si="2"/>
        <v>300</v>
      </c>
      <c r="K22" s="18">
        <v>4</v>
      </c>
      <c r="L22" s="55">
        <f t="shared" si="3"/>
        <v>200000</v>
      </c>
      <c r="M22" s="54">
        <f t="shared" si="4"/>
        <v>420840</v>
      </c>
      <c r="N22" s="56">
        <v>1608460</v>
      </c>
      <c r="O22" s="54">
        <f t="shared" si="5"/>
        <v>2029300</v>
      </c>
      <c r="P22" s="51"/>
    </row>
    <row r="23" spans="1:16" ht="15.75">
      <c r="A23" s="34">
        <v>19</v>
      </c>
      <c r="B23" s="43">
        <v>0.38</v>
      </c>
      <c r="C23" s="18">
        <v>5</v>
      </c>
      <c r="D23" s="18">
        <f t="shared" si="6"/>
        <v>675000</v>
      </c>
      <c r="E23" s="45">
        <v>7</v>
      </c>
      <c r="F23" s="17">
        <f t="shared" si="0"/>
        <v>385000</v>
      </c>
      <c r="G23" s="18">
        <v>7</v>
      </c>
      <c r="H23" s="47">
        <f t="shared" si="1"/>
        <v>1260</v>
      </c>
      <c r="I23" s="18">
        <f>5</f>
        <v>5</v>
      </c>
      <c r="J23" s="17">
        <f t="shared" si="2"/>
        <v>500</v>
      </c>
      <c r="K23" s="18">
        <v>5</v>
      </c>
      <c r="L23" s="55">
        <f t="shared" si="3"/>
        <v>250000</v>
      </c>
      <c r="M23" s="54">
        <f t="shared" si="4"/>
        <v>636760</v>
      </c>
      <c r="N23" s="56">
        <v>2180060</v>
      </c>
      <c r="O23" s="54">
        <f t="shared" si="5"/>
        <v>2816820</v>
      </c>
      <c r="P23" s="51"/>
    </row>
    <row r="24" spans="1:16" ht="15.75">
      <c r="A24" s="34">
        <v>20</v>
      </c>
      <c r="B24" s="43">
        <v>0.1</v>
      </c>
      <c r="C24" s="45">
        <f>0.16*10</f>
        <v>1.6</v>
      </c>
      <c r="D24" s="18">
        <f t="shared" si="6"/>
        <v>216000</v>
      </c>
      <c r="E24" s="18">
        <v>5</v>
      </c>
      <c r="F24" s="17">
        <f t="shared" si="0"/>
        <v>275000</v>
      </c>
      <c r="G24" s="18">
        <v>1</v>
      </c>
      <c r="H24" s="47">
        <f t="shared" si="1"/>
        <v>180</v>
      </c>
      <c r="I24" s="18">
        <v>2</v>
      </c>
      <c r="J24" s="17">
        <f t="shared" si="2"/>
        <v>200</v>
      </c>
      <c r="K24" s="18">
        <v>2</v>
      </c>
      <c r="L24" s="55">
        <f t="shared" si="3"/>
        <v>100000</v>
      </c>
      <c r="M24" s="54">
        <f t="shared" si="4"/>
        <v>375380</v>
      </c>
      <c r="N24" s="56">
        <v>597950</v>
      </c>
      <c r="O24" s="54">
        <f t="shared" si="5"/>
        <v>973330</v>
      </c>
      <c r="P24" s="51"/>
    </row>
    <row r="25" spans="1:16" ht="15.75">
      <c r="A25" s="34">
        <v>21</v>
      </c>
      <c r="B25" s="43">
        <v>0.08</v>
      </c>
      <c r="C25" s="45">
        <f>0.16*8</f>
        <v>1.28</v>
      </c>
      <c r="D25" s="18">
        <f t="shared" si="6"/>
        <v>172800</v>
      </c>
      <c r="E25" s="45">
        <v>2</v>
      </c>
      <c r="F25" s="17">
        <f t="shared" si="0"/>
        <v>110000</v>
      </c>
      <c r="G25" s="18">
        <v>1</v>
      </c>
      <c r="H25" s="47">
        <f t="shared" si="1"/>
        <v>180</v>
      </c>
      <c r="I25" s="18">
        <v>0</v>
      </c>
      <c r="J25" s="17">
        <f t="shared" si="2"/>
        <v>0</v>
      </c>
      <c r="K25" s="18">
        <v>1</v>
      </c>
      <c r="L25" s="55">
        <f t="shared" si="3"/>
        <v>50000</v>
      </c>
      <c r="M25" s="54">
        <f t="shared" si="4"/>
        <v>160180</v>
      </c>
      <c r="N25" s="56">
        <v>478360</v>
      </c>
      <c r="O25" s="54">
        <f t="shared" si="5"/>
        <v>638540</v>
      </c>
      <c r="P25" s="51"/>
    </row>
    <row r="26" spans="1:16" ht="15.75">
      <c r="A26" s="34">
        <v>22</v>
      </c>
      <c r="B26" s="43">
        <v>0.24</v>
      </c>
      <c r="C26" s="18">
        <v>0</v>
      </c>
      <c r="D26" s="18">
        <f t="shared" si="6"/>
        <v>0</v>
      </c>
      <c r="E26" s="45">
        <v>5</v>
      </c>
      <c r="F26" s="17">
        <f t="shared" si="0"/>
        <v>275000</v>
      </c>
      <c r="G26" s="18">
        <v>2</v>
      </c>
      <c r="H26" s="47">
        <f t="shared" si="1"/>
        <v>360</v>
      </c>
      <c r="I26" s="18">
        <v>4</v>
      </c>
      <c r="J26" s="17">
        <f t="shared" si="2"/>
        <v>400</v>
      </c>
      <c r="K26" s="18">
        <v>2</v>
      </c>
      <c r="L26" s="55">
        <f t="shared" si="3"/>
        <v>100000</v>
      </c>
      <c r="M26" s="54">
        <f t="shared" si="4"/>
        <v>375760</v>
      </c>
      <c r="N26" s="56">
        <v>1435080</v>
      </c>
      <c r="O26" s="54">
        <f t="shared" si="5"/>
        <v>1810840</v>
      </c>
      <c r="P26" s="51"/>
    </row>
    <row r="27" spans="1:16" ht="15.75">
      <c r="A27" s="34">
        <v>23</v>
      </c>
      <c r="B27" s="43">
        <v>0.2</v>
      </c>
      <c r="C27" s="18">
        <v>0</v>
      </c>
      <c r="D27" s="18">
        <f t="shared" si="6"/>
        <v>0</v>
      </c>
      <c r="E27" s="18">
        <v>4</v>
      </c>
      <c r="F27" s="17">
        <f t="shared" si="0"/>
        <v>220000</v>
      </c>
      <c r="G27" s="18">
        <v>3</v>
      </c>
      <c r="H27" s="47">
        <f t="shared" si="1"/>
        <v>540</v>
      </c>
      <c r="I27" s="18">
        <v>3</v>
      </c>
      <c r="J27" s="17">
        <f t="shared" si="2"/>
        <v>300</v>
      </c>
      <c r="K27" s="18">
        <v>3</v>
      </c>
      <c r="L27" s="55">
        <f t="shared" si="3"/>
        <v>150000</v>
      </c>
      <c r="M27" s="54">
        <f t="shared" si="4"/>
        <v>370840</v>
      </c>
      <c r="N27" s="56">
        <v>1195900</v>
      </c>
      <c r="O27" s="54">
        <f t="shared" si="5"/>
        <v>1566740</v>
      </c>
      <c r="P27" s="51"/>
    </row>
    <row r="28" spans="1:16" ht="15.75">
      <c r="A28" s="34">
        <v>24</v>
      </c>
      <c r="B28" s="43">
        <v>0.1</v>
      </c>
      <c r="C28" s="18">
        <v>2</v>
      </c>
      <c r="D28" s="18">
        <f t="shared" si="6"/>
        <v>270000</v>
      </c>
      <c r="E28" s="18">
        <v>5</v>
      </c>
      <c r="F28" s="17">
        <f t="shared" si="0"/>
        <v>275000</v>
      </c>
      <c r="G28" s="18">
        <v>1</v>
      </c>
      <c r="H28" s="47">
        <f t="shared" si="1"/>
        <v>180</v>
      </c>
      <c r="I28" s="18">
        <v>2</v>
      </c>
      <c r="J28" s="17">
        <f t="shared" si="2"/>
        <v>200</v>
      </c>
      <c r="K28" s="18">
        <v>0</v>
      </c>
      <c r="L28" s="55">
        <f t="shared" si="3"/>
        <v>0</v>
      </c>
      <c r="M28" s="54">
        <f t="shared" si="4"/>
        <v>275380</v>
      </c>
      <c r="N28" s="56">
        <v>597950</v>
      </c>
      <c r="O28" s="54">
        <f t="shared" si="5"/>
        <v>873330</v>
      </c>
      <c r="P28" s="51"/>
    </row>
    <row r="29" spans="1:16" ht="15.75">
      <c r="A29" s="34">
        <v>25</v>
      </c>
      <c r="B29" s="43">
        <v>0.14000000000000001</v>
      </c>
      <c r="C29" s="45">
        <f>0.16*14</f>
        <v>2.2400000000000002</v>
      </c>
      <c r="D29" s="18">
        <f t="shared" si="6"/>
        <v>302400</v>
      </c>
      <c r="E29" s="45">
        <v>7</v>
      </c>
      <c r="F29" s="17">
        <f t="shared" si="0"/>
        <v>385000</v>
      </c>
      <c r="G29" s="18">
        <v>2</v>
      </c>
      <c r="H29" s="47">
        <f t="shared" si="1"/>
        <v>360</v>
      </c>
      <c r="I29" s="18">
        <v>3</v>
      </c>
      <c r="J29" s="17">
        <f t="shared" si="2"/>
        <v>300</v>
      </c>
      <c r="K29" s="18">
        <v>0</v>
      </c>
      <c r="L29" s="55">
        <f t="shared" si="3"/>
        <v>0</v>
      </c>
      <c r="M29" s="54">
        <f t="shared" si="4"/>
        <v>385660</v>
      </c>
      <c r="N29" s="56">
        <v>837130</v>
      </c>
      <c r="O29" s="54">
        <f t="shared" si="5"/>
        <v>1222790</v>
      </c>
      <c r="P29" s="51"/>
    </row>
    <row r="30" spans="1:16" ht="15.75">
      <c r="A30" s="34">
        <v>26</v>
      </c>
      <c r="B30" s="43">
        <v>0.25</v>
      </c>
      <c r="C30" s="45">
        <f>0.16*25</f>
        <v>4</v>
      </c>
      <c r="D30" s="18">
        <f t="shared" si="6"/>
        <v>540000</v>
      </c>
      <c r="E30" s="45">
        <v>0</v>
      </c>
      <c r="F30" s="17">
        <f t="shared" si="0"/>
        <v>0</v>
      </c>
      <c r="G30" s="45">
        <v>3</v>
      </c>
      <c r="H30" s="47">
        <f t="shared" si="1"/>
        <v>540</v>
      </c>
      <c r="I30" s="45">
        <v>4</v>
      </c>
      <c r="J30" s="17">
        <f t="shared" si="2"/>
        <v>400</v>
      </c>
      <c r="K30" s="18">
        <v>4</v>
      </c>
      <c r="L30" s="55">
        <f t="shared" si="3"/>
        <v>200000</v>
      </c>
      <c r="M30" s="54">
        <f t="shared" si="4"/>
        <v>200940</v>
      </c>
      <c r="N30" s="56">
        <v>1494875</v>
      </c>
      <c r="O30" s="54">
        <f t="shared" si="5"/>
        <v>1695815</v>
      </c>
      <c r="P30" s="51"/>
    </row>
    <row r="31" spans="1:16" ht="15.75">
      <c r="A31" s="34">
        <v>27</v>
      </c>
      <c r="B31" s="43">
        <v>0.08</v>
      </c>
      <c r="C31" s="18">
        <v>0</v>
      </c>
      <c r="D31" s="18">
        <f t="shared" si="6"/>
        <v>0</v>
      </c>
      <c r="E31" s="45">
        <v>4</v>
      </c>
      <c r="F31" s="17">
        <f t="shared" si="0"/>
        <v>220000</v>
      </c>
      <c r="G31" s="18">
        <v>2</v>
      </c>
      <c r="H31" s="47">
        <f t="shared" si="1"/>
        <v>360</v>
      </c>
      <c r="I31" s="18">
        <v>3</v>
      </c>
      <c r="J31" s="17">
        <f t="shared" si="2"/>
        <v>300</v>
      </c>
      <c r="K31" s="18">
        <v>2</v>
      </c>
      <c r="L31" s="55">
        <f t="shared" si="3"/>
        <v>100000</v>
      </c>
      <c r="M31" s="54">
        <f t="shared" si="4"/>
        <v>320660</v>
      </c>
      <c r="N31" s="56">
        <v>477360</v>
      </c>
      <c r="O31" s="54">
        <f t="shared" si="5"/>
        <v>798020</v>
      </c>
      <c r="P31" s="51"/>
    </row>
    <row r="32" spans="1:16" ht="15.75">
      <c r="A32" s="34">
        <v>28</v>
      </c>
      <c r="B32" s="43">
        <v>0.2</v>
      </c>
      <c r="C32" s="18">
        <v>0</v>
      </c>
      <c r="D32" s="18">
        <f t="shared" si="6"/>
        <v>0</v>
      </c>
      <c r="E32" s="18">
        <v>4</v>
      </c>
      <c r="F32" s="17">
        <f t="shared" si="0"/>
        <v>220000</v>
      </c>
      <c r="G32" s="18">
        <v>4</v>
      </c>
      <c r="H32" s="47">
        <f t="shared" si="1"/>
        <v>720</v>
      </c>
      <c r="I32" s="18">
        <v>3</v>
      </c>
      <c r="J32" s="17">
        <f t="shared" si="2"/>
        <v>300</v>
      </c>
      <c r="K32" s="18">
        <v>3</v>
      </c>
      <c r="L32" s="55">
        <f t="shared" si="3"/>
        <v>150000</v>
      </c>
      <c r="M32" s="54">
        <f t="shared" si="4"/>
        <v>371020</v>
      </c>
      <c r="N32" s="56">
        <v>1195900</v>
      </c>
      <c r="O32" s="54">
        <f t="shared" si="5"/>
        <v>1566920</v>
      </c>
      <c r="P32" s="51"/>
    </row>
    <row r="33" spans="1:16" ht="15.75">
      <c r="A33" s="34">
        <v>29</v>
      </c>
      <c r="B33" s="43">
        <v>0.1</v>
      </c>
      <c r="C33" s="18">
        <v>1</v>
      </c>
      <c r="D33" s="18">
        <f t="shared" si="6"/>
        <v>135000</v>
      </c>
      <c r="E33" s="18">
        <v>3</v>
      </c>
      <c r="F33" s="17">
        <f t="shared" si="0"/>
        <v>165000</v>
      </c>
      <c r="G33" s="18">
        <v>2</v>
      </c>
      <c r="H33" s="47">
        <f t="shared" si="1"/>
        <v>360</v>
      </c>
      <c r="I33" s="18">
        <v>2</v>
      </c>
      <c r="J33" s="17">
        <f t="shared" si="2"/>
        <v>200</v>
      </c>
      <c r="K33" s="18">
        <v>1</v>
      </c>
      <c r="L33" s="55">
        <f t="shared" si="3"/>
        <v>50000</v>
      </c>
      <c r="M33" s="54">
        <f t="shared" si="4"/>
        <v>215560</v>
      </c>
      <c r="N33" s="56">
        <v>597950</v>
      </c>
      <c r="O33" s="54">
        <f t="shared" si="5"/>
        <v>813510</v>
      </c>
      <c r="P33" s="51"/>
    </row>
    <row r="34" spans="1:16" ht="15.75">
      <c r="A34" s="35">
        <v>30</v>
      </c>
      <c r="B34" s="44">
        <v>0.16</v>
      </c>
      <c r="C34" s="19">
        <v>0</v>
      </c>
      <c r="D34" s="18">
        <f t="shared" si="6"/>
        <v>0</v>
      </c>
      <c r="E34" s="46">
        <v>8</v>
      </c>
      <c r="F34" s="17">
        <f t="shared" si="0"/>
        <v>440000</v>
      </c>
      <c r="G34" s="19">
        <v>2</v>
      </c>
      <c r="H34" s="47">
        <f t="shared" si="1"/>
        <v>360</v>
      </c>
      <c r="I34" s="19">
        <v>3</v>
      </c>
      <c r="J34" s="17">
        <f t="shared" si="2"/>
        <v>300</v>
      </c>
      <c r="K34" s="19">
        <v>3</v>
      </c>
      <c r="L34" s="55">
        <f t="shared" si="3"/>
        <v>150000</v>
      </c>
      <c r="M34" s="54">
        <f t="shared" si="4"/>
        <v>590660</v>
      </c>
      <c r="N34" s="56">
        <v>956720</v>
      </c>
      <c r="O34" s="54">
        <f t="shared" si="5"/>
        <v>1547380</v>
      </c>
      <c r="P34" s="51"/>
    </row>
    <row r="35" spans="1:16" ht="15.75">
      <c r="A35" s="32" t="s">
        <v>65</v>
      </c>
      <c r="B35" s="32">
        <v>5.87</v>
      </c>
      <c r="C35" s="14">
        <f t="shared" ref="C35:M35" si="7">SUM(C5:C34)</f>
        <v>56.120000000000005</v>
      </c>
      <c r="D35" s="14">
        <f t="shared" si="7"/>
        <v>7576200</v>
      </c>
      <c r="E35" s="41">
        <f t="shared" si="7"/>
        <v>131.92000000000002</v>
      </c>
      <c r="F35" s="14">
        <f t="shared" si="7"/>
        <v>7255600</v>
      </c>
      <c r="G35" s="41">
        <f t="shared" si="7"/>
        <v>80.442000000000007</v>
      </c>
      <c r="H35" s="41">
        <f t="shared" si="7"/>
        <v>14479.56</v>
      </c>
      <c r="I35" s="41">
        <f t="shared" si="7"/>
        <v>65.900000000000006</v>
      </c>
      <c r="J35" s="14">
        <f t="shared" si="7"/>
        <v>6590</v>
      </c>
      <c r="K35" s="41">
        <f t="shared" si="7"/>
        <v>77</v>
      </c>
      <c r="L35" s="14">
        <f t="shared" si="7"/>
        <v>3850000</v>
      </c>
      <c r="M35" s="54">
        <f t="shared" si="7"/>
        <v>11126669.559999999</v>
      </c>
      <c r="N35" s="51"/>
      <c r="O35" s="54">
        <f>SUM(O5:O34)</f>
        <v>48035784.560000002</v>
      </c>
      <c r="P35" s="51"/>
    </row>
    <row r="36" spans="1:16" ht="15.75">
      <c r="A36" s="32" t="s">
        <v>76</v>
      </c>
      <c r="B36" s="32">
        <v>0.2</v>
      </c>
      <c r="C36" s="14">
        <f t="shared" ref="C36:M36" si="8">C35/30</f>
        <v>1.8706666666666669</v>
      </c>
      <c r="D36" s="14">
        <f t="shared" si="8"/>
        <v>252540</v>
      </c>
      <c r="E36" s="14">
        <f t="shared" si="8"/>
        <v>4.397333333333334</v>
      </c>
      <c r="F36" s="14">
        <f t="shared" si="8"/>
        <v>241853.33333333334</v>
      </c>
      <c r="G36" s="15">
        <f t="shared" si="8"/>
        <v>2.6814000000000004</v>
      </c>
      <c r="H36" s="15">
        <f t="shared" si="8"/>
        <v>482.65199999999999</v>
      </c>
      <c r="I36" s="15">
        <f t="shared" si="8"/>
        <v>2.1966666666666668</v>
      </c>
      <c r="J36" s="15">
        <f t="shared" si="8"/>
        <v>219.66666666666666</v>
      </c>
      <c r="K36" s="15">
        <f t="shared" si="8"/>
        <v>2.5666666666666669</v>
      </c>
      <c r="L36" s="14">
        <f t="shared" si="8"/>
        <v>128333.33333333333</v>
      </c>
      <c r="M36" s="16">
        <f t="shared" si="8"/>
        <v>370888.98533333332</v>
      </c>
      <c r="N36" s="51"/>
      <c r="O36" s="16">
        <f>O35/30</f>
        <v>1601192.8186666667</v>
      </c>
      <c r="P36" s="51"/>
    </row>
    <row r="37" spans="1:16" ht="15.75">
      <c r="A37" s="32" t="s">
        <v>77</v>
      </c>
      <c r="B37" s="32" t="s">
        <v>66</v>
      </c>
      <c r="C37" s="14">
        <f t="shared" ref="C37:M37" si="9">C36*5</f>
        <v>9.3533333333333353</v>
      </c>
      <c r="D37" s="14">
        <f t="shared" si="9"/>
        <v>1262700</v>
      </c>
      <c r="E37" s="14">
        <f t="shared" si="9"/>
        <v>21.986666666666672</v>
      </c>
      <c r="F37" s="14">
        <f t="shared" si="9"/>
        <v>1209266.6666666667</v>
      </c>
      <c r="G37" s="15">
        <f t="shared" si="9"/>
        <v>13.407000000000002</v>
      </c>
      <c r="H37" s="14">
        <f t="shared" si="9"/>
        <v>2413.2599999999998</v>
      </c>
      <c r="I37" s="15">
        <f t="shared" si="9"/>
        <v>10.983333333333334</v>
      </c>
      <c r="J37" s="14">
        <f t="shared" si="9"/>
        <v>1098.3333333333333</v>
      </c>
      <c r="K37" s="15">
        <f t="shared" si="9"/>
        <v>12.833333333333334</v>
      </c>
      <c r="L37" s="14">
        <f t="shared" si="9"/>
        <v>641666.66666666663</v>
      </c>
      <c r="M37" s="16">
        <f t="shared" si="9"/>
        <v>1854444.9266666665</v>
      </c>
      <c r="N37" s="51"/>
      <c r="O37" s="16">
        <f>O36*5</f>
        <v>8005964.0933333337</v>
      </c>
      <c r="P37" s="51"/>
    </row>
  </sheetData>
  <mergeCells count="9">
    <mergeCell ref="K2:L2"/>
    <mergeCell ref="M2:N2"/>
    <mergeCell ref="O2:P2"/>
    <mergeCell ref="A2:A4"/>
    <mergeCell ref="B2:B4"/>
    <mergeCell ref="C2:D2"/>
    <mergeCell ref="E2:F2"/>
    <mergeCell ref="G2:H2"/>
    <mergeCell ref="I2:J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G7" sqref="G7"/>
    </sheetView>
  </sheetViews>
  <sheetFormatPr defaultRowHeight="15"/>
  <cols>
    <col min="5" max="5" width="9.875" bestFit="1" customWidth="1"/>
  </cols>
  <sheetData>
    <row r="1" spans="1:12">
      <c r="L1" s="54"/>
    </row>
    <row r="2" spans="1:12" ht="15.75">
      <c r="A2" s="59"/>
      <c r="C2" s="59"/>
      <c r="E2" s="61"/>
      <c r="G2" s="37">
        <f>889789*3*7%/12*100</f>
        <v>1557130.7500000002</v>
      </c>
      <c r="L2" s="54"/>
    </row>
    <row r="3" spans="1:12" ht="15.75">
      <c r="A3" s="59"/>
      <c r="C3" s="59"/>
      <c r="E3" s="61"/>
      <c r="G3" s="37">
        <f>1624579*3*7%/12*100</f>
        <v>2843013.2500000005</v>
      </c>
      <c r="L3" s="54"/>
    </row>
    <row r="4" spans="1:12" ht="15.75">
      <c r="A4" s="59"/>
      <c r="C4" s="59"/>
      <c r="E4" s="61"/>
      <c r="G4" s="37">
        <f>1064927*3*7%/12*100</f>
        <v>1863622.25</v>
      </c>
      <c r="L4" s="54"/>
    </row>
    <row r="5" spans="1:12" ht="15.75">
      <c r="A5" s="59"/>
      <c r="C5" s="59"/>
      <c r="E5" s="61"/>
      <c r="G5" s="37">
        <f>999789*3*7%/12*100</f>
        <v>1749630.7500000002</v>
      </c>
      <c r="L5" s="54"/>
    </row>
    <row r="6" spans="1:12" ht="15.75">
      <c r="A6" s="59"/>
      <c r="C6" s="59"/>
      <c r="E6" s="60"/>
      <c r="G6" s="37">
        <f>889852*3*7%/12*100</f>
        <v>1557241.0000000002</v>
      </c>
      <c r="L6" s="54"/>
    </row>
    <row r="7" spans="1:12" ht="15.75">
      <c r="A7" s="59"/>
      <c r="C7" s="59"/>
      <c r="G7" s="62">
        <f>1966974*3*7%/12*100</f>
        <v>3442204.5000000005</v>
      </c>
      <c r="L7" s="54"/>
    </row>
    <row r="8" spans="1:12" ht="15.75">
      <c r="A8" s="59"/>
      <c r="C8" s="59"/>
      <c r="G8" s="37">
        <f>1767024*3*7%/12*100</f>
        <v>3092292</v>
      </c>
      <c r="L8" s="54"/>
    </row>
    <row r="9" spans="1:12" ht="15.75">
      <c r="A9" s="59"/>
      <c r="C9" s="59"/>
      <c r="G9" s="37">
        <f>2756413*3*7%/12*100</f>
        <v>4823722.7500000009</v>
      </c>
      <c r="L9" s="54"/>
    </row>
    <row r="10" spans="1:12" ht="15.75">
      <c r="A10" s="59"/>
      <c r="C10" s="59"/>
      <c r="G10" s="37">
        <f>2370068*3*7%/12*100</f>
        <v>4147619</v>
      </c>
      <c r="L10" s="54"/>
    </row>
    <row r="11" spans="1:12" ht="15.75">
      <c r="A11" s="59"/>
      <c r="C11" s="59"/>
      <c r="G11" s="37">
        <v>1613579</v>
      </c>
      <c r="L11" s="54"/>
    </row>
    <row r="12" spans="1:12" ht="15.75">
      <c r="A12" s="60"/>
      <c r="C12" s="60"/>
      <c r="G12" s="37">
        <f>674730*3*7%/12*100</f>
        <v>1180777.5000000002</v>
      </c>
      <c r="L12" s="54"/>
    </row>
    <row r="13" spans="1:12">
      <c r="G13" s="37">
        <f>1636915*3*7%/12*100</f>
        <v>2864601.25</v>
      </c>
      <c r="L13" s="54"/>
    </row>
    <row r="14" spans="1:12">
      <c r="G14" s="37">
        <f>1625616*3*7%/12*100</f>
        <v>2844828.0000000005</v>
      </c>
      <c r="L14" s="54"/>
    </row>
    <row r="15" spans="1:12">
      <c r="G15" s="37">
        <f>2473475*3*7%/12*100</f>
        <v>4328581.2500000009</v>
      </c>
      <c r="L15" s="54"/>
    </row>
    <row r="16" spans="1:12">
      <c r="G16" s="62">
        <f>1701931*3*7%/12*100</f>
        <v>2978379.25</v>
      </c>
      <c r="L16" s="54"/>
    </row>
    <row r="17" spans="7:12">
      <c r="G17" s="37">
        <f>3594900*3*7%/12*100</f>
        <v>6291075.0000000009</v>
      </c>
      <c r="L17" s="54"/>
    </row>
    <row r="18" spans="7:12">
      <c r="G18" s="37">
        <f>2031889*3*7%/12*100</f>
        <v>3555805.7500000005</v>
      </c>
      <c r="L18" s="54"/>
    </row>
    <row r="19" spans="7:12">
      <c r="G19" s="37">
        <f>2029300*3*7%/12*100</f>
        <v>3551275.0000000009</v>
      </c>
      <c r="L19" s="54"/>
    </row>
    <row r="20" spans="7:12">
      <c r="G20" s="37">
        <f>2816820*3*7%/12*100</f>
        <v>4929435.0000000009</v>
      </c>
      <c r="L20" s="54"/>
    </row>
    <row r="21" spans="7:12">
      <c r="G21" s="37">
        <f>973330*3*7%/12*100</f>
        <v>1703327.5000000002</v>
      </c>
      <c r="L21" s="54"/>
    </row>
    <row r="22" spans="7:12">
      <c r="G22" s="37">
        <f>638540*3*7%/12*100</f>
        <v>1117445.0000000002</v>
      </c>
      <c r="L22" s="54"/>
    </row>
    <row r="23" spans="7:12">
      <c r="G23" s="62">
        <f>1810840*3*7%/12*100</f>
        <v>3168970</v>
      </c>
      <c r="L23" s="54"/>
    </row>
    <row r="24" spans="7:12">
      <c r="G24" s="37">
        <f>1566740*3*7%/12*100</f>
        <v>2741795</v>
      </c>
      <c r="L24" s="54"/>
    </row>
    <row r="25" spans="7:12">
      <c r="G25" s="37">
        <f>873330*3*7%/12*100</f>
        <v>1528327.5000000002</v>
      </c>
      <c r="L25" s="54"/>
    </row>
    <row r="26" spans="7:12">
      <c r="G26" s="37">
        <f>1222790*3*7%/12*100</f>
        <v>2139882.5</v>
      </c>
      <c r="L26" s="54"/>
    </row>
    <row r="27" spans="7:12">
      <c r="G27" s="37">
        <f>1695815*3*7%/12*100</f>
        <v>2967676.25</v>
      </c>
      <c r="L27" s="54"/>
    </row>
    <row r="28" spans="7:12">
      <c r="G28" s="37">
        <f>798020*3*7%/12*100</f>
        <v>1396535</v>
      </c>
      <c r="L28" s="54"/>
    </row>
    <row r="29" spans="7:12">
      <c r="G29" s="37">
        <f>1566920*3*7%/12*100</f>
        <v>2742110</v>
      </c>
      <c r="L29" s="54"/>
    </row>
    <row r="30" spans="7:12">
      <c r="G30" s="37">
        <f>813510*3*7%/12*100</f>
        <v>1423642.5</v>
      </c>
      <c r="L30" s="54"/>
    </row>
    <row r="31" spans="7:12">
      <c r="G31" s="37">
        <f>1547380*3*7%/12*100</f>
        <v>2707915.0000000005</v>
      </c>
      <c r="L31" s="54"/>
    </row>
    <row r="32" spans="7:12">
      <c r="L32" s="16"/>
    </row>
    <row r="33" spans="12:12">
      <c r="L33" s="16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5:BV40"/>
  <sheetViews>
    <sheetView topLeftCell="AS3" zoomScale="60" zoomScaleNormal="60" workbookViewId="0">
      <selection activeCell="BT40" sqref="BT40"/>
    </sheetView>
  </sheetViews>
  <sheetFormatPr defaultRowHeight="15"/>
  <cols>
    <col min="2" max="2" width="12.375" customWidth="1"/>
    <col min="3" max="3" width="15.125" customWidth="1"/>
    <col min="4" max="6" width="9" customWidth="1"/>
    <col min="7" max="7" width="19.625" customWidth="1"/>
    <col min="8" max="8" width="13" customWidth="1"/>
    <col min="10" max="10" width="5.625" customWidth="1"/>
    <col min="11" max="11" width="10.75" customWidth="1"/>
    <col min="12" max="12" width="13.875" customWidth="1"/>
    <col min="16" max="16" width="16.75" customWidth="1"/>
    <col min="17" max="17" width="13.375" customWidth="1"/>
    <col min="20" max="20" width="12.375" customWidth="1"/>
    <col min="21" max="21" width="14.625" customWidth="1"/>
    <col min="22" max="22" width="11.375" customWidth="1"/>
    <col min="23" max="23" width="10" customWidth="1"/>
    <col min="24" max="24" width="8.375" customWidth="1"/>
    <col min="25" max="25" width="15.875" customWidth="1"/>
    <col min="26" max="26" width="13.375" customWidth="1"/>
    <col min="30" max="30" width="12.75" customWidth="1"/>
    <col min="44" max="44" width="10.25" customWidth="1"/>
    <col min="62" max="62" width="10.375" customWidth="1"/>
    <col min="71" max="71" width="11.375" customWidth="1"/>
    <col min="72" max="72" width="20" customWidth="1"/>
  </cols>
  <sheetData>
    <row r="5" spans="2:74">
      <c r="B5" s="218" t="s">
        <v>0</v>
      </c>
      <c r="C5" s="218" t="s">
        <v>115</v>
      </c>
      <c r="D5" s="216" t="s">
        <v>119</v>
      </c>
      <c r="E5" s="220"/>
      <c r="F5" s="220"/>
      <c r="G5" s="220"/>
      <c r="H5" s="224"/>
      <c r="I5" s="100"/>
      <c r="K5" s="218" t="s">
        <v>0</v>
      </c>
      <c r="L5" s="218" t="s">
        <v>115</v>
      </c>
      <c r="M5" s="216" t="s">
        <v>108</v>
      </c>
      <c r="N5" s="220"/>
      <c r="O5" s="220"/>
      <c r="P5" s="220"/>
      <c r="Q5" s="224"/>
      <c r="T5" s="218" t="s">
        <v>0</v>
      </c>
      <c r="U5" s="218" t="s">
        <v>115</v>
      </c>
      <c r="V5" s="216" t="s">
        <v>109</v>
      </c>
      <c r="W5" s="220"/>
      <c r="X5" s="220"/>
      <c r="Y5" s="220"/>
      <c r="Z5" s="224"/>
      <c r="AC5" s="218" t="s">
        <v>0</v>
      </c>
      <c r="AD5" s="218" t="s">
        <v>115</v>
      </c>
      <c r="AE5" s="216" t="s">
        <v>110</v>
      </c>
      <c r="AF5" s="220"/>
      <c r="AG5" s="220"/>
      <c r="AH5" s="220"/>
      <c r="AI5" s="224"/>
      <c r="AL5" s="218" t="s">
        <v>0</v>
      </c>
      <c r="AM5" s="218" t="s">
        <v>115</v>
      </c>
      <c r="AN5" s="216" t="s">
        <v>111</v>
      </c>
      <c r="AO5" s="220"/>
      <c r="AP5" s="220"/>
      <c r="AQ5" s="220"/>
      <c r="AR5" s="224"/>
      <c r="AU5" s="218" t="s">
        <v>0</v>
      </c>
      <c r="AV5" s="218" t="s">
        <v>115</v>
      </c>
      <c r="AW5" s="216" t="s">
        <v>112</v>
      </c>
      <c r="AX5" s="220"/>
      <c r="AY5" s="220"/>
      <c r="AZ5" s="220"/>
      <c r="BA5" s="224"/>
      <c r="BD5" s="218" t="s">
        <v>0</v>
      </c>
      <c r="BE5" s="218" t="s">
        <v>115</v>
      </c>
      <c r="BF5" s="216" t="s">
        <v>113</v>
      </c>
      <c r="BG5" s="220"/>
      <c r="BH5" s="220"/>
      <c r="BI5" s="220"/>
      <c r="BJ5" s="224"/>
      <c r="BM5" s="218" t="s">
        <v>0</v>
      </c>
      <c r="BN5" s="218" t="s">
        <v>115</v>
      </c>
      <c r="BO5" s="216" t="s">
        <v>114</v>
      </c>
      <c r="BP5" s="220"/>
      <c r="BQ5" s="220"/>
      <c r="BR5" s="220"/>
      <c r="BS5" s="220"/>
      <c r="BT5" s="225" t="s">
        <v>120</v>
      </c>
    </row>
    <row r="6" spans="2:74" ht="15.75" customHeight="1">
      <c r="B6" s="218"/>
      <c r="C6" s="218"/>
      <c r="D6" s="219" t="s">
        <v>116</v>
      </c>
      <c r="E6" s="219" t="s">
        <v>107</v>
      </c>
      <c r="F6" s="219" t="s">
        <v>106</v>
      </c>
      <c r="G6" s="219" t="s">
        <v>118</v>
      </c>
      <c r="H6" s="219" t="s">
        <v>117</v>
      </c>
      <c r="I6" s="51"/>
      <c r="K6" s="218"/>
      <c r="L6" s="218"/>
      <c r="M6" s="219" t="s">
        <v>116</v>
      </c>
      <c r="N6" s="219" t="s">
        <v>107</v>
      </c>
      <c r="O6" s="219" t="s">
        <v>106</v>
      </c>
      <c r="P6" s="219" t="s">
        <v>118</v>
      </c>
      <c r="Q6" s="219" t="s">
        <v>117</v>
      </c>
      <c r="T6" s="218"/>
      <c r="U6" s="218"/>
      <c r="V6" s="219" t="s">
        <v>116</v>
      </c>
      <c r="W6" s="219" t="s">
        <v>107</v>
      </c>
      <c r="X6" s="219" t="s">
        <v>106</v>
      </c>
      <c r="Y6" s="219" t="s">
        <v>118</v>
      </c>
      <c r="Z6" s="219" t="s">
        <v>117</v>
      </c>
      <c r="AC6" s="218"/>
      <c r="AD6" s="218"/>
      <c r="AE6" s="219" t="s">
        <v>116</v>
      </c>
      <c r="AF6" s="219" t="s">
        <v>107</v>
      </c>
      <c r="AG6" s="219" t="s">
        <v>106</v>
      </c>
      <c r="AH6" s="219" t="s">
        <v>118</v>
      </c>
      <c r="AI6" s="219" t="s">
        <v>117</v>
      </c>
      <c r="AK6" s="51"/>
      <c r="AL6" s="218"/>
      <c r="AM6" s="218"/>
      <c r="AN6" s="219" t="s">
        <v>116</v>
      </c>
      <c r="AO6" s="219" t="s">
        <v>107</v>
      </c>
      <c r="AP6" s="219" t="s">
        <v>106</v>
      </c>
      <c r="AQ6" s="219" t="s">
        <v>118</v>
      </c>
      <c r="AR6" s="219" t="s">
        <v>117</v>
      </c>
      <c r="AU6" s="218"/>
      <c r="AV6" s="218"/>
      <c r="AW6" s="219" t="s">
        <v>116</v>
      </c>
      <c r="AX6" s="219" t="s">
        <v>107</v>
      </c>
      <c r="AY6" s="219" t="s">
        <v>106</v>
      </c>
      <c r="AZ6" s="219" t="s">
        <v>118</v>
      </c>
      <c r="BA6" s="219" t="s">
        <v>117</v>
      </c>
      <c r="BD6" s="218"/>
      <c r="BE6" s="218"/>
      <c r="BF6" s="219" t="s">
        <v>116</v>
      </c>
      <c r="BG6" s="219" t="s">
        <v>107</v>
      </c>
      <c r="BH6" s="219" t="s">
        <v>106</v>
      </c>
      <c r="BI6" s="219" t="s">
        <v>118</v>
      </c>
      <c r="BJ6" s="219" t="s">
        <v>117</v>
      </c>
      <c r="BM6" s="218"/>
      <c r="BN6" s="218"/>
      <c r="BO6" s="219" t="s">
        <v>116</v>
      </c>
      <c r="BP6" s="219" t="s">
        <v>107</v>
      </c>
      <c r="BQ6" s="219" t="s">
        <v>106</v>
      </c>
      <c r="BR6" s="219" t="s">
        <v>118</v>
      </c>
      <c r="BS6" s="222" t="s">
        <v>117</v>
      </c>
      <c r="BT6" s="226"/>
    </row>
    <row r="7" spans="2:74">
      <c r="B7" s="218"/>
      <c r="C7" s="219"/>
      <c r="D7" s="221"/>
      <c r="E7" s="221"/>
      <c r="F7" s="221"/>
      <c r="G7" s="221"/>
      <c r="H7" s="221"/>
      <c r="K7" s="218"/>
      <c r="L7" s="219"/>
      <c r="M7" s="221"/>
      <c r="N7" s="221"/>
      <c r="O7" s="221"/>
      <c r="P7" s="221"/>
      <c r="Q7" s="221"/>
      <c r="T7" s="218"/>
      <c r="U7" s="219"/>
      <c r="V7" s="221"/>
      <c r="W7" s="221"/>
      <c r="X7" s="221"/>
      <c r="Y7" s="221"/>
      <c r="Z7" s="221"/>
      <c r="AC7" s="218"/>
      <c r="AD7" s="219"/>
      <c r="AE7" s="221"/>
      <c r="AF7" s="221"/>
      <c r="AG7" s="221"/>
      <c r="AH7" s="221"/>
      <c r="AI7" s="221"/>
      <c r="AK7" s="51"/>
      <c r="AL7" s="218"/>
      <c r="AM7" s="219"/>
      <c r="AN7" s="221"/>
      <c r="AO7" s="221"/>
      <c r="AP7" s="221"/>
      <c r="AQ7" s="221"/>
      <c r="AR7" s="221"/>
      <c r="AU7" s="218"/>
      <c r="AV7" s="219"/>
      <c r="AW7" s="221"/>
      <c r="AX7" s="221"/>
      <c r="AY7" s="221"/>
      <c r="AZ7" s="221"/>
      <c r="BA7" s="221"/>
      <c r="BD7" s="218"/>
      <c r="BE7" s="219"/>
      <c r="BF7" s="221"/>
      <c r="BG7" s="221"/>
      <c r="BH7" s="221"/>
      <c r="BI7" s="221"/>
      <c r="BJ7" s="221"/>
      <c r="BM7" s="218"/>
      <c r="BN7" s="219"/>
      <c r="BO7" s="221"/>
      <c r="BP7" s="221"/>
      <c r="BQ7" s="221"/>
      <c r="BR7" s="221"/>
      <c r="BS7" s="223"/>
      <c r="BT7" s="227"/>
    </row>
    <row r="8" spans="2:74" ht="15.75">
      <c r="B8" s="101">
        <v>1</v>
      </c>
      <c r="C8" s="96">
        <v>0.1</v>
      </c>
      <c r="D8" s="18">
        <v>3</v>
      </c>
      <c r="E8" s="99">
        <v>1</v>
      </c>
      <c r="F8" s="18">
        <v>3</v>
      </c>
      <c r="G8" s="55">
        <v>150000</v>
      </c>
      <c r="H8" s="99">
        <v>450000</v>
      </c>
      <c r="K8" s="101">
        <v>1</v>
      </c>
      <c r="L8" s="96">
        <v>0.1</v>
      </c>
      <c r="M8" s="18">
        <v>3</v>
      </c>
      <c r="N8" s="99">
        <v>2</v>
      </c>
      <c r="O8" s="18">
        <v>6</v>
      </c>
      <c r="P8" s="55">
        <v>80000</v>
      </c>
      <c r="Q8" s="99">
        <f>P8*O8</f>
        <v>480000</v>
      </c>
      <c r="T8" s="101">
        <v>1</v>
      </c>
      <c r="U8" s="96">
        <v>0.1</v>
      </c>
      <c r="V8" s="18">
        <v>3</v>
      </c>
      <c r="W8" s="99">
        <v>1</v>
      </c>
      <c r="X8" s="18">
        <v>6</v>
      </c>
      <c r="Y8" s="55">
        <v>100000</v>
      </c>
      <c r="Z8" s="99">
        <f>Y8*X8</f>
        <v>600000</v>
      </c>
      <c r="AC8" s="101">
        <v>1</v>
      </c>
      <c r="AD8" s="96">
        <v>0.1</v>
      </c>
      <c r="AE8" s="18">
        <v>2</v>
      </c>
      <c r="AF8" s="99">
        <v>1</v>
      </c>
      <c r="AG8" s="18">
        <v>2</v>
      </c>
      <c r="AH8" s="55">
        <v>80000</v>
      </c>
      <c r="AI8" s="99">
        <f>AH8*AG8</f>
        <v>160000</v>
      </c>
      <c r="AK8" s="51"/>
      <c r="AL8" s="101">
        <v>1</v>
      </c>
      <c r="AM8" s="96">
        <v>0.1</v>
      </c>
      <c r="AN8" s="18">
        <v>3</v>
      </c>
      <c r="AO8" s="99">
        <v>1</v>
      </c>
      <c r="AP8" s="18">
        <v>3</v>
      </c>
      <c r="AQ8" s="55">
        <v>80000</v>
      </c>
      <c r="AR8" s="99">
        <f>AQ8*AP8</f>
        <v>240000</v>
      </c>
      <c r="AU8" s="101">
        <v>1</v>
      </c>
      <c r="AV8" s="96">
        <v>0.1</v>
      </c>
      <c r="AW8" s="18">
        <v>1</v>
      </c>
      <c r="AX8" s="99">
        <v>1</v>
      </c>
      <c r="AY8" s="18">
        <v>1</v>
      </c>
      <c r="AZ8" s="55">
        <v>50000</v>
      </c>
      <c r="BA8" s="99">
        <f>AZ8*AY8</f>
        <v>50000</v>
      </c>
      <c r="BD8" s="101">
        <v>1</v>
      </c>
      <c r="BE8" s="96">
        <v>0.1</v>
      </c>
      <c r="BF8" s="18">
        <v>4</v>
      </c>
      <c r="BG8" s="99">
        <v>2</v>
      </c>
      <c r="BH8" s="18">
        <v>8</v>
      </c>
      <c r="BI8" s="55">
        <v>100000</v>
      </c>
      <c r="BJ8" s="99">
        <f>BI8*BH8</f>
        <v>800000</v>
      </c>
      <c r="BM8" s="101">
        <v>1</v>
      </c>
      <c r="BN8" s="96">
        <v>0.1</v>
      </c>
      <c r="BO8" s="18">
        <v>3</v>
      </c>
      <c r="BP8" s="99">
        <v>1</v>
      </c>
      <c r="BQ8" s="18">
        <v>3</v>
      </c>
      <c r="BR8" s="55">
        <v>80000</v>
      </c>
      <c r="BS8" s="99">
        <f>BR8*BQ8</f>
        <v>240000</v>
      </c>
      <c r="BT8" s="55">
        <f>H8+Q8+Z8+AI8+AR8+BA8+BJ8+BS8</f>
        <v>3020000</v>
      </c>
    </row>
    <row r="9" spans="2:74" ht="15.75">
      <c r="B9" s="90">
        <v>2</v>
      </c>
      <c r="C9" s="67">
        <v>0.2</v>
      </c>
      <c r="D9" s="99">
        <v>3</v>
      </c>
      <c r="E9" s="99">
        <v>1</v>
      </c>
      <c r="F9" s="99">
        <v>3</v>
      </c>
      <c r="G9" s="55">
        <v>150000</v>
      </c>
      <c r="H9" s="99">
        <v>450000</v>
      </c>
      <c r="K9" s="90">
        <v>2</v>
      </c>
      <c r="L9" s="67">
        <v>0.2</v>
      </c>
      <c r="M9" s="99">
        <v>3</v>
      </c>
      <c r="N9" s="99">
        <v>3</v>
      </c>
      <c r="O9" s="99">
        <v>9</v>
      </c>
      <c r="P9" s="55">
        <v>80000</v>
      </c>
      <c r="Q9" s="99">
        <f>P9*O9</f>
        <v>720000</v>
      </c>
      <c r="T9" s="90">
        <v>2</v>
      </c>
      <c r="U9" s="67">
        <v>0.2</v>
      </c>
      <c r="V9" s="99">
        <v>4</v>
      </c>
      <c r="W9" s="99">
        <v>3</v>
      </c>
      <c r="X9" s="99">
        <v>9</v>
      </c>
      <c r="Y9" s="55">
        <v>100000</v>
      </c>
      <c r="Z9" s="99">
        <f t="shared" ref="Z9:Z37" si="0">Y9*X9</f>
        <v>900000</v>
      </c>
      <c r="AC9" s="90">
        <v>2</v>
      </c>
      <c r="AD9" s="67">
        <v>0.2</v>
      </c>
      <c r="AE9" s="99">
        <v>3</v>
      </c>
      <c r="AF9" s="99">
        <v>1</v>
      </c>
      <c r="AG9" s="99">
        <v>3</v>
      </c>
      <c r="AH9" s="55">
        <v>80000</v>
      </c>
      <c r="AI9" s="99">
        <f>AH9*AG9</f>
        <v>240000</v>
      </c>
      <c r="AK9" s="51"/>
      <c r="AL9" s="90">
        <v>2</v>
      </c>
      <c r="AM9" s="67">
        <v>0.2</v>
      </c>
      <c r="AN9" s="99">
        <v>4</v>
      </c>
      <c r="AO9" s="99">
        <v>1</v>
      </c>
      <c r="AP9" s="99">
        <v>4</v>
      </c>
      <c r="AQ9" s="55">
        <v>80000</v>
      </c>
      <c r="AR9" s="99">
        <f>AQ9*AP9</f>
        <v>320000</v>
      </c>
      <c r="AU9" s="90">
        <v>2</v>
      </c>
      <c r="AV9" s="67">
        <v>0.2</v>
      </c>
      <c r="AW9" s="18">
        <v>1</v>
      </c>
      <c r="AX9" s="99">
        <v>1</v>
      </c>
      <c r="AY9" s="18">
        <v>1</v>
      </c>
      <c r="AZ9" s="55">
        <v>50000</v>
      </c>
      <c r="BA9" s="99">
        <f>AZ9*AY9</f>
        <v>50000</v>
      </c>
      <c r="BD9" s="90">
        <v>2</v>
      </c>
      <c r="BE9" s="67">
        <v>0.2</v>
      </c>
      <c r="BF9" s="99">
        <v>4</v>
      </c>
      <c r="BG9" s="99">
        <v>2</v>
      </c>
      <c r="BH9" s="18">
        <v>8</v>
      </c>
      <c r="BI9" s="55">
        <v>100000</v>
      </c>
      <c r="BJ9" s="99">
        <f>BI9*BH9</f>
        <v>800000</v>
      </c>
      <c r="BM9" s="90">
        <v>2</v>
      </c>
      <c r="BN9" s="67">
        <v>0.2</v>
      </c>
      <c r="BO9" s="99">
        <v>4</v>
      </c>
      <c r="BP9" s="99">
        <v>1</v>
      </c>
      <c r="BQ9" s="99">
        <v>4</v>
      </c>
      <c r="BR9" s="55">
        <v>80000</v>
      </c>
      <c r="BS9" s="99">
        <f>BR9*BQ9</f>
        <v>320000</v>
      </c>
      <c r="BT9" s="99">
        <f t="shared" ref="BT9:BT37" si="1">H9+Q9+Z9+AI9+AR9+BA9+BJ9+BS9</f>
        <v>3800000</v>
      </c>
    </row>
    <row r="10" spans="2:74" ht="15.75">
      <c r="B10" s="90">
        <v>3</v>
      </c>
      <c r="C10" s="67">
        <v>0.12</v>
      </c>
      <c r="D10" s="99">
        <v>2</v>
      </c>
      <c r="E10" s="99">
        <v>1</v>
      </c>
      <c r="F10" s="99">
        <v>2</v>
      </c>
      <c r="G10" s="55">
        <v>150000</v>
      </c>
      <c r="H10" s="99">
        <f>G10*D10</f>
        <v>300000</v>
      </c>
      <c r="K10" s="90">
        <v>3</v>
      </c>
      <c r="L10" s="67">
        <v>0.12</v>
      </c>
      <c r="M10" s="99">
        <v>2</v>
      </c>
      <c r="N10" s="99">
        <v>3</v>
      </c>
      <c r="O10" s="99">
        <v>6</v>
      </c>
      <c r="P10" s="55">
        <v>80000</v>
      </c>
      <c r="Q10" s="99">
        <f t="shared" ref="Q10:Q37" si="2">P10*O10</f>
        <v>480000</v>
      </c>
      <c r="T10" s="90">
        <v>3</v>
      </c>
      <c r="U10" s="67">
        <v>0.12</v>
      </c>
      <c r="V10" s="99">
        <v>4</v>
      </c>
      <c r="W10" s="99">
        <v>3</v>
      </c>
      <c r="X10" s="99">
        <v>6</v>
      </c>
      <c r="Y10" s="55">
        <v>100000</v>
      </c>
      <c r="Z10" s="99">
        <f t="shared" si="0"/>
        <v>600000</v>
      </c>
      <c r="AC10" s="90">
        <v>3</v>
      </c>
      <c r="AD10" s="67">
        <v>0.12</v>
      </c>
      <c r="AE10" s="99">
        <v>2</v>
      </c>
      <c r="AF10" s="99">
        <v>1</v>
      </c>
      <c r="AG10" s="99">
        <v>2</v>
      </c>
      <c r="AH10" s="55">
        <v>80000</v>
      </c>
      <c r="AI10" s="99">
        <f t="shared" ref="AI10:AI37" si="3">AH10*AG10</f>
        <v>160000</v>
      </c>
      <c r="AK10" s="51"/>
      <c r="AL10" s="90">
        <v>3</v>
      </c>
      <c r="AM10" s="67">
        <v>0.12</v>
      </c>
      <c r="AN10" s="99">
        <v>3</v>
      </c>
      <c r="AO10" s="99">
        <v>1</v>
      </c>
      <c r="AP10" s="99">
        <v>3</v>
      </c>
      <c r="AQ10" s="55">
        <v>80000</v>
      </c>
      <c r="AR10" s="99">
        <f t="shared" ref="AR10:AR37" si="4">AQ10*AP10</f>
        <v>240000</v>
      </c>
      <c r="AU10" s="90">
        <v>3</v>
      </c>
      <c r="AV10" s="67">
        <v>0.12</v>
      </c>
      <c r="AW10" s="18">
        <v>1</v>
      </c>
      <c r="AX10" s="99">
        <v>1</v>
      </c>
      <c r="AY10" s="18">
        <v>1</v>
      </c>
      <c r="AZ10" s="55">
        <v>50000</v>
      </c>
      <c r="BA10" s="99">
        <f t="shared" ref="BA10:BA37" si="5">AZ10*AY10</f>
        <v>50000</v>
      </c>
      <c r="BD10" s="90">
        <v>3</v>
      </c>
      <c r="BE10" s="67">
        <v>0.12</v>
      </c>
      <c r="BF10" s="99">
        <v>4</v>
      </c>
      <c r="BG10" s="99">
        <v>2</v>
      </c>
      <c r="BH10" s="18">
        <v>8</v>
      </c>
      <c r="BI10" s="55">
        <v>100000</v>
      </c>
      <c r="BJ10" s="99">
        <f t="shared" ref="BJ10:BJ37" si="6">BI10*BH10</f>
        <v>800000</v>
      </c>
      <c r="BM10" s="90">
        <v>3</v>
      </c>
      <c r="BN10" s="67">
        <v>0.12</v>
      </c>
      <c r="BO10" s="99">
        <v>3</v>
      </c>
      <c r="BP10" s="99">
        <v>1</v>
      </c>
      <c r="BQ10" s="99">
        <v>3</v>
      </c>
      <c r="BR10" s="55">
        <v>80000</v>
      </c>
      <c r="BS10" s="99">
        <f t="shared" ref="BS10:BS37" si="7">BR10*BQ10</f>
        <v>240000</v>
      </c>
      <c r="BT10" s="99">
        <f t="shared" si="1"/>
        <v>2870000</v>
      </c>
      <c r="BV10" s="106"/>
    </row>
    <row r="11" spans="2:74" ht="15.75">
      <c r="B11" s="90">
        <v>4</v>
      </c>
      <c r="C11" s="67">
        <v>0.1</v>
      </c>
      <c r="D11" s="99">
        <v>2</v>
      </c>
      <c r="E11" s="99">
        <v>1</v>
      </c>
      <c r="F11" s="99">
        <v>2</v>
      </c>
      <c r="G11" s="55">
        <v>150000</v>
      </c>
      <c r="H11" s="99">
        <f>G11*D11</f>
        <v>300000</v>
      </c>
      <c r="K11" s="90">
        <v>4</v>
      </c>
      <c r="L11" s="67">
        <v>0.1</v>
      </c>
      <c r="M11" s="99">
        <v>2</v>
      </c>
      <c r="N11" s="99">
        <v>2</v>
      </c>
      <c r="O11" s="99">
        <v>4</v>
      </c>
      <c r="P11" s="55">
        <v>80000</v>
      </c>
      <c r="Q11" s="99">
        <f t="shared" si="2"/>
        <v>320000</v>
      </c>
      <c r="T11" s="90">
        <v>4</v>
      </c>
      <c r="U11" s="67">
        <v>0.1</v>
      </c>
      <c r="V11" s="99">
        <v>3</v>
      </c>
      <c r="W11" s="99">
        <v>1</v>
      </c>
      <c r="X11" s="99">
        <v>4</v>
      </c>
      <c r="Y11" s="55">
        <v>100000</v>
      </c>
      <c r="Z11" s="99">
        <f t="shared" si="0"/>
        <v>400000</v>
      </c>
      <c r="AC11" s="90">
        <v>4</v>
      </c>
      <c r="AD11" s="67">
        <v>0.1</v>
      </c>
      <c r="AE11" s="99">
        <v>2</v>
      </c>
      <c r="AF11" s="99">
        <v>1</v>
      </c>
      <c r="AG11" s="99">
        <v>2</v>
      </c>
      <c r="AH11" s="55">
        <v>80000</v>
      </c>
      <c r="AI11" s="99">
        <f t="shared" si="3"/>
        <v>160000</v>
      </c>
      <c r="AK11" s="51"/>
      <c r="AL11" s="90">
        <v>4</v>
      </c>
      <c r="AM11" s="67">
        <v>0.1</v>
      </c>
      <c r="AN11" s="99">
        <v>3</v>
      </c>
      <c r="AO11" s="99">
        <v>1</v>
      </c>
      <c r="AP11" s="99">
        <v>3</v>
      </c>
      <c r="AQ11" s="55">
        <v>80000</v>
      </c>
      <c r="AR11" s="99">
        <f t="shared" si="4"/>
        <v>240000</v>
      </c>
      <c r="AU11" s="90">
        <v>4</v>
      </c>
      <c r="AV11" s="67">
        <v>0.1</v>
      </c>
      <c r="AW11" s="18">
        <v>1</v>
      </c>
      <c r="AX11" s="99">
        <v>1</v>
      </c>
      <c r="AY11" s="18">
        <v>1</v>
      </c>
      <c r="AZ11" s="55">
        <v>50000</v>
      </c>
      <c r="BA11" s="99">
        <f t="shared" si="5"/>
        <v>50000</v>
      </c>
      <c r="BD11" s="90">
        <v>4</v>
      </c>
      <c r="BE11" s="67">
        <v>0.1</v>
      </c>
      <c r="BF11" s="99">
        <v>3</v>
      </c>
      <c r="BG11" s="99">
        <v>2</v>
      </c>
      <c r="BH11" s="18">
        <v>6</v>
      </c>
      <c r="BI11" s="55">
        <v>100000</v>
      </c>
      <c r="BJ11" s="99">
        <f t="shared" si="6"/>
        <v>600000</v>
      </c>
      <c r="BM11" s="90">
        <v>4</v>
      </c>
      <c r="BN11" s="67">
        <v>0.1</v>
      </c>
      <c r="BO11" s="99">
        <v>4</v>
      </c>
      <c r="BP11" s="99">
        <v>1</v>
      </c>
      <c r="BQ11" s="99">
        <v>4</v>
      </c>
      <c r="BR11" s="55">
        <v>80000</v>
      </c>
      <c r="BS11" s="99">
        <f t="shared" si="7"/>
        <v>320000</v>
      </c>
      <c r="BT11" s="99">
        <f t="shared" si="1"/>
        <v>2390000</v>
      </c>
    </row>
    <row r="12" spans="2:74" ht="15.75">
      <c r="B12" s="90">
        <v>5</v>
      </c>
      <c r="C12" s="67">
        <v>0.08</v>
      </c>
      <c r="D12" s="99">
        <v>2</v>
      </c>
      <c r="E12" s="99">
        <v>1</v>
      </c>
      <c r="F12" s="99">
        <v>2</v>
      </c>
      <c r="G12" s="55">
        <v>150000</v>
      </c>
      <c r="H12" s="99">
        <f>G12*D12</f>
        <v>300000</v>
      </c>
      <c r="K12" s="90">
        <v>5</v>
      </c>
      <c r="L12" s="67">
        <v>0.08</v>
      </c>
      <c r="M12" s="99">
        <v>2</v>
      </c>
      <c r="N12" s="99">
        <v>2</v>
      </c>
      <c r="O12" s="99">
        <v>4</v>
      </c>
      <c r="P12" s="55">
        <v>80000</v>
      </c>
      <c r="Q12" s="99">
        <f t="shared" si="2"/>
        <v>320000</v>
      </c>
      <c r="T12" s="90">
        <v>5</v>
      </c>
      <c r="U12" s="67">
        <v>0.08</v>
      </c>
      <c r="V12" s="99">
        <v>3</v>
      </c>
      <c r="W12" s="99">
        <v>2</v>
      </c>
      <c r="X12" s="99">
        <v>4</v>
      </c>
      <c r="Y12" s="55">
        <v>100000</v>
      </c>
      <c r="Z12" s="99">
        <f t="shared" si="0"/>
        <v>400000</v>
      </c>
      <c r="AC12" s="90">
        <v>5</v>
      </c>
      <c r="AD12" s="67">
        <v>0.08</v>
      </c>
      <c r="AE12" s="99">
        <v>2</v>
      </c>
      <c r="AF12" s="99">
        <v>1</v>
      </c>
      <c r="AG12" s="99">
        <v>2</v>
      </c>
      <c r="AH12" s="55">
        <v>80000</v>
      </c>
      <c r="AI12" s="99">
        <f t="shared" si="3"/>
        <v>160000</v>
      </c>
      <c r="AK12" s="51"/>
      <c r="AL12" s="90">
        <v>5</v>
      </c>
      <c r="AM12" s="67">
        <v>0.08</v>
      </c>
      <c r="AN12" s="99">
        <v>3</v>
      </c>
      <c r="AO12" s="99">
        <v>1</v>
      </c>
      <c r="AP12" s="99">
        <v>3</v>
      </c>
      <c r="AQ12" s="55">
        <v>80000</v>
      </c>
      <c r="AR12" s="99">
        <f t="shared" si="4"/>
        <v>240000</v>
      </c>
      <c r="AU12" s="90">
        <v>5</v>
      </c>
      <c r="AV12" s="67">
        <v>0.08</v>
      </c>
      <c r="AW12" s="18">
        <v>1</v>
      </c>
      <c r="AX12" s="99">
        <v>1</v>
      </c>
      <c r="AY12" s="18">
        <v>1</v>
      </c>
      <c r="AZ12" s="55">
        <v>50000</v>
      </c>
      <c r="BA12" s="99">
        <f t="shared" si="5"/>
        <v>50000</v>
      </c>
      <c r="BD12" s="90">
        <v>5</v>
      </c>
      <c r="BE12" s="67">
        <v>0.08</v>
      </c>
      <c r="BF12" s="99">
        <v>3</v>
      </c>
      <c r="BG12" s="99">
        <v>2</v>
      </c>
      <c r="BH12" s="18">
        <v>6</v>
      </c>
      <c r="BI12" s="55">
        <v>100000</v>
      </c>
      <c r="BJ12" s="99">
        <f t="shared" si="6"/>
        <v>600000</v>
      </c>
      <c r="BM12" s="90">
        <v>5</v>
      </c>
      <c r="BN12" s="67">
        <v>0.08</v>
      </c>
      <c r="BO12" s="99">
        <v>3</v>
      </c>
      <c r="BP12" s="99">
        <v>1</v>
      </c>
      <c r="BQ12" s="99">
        <v>3</v>
      </c>
      <c r="BR12" s="55">
        <v>80000</v>
      </c>
      <c r="BS12" s="99">
        <f t="shared" si="7"/>
        <v>240000</v>
      </c>
      <c r="BT12" s="99">
        <f t="shared" si="1"/>
        <v>2310000</v>
      </c>
    </row>
    <row r="13" spans="2:74" ht="15.75">
      <c r="B13" s="90">
        <v>6</v>
      </c>
      <c r="C13" s="67">
        <v>0.25</v>
      </c>
      <c r="D13" s="99">
        <v>3</v>
      </c>
      <c r="E13" s="99">
        <v>1</v>
      </c>
      <c r="F13" s="99">
        <v>3</v>
      </c>
      <c r="G13" s="55">
        <v>150000</v>
      </c>
      <c r="H13" s="99">
        <f t="shared" ref="H13:H37" si="8">G13*D13</f>
        <v>450000</v>
      </c>
      <c r="K13" s="90">
        <v>6</v>
      </c>
      <c r="L13" s="67">
        <v>0.25</v>
      </c>
      <c r="M13" s="99">
        <v>5</v>
      </c>
      <c r="N13" s="99">
        <v>3</v>
      </c>
      <c r="O13" s="99">
        <v>15</v>
      </c>
      <c r="P13" s="55">
        <v>80000</v>
      </c>
      <c r="Q13" s="99">
        <f t="shared" si="2"/>
        <v>1200000</v>
      </c>
      <c r="T13" s="90">
        <v>6</v>
      </c>
      <c r="U13" s="67">
        <v>0.25</v>
      </c>
      <c r="V13" s="99">
        <v>5</v>
      </c>
      <c r="W13" s="99">
        <v>2</v>
      </c>
      <c r="X13" s="99">
        <v>15</v>
      </c>
      <c r="Y13" s="55">
        <v>100000</v>
      </c>
      <c r="Z13" s="99">
        <f t="shared" si="0"/>
        <v>1500000</v>
      </c>
      <c r="AC13" s="90">
        <v>6</v>
      </c>
      <c r="AD13" s="67">
        <v>0.25</v>
      </c>
      <c r="AE13" s="99">
        <v>4</v>
      </c>
      <c r="AF13" s="99">
        <v>1</v>
      </c>
      <c r="AG13" s="99">
        <v>4</v>
      </c>
      <c r="AH13" s="55">
        <v>80000</v>
      </c>
      <c r="AI13" s="99">
        <f t="shared" si="3"/>
        <v>320000</v>
      </c>
      <c r="AK13" s="51"/>
      <c r="AL13" s="90">
        <v>6</v>
      </c>
      <c r="AM13" s="67">
        <v>0.25</v>
      </c>
      <c r="AN13" s="99">
        <v>4</v>
      </c>
      <c r="AO13" s="99">
        <v>2</v>
      </c>
      <c r="AP13" s="99">
        <v>8</v>
      </c>
      <c r="AQ13" s="55">
        <v>80000</v>
      </c>
      <c r="AR13" s="99">
        <f t="shared" si="4"/>
        <v>640000</v>
      </c>
      <c r="AU13" s="90">
        <v>6</v>
      </c>
      <c r="AV13" s="67">
        <v>0.25</v>
      </c>
      <c r="AW13" s="18">
        <v>1</v>
      </c>
      <c r="AX13" s="99">
        <v>1</v>
      </c>
      <c r="AY13" s="18">
        <v>1</v>
      </c>
      <c r="AZ13" s="55">
        <v>50000</v>
      </c>
      <c r="BA13" s="99">
        <f t="shared" si="5"/>
        <v>50000</v>
      </c>
      <c r="BD13" s="90">
        <v>6</v>
      </c>
      <c r="BE13" s="67">
        <v>0.25</v>
      </c>
      <c r="BF13" s="99">
        <v>6</v>
      </c>
      <c r="BG13" s="99">
        <v>3</v>
      </c>
      <c r="BH13" s="18">
        <v>18</v>
      </c>
      <c r="BI13" s="55">
        <v>100000</v>
      </c>
      <c r="BJ13" s="99">
        <f t="shared" si="6"/>
        <v>1800000</v>
      </c>
      <c r="BM13" s="90">
        <v>6</v>
      </c>
      <c r="BN13" s="67">
        <v>0.25</v>
      </c>
      <c r="BO13" s="99">
        <v>5</v>
      </c>
      <c r="BP13" s="99">
        <v>1</v>
      </c>
      <c r="BQ13" s="99">
        <v>5</v>
      </c>
      <c r="BR13" s="55">
        <v>80000</v>
      </c>
      <c r="BS13" s="99">
        <f t="shared" si="7"/>
        <v>400000</v>
      </c>
      <c r="BT13" s="99">
        <f t="shared" si="1"/>
        <v>6360000</v>
      </c>
    </row>
    <row r="14" spans="2:74" ht="15.75">
      <c r="B14" s="90">
        <v>7</v>
      </c>
      <c r="C14" s="67">
        <v>0.25</v>
      </c>
      <c r="D14" s="99">
        <v>2</v>
      </c>
      <c r="E14" s="99">
        <v>1</v>
      </c>
      <c r="F14" s="99">
        <v>2</v>
      </c>
      <c r="G14" s="55">
        <v>150000</v>
      </c>
      <c r="H14" s="99">
        <f t="shared" si="8"/>
        <v>300000</v>
      </c>
      <c r="K14" s="90">
        <v>7</v>
      </c>
      <c r="L14" s="67">
        <v>0.25</v>
      </c>
      <c r="M14" s="99">
        <v>5</v>
      </c>
      <c r="N14" s="99">
        <v>3</v>
      </c>
      <c r="O14" s="99">
        <v>15</v>
      </c>
      <c r="P14" s="55">
        <v>80000</v>
      </c>
      <c r="Q14" s="99">
        <f t="shared" si="2"/>
        <v>1200000</v>
      </c>
      <c r="T14" s="90">
        <v>7</v>
      </c>
      <c r="U14" s="67">
        <v>0.25</v>
      </c>
      <c r="V14" s="99">
        <v>5</v>
      </c>
      <c r="W14" s="99">
        <v>2</v>
      </c>
      <c r="X14" s="99">
        <v>15</v>
      </c>
      <c r="Y14" s="55">
        <v>100000</v>
      </c>
      <c r="Z14" s="99">
        <f t="shared" si="0"/>
        <v>1500000</v>
      </c>
      <c r="AC14" s="90">
        <v>7</v>
      </c>
      <c r="AD14" s="67">
        <v>0.25</v>
      </c>
      <c r="AE14" s="99">
        <v>4</v>
      </c>
      <c r="AF14" s="99">
        <v>1</v>
      </c>
      <c r="AG14" s="99">
        <v>4</v>
      </c>
      <c r="AH14" s="55">
        <v>80000</v>
      </c>
      <c r="AI14" s="99">
        <f t="shared" si="3"/>
        <v>320000</v>
      </c>
      <c r="AK14" s="51"/>
      <c r="AL14" s="90">
        <v>7</v>
      </c>
      <c r="AM14" s="67">
        <v>0.25</v>
      </c>
      <c r="AN14" s="99">
        <v>4</v>
      </c>
      <c r="AO14" s="99">
        <v>2</v>
      </c>
      <c r="AP14" s="99">
        <v>8</v>
      </c>
      <c r="AQ14" s="55">
        <v>80000</v>
      </c>
      <c r="AR14" s="99">
        <f t="shared" si="4"/>
        <v>640000</v>
      </c>
      <c r="AU14" s="90">
        <v>7</v>
      </c>
      <c r="AV14" s="67">
        <v>0.25</v>
      </c>
      <c r="AW14" s="18">
        <v>1</v>
      </c>
      <c r="AX14" s="99">
        <v>1</v>
      </c>
      <c r="AY14" s="18">
        <v>1</v>
      </c>
      <c r="AZ14" s="55">
        <v>50000</v>
      </c>
      <c r="BA14" s="99">
        <f t="shared" si="5"/>
        <v>50000</v>
      </c>
      <c r="BD14" s="90">
        <v>7</v>
      </c>
      <c r="BE14" s="67">
        <v>0.25</v>
      </c>
      <c r="BF14" s="99">
        <v>6</v>
      </c>
      <c r="BG14" s="99">
        <v>3</v>
      </c>
      <c r="BH14" s="18">
        <v>18</v>
      </c>
      <c r="BI14" s="55">
        <v>100000</v>
      </c>
      <c r="BJ14" s="99">
        <f t="shared" si="6"/>
        <v>1800000</v>
      </c>
      <c r="BM14" s="90">
        <v>7</v>
      </c>
      <c r="BN14" s="67">
        <v>0.25</v>
      </c>
      <c r="BO14" s="99">
        <v>5</v>
      </c>
      <c r="BP14" s="99">
        <v>1</v>
      </c>
      <c r="BQ14" s="99">
        <v>5</v>
      </c>
      <c r="BR14" s="55">
        <v>80000</v>
      </c>
      <c r="BS14" s="99">
        <f t="shared" si="7"/>
        <v>400000</v>
      </c>
      <c r="BT14" s="99">
        <f t="shared" si="1"/>
        <v>6210000</v>
      </c>
    </row>
    <row r="15" spans="2:74" ht="15.75">
      <c r="B15" s="90">
        <v>8</v>
      </c>
      <c r="C15" s="67">
        <v>0.35</v>
      </c>
      <c r="D15" s="99">
        <v>3</v>
      </c>
      <c r="E15" s="99">
        <v>1</v>
      </c>
      <c r="F15" s="99">
        <v>3</v>
      </c>
      <c r="G15" s="55">
        <v>150000</v>
      </c>
      <c r="H15" s="99">
        <f t="shared" si="8"/>
        <v>450000</v>
      </c>
      <c r="K15" s="90">
        <v>8</v>
      </c>
      <c r="L15" s="67">
        <v>0.35</v>
      </c>
      <c r="M15" s="99">
        <v>5</v>
      </c>
      <c r="N15" s="99">
        <v>3</v>
      </c>
      <c r="O15" s="99">
        <v>15</v>
      </c>
      <c r="P15" s="55">
        <v>80000</v>
      </c>
      <c r="Q15" s="99">
        <f t="shared" si="2"/>
        <v>1200000</v>
      </c>
      <c r="T15" s="90">
        <v>8</v>
      </c>
      <c r="U15" s="67">
        <v>0.35</v>
      </c>
      <c r="V15" s="99">
        <v>5</v>
      </c>
      <c r="W15" s="99">
        <v>3</v>
      </c>
      <c r="X15" s="99">
        <v>15</v>
      </c>
      <c r="Y15" s="55">
        <v>100000</v>
      </c>
      <c r="Z15" s="99">
        <f t="shared" si="0"/>
        <v>1500000</v>
      </c>
      <c r="AC15" s="90">
        <v>8</v>
      </c>
      <c r="AD15" s="67">
        <v>0.35</v>
      </c>
      <c r="AE15" s="99">
        <v>4</v>
      </c>
      <c r="AF15" s="99">
        <v>1</v>
      </c>
      <c r="AG15" s="99">
        <v>4</v>
      </c>
      <c r="AH15" s="55">
        <v>80000</v>
      </c>
      <c r="AI15" s="99">
        <f t="shared" si="3"/>
        <v>320000</v>
      </c>
      <c r="AK15" s="51"/>
      <c r="AL15" s="90">
        <v>8</v>
      </c>
      <c r="AM15" s="67">
        <v>0.35</v>
      </c>
      <c r="AN15" s="99">
        <v>5</v>
      </c>
      <c r="AO15" s="99">
        <v>2</v>
      </c>
      <c r="AP15" s="99">
        <v>10</v>
      </c>
      <c r="AQ15" s="55">
        <v>80000</v>
      </c>
      <c r="AR15" s="99">
        <f t="shared" si="4"/>
        <v>800000</v>
      </c>
      <c r="AU15" s="90">
        <v>8</v>
      </c>
      <c r="AV15" s="67">
        <v>0.35</v>
      </c>
      <c r="AW15" s="18">
        <v>1</v>
      </c>
      <c r="AX15" s="99">
        <v>1</v>
      </c>
      <c r="AY15" s="18">
        <v>1</v>
      </c>
      <c r="AZ15" s="55">
        <v>50000</v>
      </c>
      <c r="BA15" s="99">
        <f t="shared" si="5"/>
        <v>50000</v>
      </c>
      <c r="BD15" s="90">
        <v>8</v>
      </c>
      <c r="BE15" s="67">
        <v>0.35</v>
      </c>
      <c r="BF15" s="99">
        <v>6</v>
      </c>
      <c r="BG15" s="99">
        <v>3</v>
      </c>
      <c r="BH15" s="18">
        <v>18</v>
      </c>
      <c r="BI15" s="55">
        <v>100000</v>
      </c>
      <c r="BJ15" s="99">
        <f t="shared" si="6"/>
        <v>1800000</v>
      </c>
      <c r="BM15" s="90">
        <v>8</v>
      </c>
      <c r="BN15" s="67">
        <v>0.35</v>
      </c>
      <c r="BO15" s="99">
        <v>6</v>
      </c>
      <c r="BP15" s="99">
        <v>1</v>
      </c>
      <c r="BQ15" s="99">
        <v>6</v>
      </c>
      <c r="BR15" s="55">
        <v>80000</v>
      </c>
      <c r="BS15" s="99">
        <f t="shared" si="7"/>
        <v>480000</v>
      </c>
      <c r="BT15" s="99">
        <f t="shared" si="1"/>
        <v>6600000</v>
      </c>
    </row>
    <row r="16" spans="2:74" ht="15.75">
      <c r="B16" s="90">
        <v>9</v>
      </c>
      <c r="C16" s="67">
        <v>0.3</v>
      </c>
      <c r="D16" s="99">
        <v>3</v>
      </c>
      <c r="E16" s="99">
        <v>1</v>
      </c>
      <c r="F16" s="99">
        <v>3</v>
      </c>
      <c r="G16" s="55">
        <v>150000</v>
      </c>
      <c r="H16" s="99">
        <f t="shared" si="8"/>
        <v>450000</v>
      </c>
      <c r="K16" s="90">
        <v>9</v>
      </c>
      <c r="L16" s="67">
        <v>0.3</v>
      </c>
      <c r="M16" s="99">
        <v>3</v>
      </c>
      <c r="N16" s="99">
        <v>3</v>
      </c>
      <c r="O16" s="99">
        <v>9</v>
      </c>
      <c r="P16" s="55">
        <v>80000</v>
      </c>
      <c r="Q16" s="99">
        <f t="shared" si="2"/>
        <v>720000</v>
      </c>
      <c r="T16" s="90">
        <v>9</v>
      </c>
      <c r="U16" s="67">
        <v>0.3</v>
      </c>
      <c r="V16" s="99">
        <v>3</v>
      </c>
      <c r="W16" s="99">
        <v>3</v>
      </c>
      <c r="X16" s="99">
        <v>9</v>
      </c>
      <c r="Y16" s="55">
        <v>100000</v>
      </c>
      <c r="Z16" s="99">
        <f t="shared" si="0"/>
        <v>900000</v>
      </c>
      <c r="AC16" s="90">
        <v>9</v>
      </c>
      <c r="AD16" s="67">
        <v>0.3</v>
      </c>
      <c r="AE16" s="99">
        <v>4</v>
      </c>
      <c r="AF16" s="99">
        <v>1</v>
      </c>
      <c r="AG16" s="99">
        <v>4</v>
      </c>
      <c r="AH16" s="55">
        <v>80000</v>
      </c>
      <c r="AI16" s="99">
        <f t="shared" si="3"/>
        <v>320000</v>
      </c>
      <c r="AK16" s="51"/>
      <c r="AL16" s="90">
        <v>9</v>
      </c>
      <c r="AM16" s="67">
        <v>0.3</v>
      </c>
      <c r="AN16" s="99">
        <v>3</v>
      </c>
      <c r="AO16" s="99">
        <v>2</v>
      </c>
      <c r="AP16" s="99">
        <v>6</v>
      </c>
      <c r="AQ16" s="55">
        <v>80000</v>
      </c>
      <c r="AR16" s="99">
        <f t="shared" si="4"/>
        <v>480000</v>
      </c>
      <c r="AU16" s="90">
        <v>9</v>
      </c>
      <c r="AV16" s="67">
        <v>0.3</v>
      </c>
      <c r="AW16" s="18">
        <v>1</v>
      </c>
      <c r="AX16" s="99">
        <v>1</v>
      </c>
      <c r="AY16" s="18">
        <v>1</v>
      </c>
      <c r="AZ16" s="55">
        <v>50000</v>
      </c>
      <c r="BA16" s="99">
        <f t="shared" si="5"/>
        <v>50000</v>
      </c>
      <c r="BD16" s="90">
        <v>9</v>
      </c>
      <c r="BE16" s="67">
        <v>0.3</v>
      </c>
      <c r="BF16" s="99">
        <v>5</v>
      </c>
      <c r="BG16" s="99">
        <v>3</v>
      </c>
      <c r="BH16" s="18">
        <v>15</v>
      </c>
      <c r="BI16" s="55">
        <v>100000</v>
      </c>
      <c r="BJ16" s="99">
        <f t="shared" si="6"/>
        <v>1500000</v>
      </c>
      <c r="BM16" s="90">
        <v>9</v>
      </c>
      <c r="BN16" s="67">
        <v>0.3</v>
      </c>
      <c r="BO16" s="99">
        <v>6</v>
      </c>
      <c r="BP16" s="99">
        <v>1</v>
      </c>
      <c r="BQ16" s="99">
        <v>6</v>
      </c>
      <c r="BR16" s="55">
        <v>80000</v>
      </c>
      <c r="BS16" s="99">
        <f t="shared" si="7"/>
        <v>480000</v>
      </c>
      <c r="BT16" s="99">
        <f t="shared" si="1"/>
        <v>4900000</v>
      </c>
    </row>
    <row r="17" spans="2:72" ht="15.75">
      <c r="B17" s="90">
        <v>10</v>
      </c>
      <c r="C17" s="67">
        <v>0.2</v>
      </c>
      <c r="D17" s="99">
        <v>2</v>
      </c>
      <c r="E17" s="99">
        <v>1</v>
      </c>
      <c r="F17" s="99">
        <v>2</v>
      </c>
      <c r="G17" s="55">
        <v>150000</v>
      </c>
      <c r="H17" s="99">
        <f t="shared" si="8"/>
        <v>300000</v>
      </c>
      <c r="K17" s="90">
        <v>10</v>
      </c>
      <c r="L17" s="67">
        <v>0.2</v>
      </c>
      <c r="M17" s="99">
        <v>4</v>
      </c>
      <c r="N17" s="99">
        <v>3</v>
      </c>
      <c r="O17" s="99">
        <v>12</v>
      </c>
      <c r="P17" s="55">
        <v>80000</v>
      </c>
      <c r="Q17" s="99">
        <f t="shared" si="2"/>
        <v>960000</v>
      </c>
      <c r="T17" s="90">
        <v>10</v>
      </c>
      <c r="U17" s="67">
        <v>0.2</v>
      </c>
      <c r="V17" s="99">
        <v>4</v>
      </c>
      <c r="W17" s="99">
        <v>3</v>
      </c>
      <c r="X17" s="99">
        <v>12</v>
      </c>
      <c r="Y17" s="55">
        <v>100000</v>
      </c>
      <c r="Z17" s="99">
        <f t="shared" si="0"/>
        <v>1200000</v>
      </c>
      <c r="AC17" s="90">
        <v>10</v>
      </c>
      <c r="AD17" s="67">
        <v>0.2</v>
      </c>
      <c r="AE17" s="99">
        <v>3</v>
      </c>
      <c r="AF17" s="99">
        <v>1</v>
      </c>
      <c r="AG17" s="99">
        <v>3</v>
      </c>
      <c r="AH17" s="55">
        <v>80000</v>
      </c>
      <c r="AI17" s="99">
        <f t="shared" si="3"/>
        <v>240000</v>
      </c>
      <c r="AK17" s="51"/>
      <c r="AL17" s="90">
        <v>10</v>
      </c>
      <c r="AM17" s="67">
        <v>0.2</v>
      </c>
      <c r="AN17" s="99">
        <v>4</v>
      </c>
      <c r="AO17" s="99">
        <v>2</v>
      </c>
      <c r="AP17" s="99">
        <v>8</v>
      </c>
      <c r="AQ17" s="55">
        <v>80000</v>
      </c>
      <c r="AR17" s="99">
        <f t="shared" si="4"/>
        <v>640000</v>
      </c>
      <c r="AU17" s="90">
        <v>10</v>
      </c>
      <c r="AV17" s="67">
        <v>0.2</v>
      </c>
      <c r="AW17" s="18">
        <v>1</v>
      </c>
      <c r="AX17" s="99">
        <v>1</v>
      </c>
      <c r="AY17" s="18">
        <v>1</v>
      </c>
      <c r="AZ17" s="55">
        <v>50000</v>
      </c>
      <c r="BA17" s="99">
        <f t="shared" si="5"/>
        <v>50000</v>
      </c>
      <c r="BD17" s="90">
        <v>10</v>
      </c>
      <c r="BE17" s="67">
        <v>0.2</v>
      </c>
      <c r="BF17" s="99">
        <v>4</v>
      </c>
      <c r="BG17" s="99">
        <v>3</v>
      </c>
      <c r="BH17" s="18">
        <v>12</v>
      </c>
      <c r="BI17" s="55">
        <v>100000</v>
      </c>
      <c r="BJ17" s="99">
        <f t="shared" si="6"/>
        <v>1200000</v>
      </c>
      <c r="BM17" s="90">
        <v>10</v>
      </c>
      <c r="BN17" s="67">
        <v>0.2</v>
      </c>
      <c r="BO17" s="99">
        <v>5</v>
      </c>
      <c r="BP17" s="99">
        <v>1</v>
      </c>
      <c r="BQ17" s="99">
        <v>5</v>
      </c>
      <c r="BR17" s="55">
        <v>80000</v>
      </c>
      <c r="BS17" s="99">
        <f t="shared" si="7"/>
        <v>400000</v>
      </c>
      <c r="BT17" s="99">
        <f t="shared" si="1"/>
        <v>4990000</v>
      </c>
    </row>
    <row r="18" spans="2:72" ht="15.75">
      <c r="B18" s="90">
        <v>11</v>
      </c>
      <c r="C18" s="67">
        <v>0.1</v>
      </c>
      <c r="D18" s="99">
        <v>2</v>
      </c>
      <c r="E18" s="99">
        <v>1</v>
      </c>
      <c r="F18" s="99">
        <v>2</v>
      </c>
      <c r="G18" s="55">
        <v>150000</v>
      </c>
      <c r="H18" s="99">
        <f t="shared" si="8"/>
        <v>300000</v>
      </c>
      <c r="K18" s="90">
        <v>11</v>
      </c>
      <c r="L18" s="67">
        <v>0.1</v>
      </c>
      <c r="M18" s="99">
        <v>3</v>
      </c>
      <c r="N18" s="99">
        <v>2</v>
      </c>
      <c r="O18" s="99">
        <v>6</v>
      </c>
      <c r="P18" s="55">
        <v>70000</v>
      </c>
      <c r="Q18" s="99">
        <f t="shared" si="2"/>
        <v>420000</v>
      </c>
      <c r="T18" s="90">
        <v>11</v>
      </c>
      <c r="U18" s="67">
        <v>0.1</v>
      </c>
      <c r="V18" s="99">
        <v>3</v>
      </c>
      <c r="W18" s="99">
        <v>2</v>
      </c>
      <c r="X18" s="99">
        <v>6</v>
      </c>
      <c r="Y18" s="55">
        <v>100000</v>
      </c>
      <c r="Z18" s="99">
        <f t="shared" si="0"/>
        <v>600000</v>
      </c>
      <c r="AC18" s="90">
        <v>11</v>
      </c>
      <c r="AD18" s="67">
        <v>0.1</v>
      </c>
      <c r="AE18" s="99">
        <v>3</v>
      </c>
      <c r="AF18" s="99">
        <v>1</v>
      </c>
      <c r="AG18" s="99">
        <v>3</v>
      </c>
      <c r="AH18" s="55">
        <v>80000</v>
      </c>
      <c r="AI18" s="99">
        <f t="shared" si="3"/>
        <v>240000</v>
      </c>
      <c r="AK18" s="51"/>
      <c r="AL18" s="90">
        <v>11</v>
      </c>
      <c r="AM18" s="67">
        <v>0.1</v>
      </c>
      <c r="AN18" s="99">
        <v>3</v>
      </c>
      <c r="AO18" s="99">
        <v>2</v>
      </c>
      <c r="AP18" s="99">
        <v>6</v>
      </c>
      <c r="AQ18" s="55">
        <v>80000</v>
      </c>
      <c r="AR18" s="99">
        <f t="shared" si="4"/>
        <v>480000</v>
      </c>
      <c r="AU18" s="90">
        <v>11</v>
      </c>
      <c r="AV18" s="67">
        <v>0.1</v>
      </c>
      <c r="AW18" s="18">
        <v>1</v>
      </c>
      <c r="AX18" s="99">
        <v>1</v>
      </c>
      <c r="AY18" s="18">
        <v>1</v>
      </c>
      <c r="AZ18" s="55">
        <v>50000</v>
      </c>
      <c r="BA18" s="99">
        <f t="shared" si="5"/>
        <v>50000</v>
      </c>
      <c r="BD18" s="90">
        <v>11</v>
      </c>
      <c r="BE18" s="67">
        <v>0.1</v>
      </c>
      <c r="BF18" s="99">
        <v>3</v>
      </c>
      <c r="BG18" s="99">
        <v>2</v>
      </c>
      <c r="BH18" s="18">
        <v>6</v>
      </c>
      <c r="BI18" s="55">
        <v>100000</v>
      </c>
      <c r="BJ18" s="99">
        <f t="shared" si="6"/>
        <v>600000</v>
      </c>
      <c r="BM18" s="90">
        <v>11</v>
      </c>
      <c r="BN18" s="67">
        <v>0.1</v>
      </c>
      <c r="BO18" s="99">
        <v>3</v>
      </c>
      <c r="BP18" s="99">
        <v>1</v>
      </c>
      <c r="BQ18" s="99">
        <v>3</v>
      </c>
      <c r="BR18" s="55">
        <v>80000</v>
      </c>
      <c r="BS18" s="99">
        <f t="shared" si="7"/>
        <v>240000</v>
      </c>
      <c r="BT18" s="99">
        <f t="shared" si="1"/>
        <v>2930000</v>
      </c>
    </row>
    <row r="19" spans="2:72" ht="15.75">
      <c r="B19" s="90">
        <v>12</v>
      </c>
      <c r="C19" s="67">
        <v>0.25</v>
      </c>
      <c r="D19" s="99">
        <v>3</v>
      </c>
      <c r="E19" s="99">
        <v>1</v>
      </c>
      <c r="F19" s="99">
        <v>3</v>
      </c>
      <c r="G19" s="55">
        <v>150000</v>
      </c>
      <c r="H19" s="99">
        <f t="shared" si="8"/>
        <v>450000</v>
      </c>
      <c r="K19" s="90">
        <v>12</v>
      </c>
      <c r="L19" s="67">
        <v>0.25</v>
      </c>
      <c r="M19" s="99">
        <v>4</v>
      </c>
      <c r="N19" s="99">
        <v>2</v>
      </c>
      <c r="O19" s="99">
        <v>8</v>
      </c>
      <c r="P19" s="55">
        <v>70000</v>
      </c>
      <c r="Q19" s="99">
        <f t="shared" si="2"/>
        <v>560000</v>
      </c>
      <c r="T19" s="90">
        <v>12</v>
      </c>
      <c r="U19" s="67">
        <v>0.25</v>
      </c>
      <c r="V19" s="99">
        <v>4</v>
      </c>
      <c r="W19" s="99">
        <v>2</v>
      </c>
      <c r="X19" s="99">
        <v>8</v>
      </c>
      <c r="Y19" s="55">
        <v>100000</v>
      </c>
      <c r="Z19" s="99">
        <f t="shared" si="0"/>
        <v>800000</v>
      </c>
      <c r="AC19" s="90">
        <v>12</v>
      </c>
      <c r="AD19" s="67">
        <v>0.25</v>
      </c>
      <c r="AE19" s="99">
        <v>4</v>
      </c>
      <c r="AF19" s="99">
        <v>1</v>
      </c>
      <c r="AG19" s="99">
        <v>4</v>
      </c>
      <c r="AH19" s="55">
        <v>80000</v>
      </c>
      <c r="AI19" s="99">
        <f t="shared" si="3"/>
        <v>320000</v>
      </c>
      <c r="AK19" s="51"/>
      <c r="AL19" s="90">
        <v>12</v>
      </c>
      <c r="AM19" s="67">
        <v>0.25</v>
      </c>
      <c r="AN19" s="99">
        <v>4</v>
      </c>
      <c r="AO19" s="99">
        <v>2</v>
      </c>
      <c r="AP19" s="99">
        <v>8</v>
      </c>
      <c r="AQ19" s="55">
        <v>80000</v>
      </c>
      <c r="AR19" s="99">
        <f t="shared" si="4"/>
        <v>640000</v>
      </c>
      <c r="AU19" s="90">
        <v>12</v>
      </c>
      <c r="AV19" s="67">
        <v>0.25</v>
      </c>
      <c r="AW19" s="18">
        <v>1</v>
      </c>
      <c r="AX19" s="99">
        <v>1</v>
      </c>
      <c r="AY19" s="18">
        <v>1</v>
      </c>
      <c r="AZ19" s="55">
        <v>50000</v>
      </c>
      <c r="BA19" s="99">
        <f t="shared" si="5"/>
        <v>50000</v>
      </c>
      <c r="BD19" s="90">
        <v>12</v>
      </c>
      <c r="BE19" s="67">
        <v>0.25</v>
      </c>
      <c r="BF19" s="99">
        <v>4</v>
      </c>
      <c r="BG19" s="99">
        <v>3</v>
      </c>
      <c r="BH19" s="18">
        <v>12</v>
      </c>
      <c r="BI19" s="55">
        <v>100000</v>
      </c>
      <c r="BJ19" s="99">
        <f t="shared" si="6"/>
        <v>1200000</v>
      </c>
      <c r="BM19" s="90">
        <v>12</v>
      </c>
      <c r="BN19" s="67">
        <v>0.25</v>
      </c>
      <c r="BO19" s="99">
        <v>6</v>
      </c>
      <c r="BP19" s="99">
        <v>1</v>
      </c>
      <c r="BQ19" s="99">
        <v>6</v>
      </c>
      <c r="BR19" s="55">
        <v>80000</v>
      </c>
      <c r="BS19" s="99">
        <f t="shared" si="7"/>
        <v>480000</v>
      </c>
      <c r="BT19" s="99">
        <f t="shared" si="1"/>
        <v>4500000</v>
      </c>
    </row>
    <row r="20" spans="2:72" ht="15.75">
      <c r="B20" s="90">
        <v>13</v>
      </c>
      <c r="C20" s="67">
        <v>0.23</v>
      </c>
      <c r="D20" s="99">
        <v>3</v>
      </c>
      <c r="E20" s="99">
        <v>1</v>
      </c>
      <c r="F20" s="99">
        <v>3</v>
      </c>
      <c r="G20" s="55">
        <v>150000</v>
      </c>
      <c r="H20" s="99">
        <f t="shared" si="8"/>
        <v>450000</v>
      </c>
      <c r="K20" s="90">
        <v>13</v>
      </c>
      <c r="L20" s="67">
        <v>0.23</v>
      </c>
      <c r="M20" s="99">
        <v>5</v>
      </c>
      <c r="N20" s="99">
        <v>2</v>
      </c>
      <c r="O20" s="99">
        <v>10</v>
      </c>
      <c r="P20" s="55">
        <v>70000</v>
      </c>
      <c r="Q20" s="99">
        <f t="shared" si="2"/>
        <v>700000</v>
      </c>
      <c r="T20" s="90">
        <v>13</v>
      </c>
      <c r="U20" s="67">
        <v>0.23</v>
      </c>
      <c r="V20" s="99">
        <v>5</v>
      </c>
      <c r="W20" s="99">
        <v>2</v>
      </c>
      <c r="X20" s="99">
        <v>10</v>
      </c>
      <c r="Y20" s="55">
        <v>100000</v>
      </c>
      <c r="Z20" s="99">
        <f t="shared" si="0"/>
        <v>1000000</v>
      </c>
      <c r="AC20" s="90">
        <v>13</v>
      </c>
      <c r="AD20" s="67">
        <v>0.23</v>
      </c>
      <c r="AE20" s="99">
        <v>4</v>
      </c>
      <c r="AF20" s="99">
        <v>1</v>
      </c>
      <c r="AG20" s="99">
        <v>4</v>
      </c>
      <c r="AH20" s="55">
        <v>80000</v>
      </c>
      <c r="AI20" s="99">
        <f t="shared" si="3"/>
        <v>320000</v>
      </c>
      <c r="AK20" s="51"/>
      <c r="AL20" s="90">
        <v>13</v>
      </c>
      <c r="AM20" s="67">
        <v>0.23</v>
      </c>
      <c r="AN20" s="99">
        <v>4</v>
      </c>
      <c r="AO20" s="99">
        <v>2</v>
      </c>
      <c r="AP20" s="99">
        <v>8</v>
      </c>
      <c r="AQ20" s="55">
        <v>80000</v>
      </c>
      <c r="AR20" s="99">
        <f t="shared" si="4"/>
        <v>640000</v>
      </c>
      <c r="AU20" s="90">
        <v>13</v>
      </c>
      <c r="AV20" s="67">
        <v>0.23</v>
      </c>
      <c r="AW20" s="18">
        <v>1</v>
      </c>
      <c r="AX20" s="99">
        <v>1</v>
      </c>
      <c r="AY20" s="18">
        <v>1</v>
      </c>
      <c r="AZ20" s="55">
        <v>50000</v>
      </c>
      <c r="BA20" s="99">
        <f t="shared" si="5"/>
        <v>50000</v>
      </c>
      <c r="BD20" s="90">
        <v>13</v>
      </c>
      <c r="BE20" s="67">
        <v>0.23</v>
      </c>
      <c r="BF20" s="99">
        <v>5</v>
      </c>
      <c r="BG20" s="99">
        <v>3</v>
      </c>
      <c r="BH20" s="18">
        <v>15</v>
      </c>
      <c r="BI20" s="55">
        <v>100000</v>
      </c>
      <c r="BJ20" s="99">
        <f t="shared" si="6"/>
        <v>1500000</v>
      </c>
      <c r="BM20" s="90">
        <v>13</v>
      </c>
      <c r="BN20" s="67">
        <v>0.23</v>
      </c>
      <c r="BO20" s="99">
        <v>5</v>
      </c>
      <c r="BP20" s="99">
        <v>1</v>
      </c>
      <c r="BQ20" s="99">
        <v>5</v>
      </c>
      <c r="BR20" s="55">
        <v>80000</v>
      </c>
      <c r="BS20" s="99">
        <f t="shared" si="7"/>
        <v>400000</v>
      </c>
      <c r="BT20" s="99">
        <f t="shared" si="1"/>
        <v>5060000</v>
      </c>
    </row>
    <row r="21" spans="2:72" ht="15.75">
      <c r="B21" s="90">
        <v>14</v>
      </c>
      <c r="C21" s="67">
        <v>0.35</v>
      </c>
      <c r="D21" s="99">
        <v>4</v>
      </c>
      <c r="E21" s="99">
        <v>1</v>
      </c>
      <c r="F21" s="99">
        <v>4</v>
      </c>
      <c r="G21" s="55">
        <v>150000</v>
      </c>
      <c r="H21" s="99">
        <f t="shared" si="8"/>
        <v>600000</v>
      </c>
      <c r="K21" s="90">
        <v>14</v>
      </c>
      <c r="L21" s="67">
        <v>0.35</v>
      </c>
      <c r="M21" s="99">
        <v>4</v>
      </c>
      <c r="N21" s="99">
        <v>3</v>
      </c>
      <c r="O21" s="99">
        <v>12</v>
      </c>
      <c r="P21" s="55">
        <v>70000</v>
      </c>
      <c r="Q21" s="99">
        <f t="shared" si="2"/>
        <v>840000</v>
      </c>
      <c r="T21" s="90">
        <v>14</v>
      </c>
      <c r="U21" s="67">
        <v>0.35</v>
      </c>
      <c r="V21" s="99">
        <v>5</v>
      </c>
      <c r="W21" s="99">
        <v>3</v>
      </c>
      <c r="X21" s="99">
        <v>12</v>
      </c>
      <c r="Y21" s="55">
        <v>100000</v>
      </c>
      <c r="Z21" s="99">
        <f t="shared" si="0"/>
        <v>1200000</v>
      </c>
      <c r="AC21" s="90">
        <v>14</v>
      </c>
      <c r="AD21" s="67">
        <v>0.35</v>
      </c>
      <c r="AE21" s="99">
        <v>5</v>
      </c>
      <c r="AF21" s="99">
        <v>1</v>
      </c>
      <c r="AG21" s="99">
        <v>5</v>
      </c>
      <c r="AH21" s="55">
        <v>80000</v>
      </c>
      <c r="AI21" s="99">
        <f t="shared" si="3"/>
        <v>400000</v>
      </c>
      <c r="AK21" s="51"/>
      <c r="AL21" s="90">
        <v>14</v>
      </c>
      <c r="AM21" s="67">
        <v>0.35</v>
      </c>
      <c r="AN21" s="99">
        <v>5</v>
      </c>
      <c r="AO21" s="99">
        <v>2</v>
      </c>
      <c r="AP21" s="99">
        <v>10</v>
      </c>
      <c r="AQ21" s="55">
        <v>80000</v>
      </c>
      <c r="AR21" s="99">
        <f t="shared" si="4"/>
        <v>800000</v>
      </c>
      <c r="AU21" s="90">
        <v>14</v>
      </c>
      <c r="AV21" s="67">
        <v>0.35</v>
      </c>
      <c r="AW21" s="18">
        <v>1</v>
      </c>
      <c r="AX21" s="99">
        <v>1</v>
      </c>
      <c r="AY21" s="18">
        <v>1</v>
      </c>
      <c r="AZ21" s="55">
        <v>50000</v>
      </c>
      <c r="BA21" s="99">
        <f t="shared" si="5"/>
        <v>50000</v>
      </c>
      <c r="BD21" s="90">
        <v>14</v>
      </c>
      <c r="BE21" s="67">
        <v>0.35</v>
      </c>
      <c r="BF21" s="99">
        <v>7</v>
      </c>
      <c r="BG21" s="99">
        <v>3</v>
      </c>
      <c r="BH21" s="18">
        <v>21</v>
      </c>
      <c r="BI21" s="55">
        <v>100000</v>
      </c>
      <c r="BJ21" s="99">
        <f t="shared" si="6"/>
        <v>2100000</v>
      </c>
      <c r="BM21" s="90">
        <v>14</v>
      </c>
      <c r="BN21" s="67">
        <v>0.35</v>
      </c>
      <c r="BO21" s="99">
        <v>5</v>
      </c>
      <c r="BP21" s="99">
        <v>1</v>
      </c>
      <c r="BQ21" s="99">
        <v>5</v>
      </c>
      <c r="BR21" s="55">
        <v>80000</v>
      </c>
      <c r="BS21" s="99">
        <f t="shared" si="7"/>
        <v>400000</v>
      </c>
      <c r="BT21" s="99">
        <f t="shared" si="1"/>
        <v>6390000</v>
      </c>
    </row>
    <row r="22" spans="2:72" ht="15.75">
      <c r="B22" s="90">
        <v>15</v>
      </c>
      <c r="C22" s="67">
        <v>0.27</v>
      </c>
      <c r="D22" s="99">
        <v>2</v>
      </c>
      <c r="E22" s="99">
        <v>1</v>
      </c>
      <c r="F22" s="99">
        <v>2</v>
      </c>
      <c r="G22" s="55">
        <v>150000</v>
      </c>
      <c r="H22" s="99">
        <f t="shared" si="8"/>
        <v>300000</v>
      </c>
      <c r="K22" s="90">
        <v>15</v>
      </c>
      <c r="L22" s="67">
        <v>0.27</v>
      </c>
      <c r="M22" s="99">
        <v>5</v>
      </c>
      <c r="N22" s="99">
        <v>3</v>
      </c>
      <c r="O22" s="99">
        <v>15</v>
      </c>
      <c r="P22" s="55">
        <v>70000</v>
      </c>
      <c r="Q22" s="99">
        <f t="shared" si="2"/>
        <v>1050000</v>
      </c>
      <c r="T22" s="90">
        <v>15</v>
      </c>
      <c r="U22" s="67">
        <v>0.27</v>
      </c>
      <c r="V22" s="99">
        <v>5</v>
      </c>
      <c r="W22" s="99">
        <v>3</v>
      </c>
      <c r="X22" s="99">
        <v>15</v>
      </c>
      <c r="Y22" s="55">
        <v>100000</v>
      </c>
      <c r="Z22" s="99">
        <f t="shared" si="0"/>
        <v>1500000</v>
      </c>
      <c r="AC22" s="90">
        <v>15</v>
      </c>
      <c r="AD22" s="67">
        <v>0.27</v>
      </c>
      <c r="AE22" s="99">
        <v>5</v>
      </c>
      <c r="AF22" s="99">
        <v>1</v>
      </c>
      <c r="AG22" s="99">
        <v>5</v>
      </c>
      <c r="AH22" s="55">
        <v>80000</v>
      </c>
      <c r="AI22" s="99">
        <f t="shared" si="3"/>
        <v>400000</v>
      </c>
      <c r="AK22" s="51"/>
      <c r="AL22" s="90">
        <v>15</v>
      </c>
      <c r="AM22" s="67">
        <v>0.27</v>
      </c>
      <c r="AN22" s="99">
        <v>5</v>
      </c>
      <c r="AO22" s="99">
        <v>2</v>
      </c>
      <c r="AP22" s="99">
        <v>10</v>
      </c>
      <c r="AQ22" s="55">
        <v>80000</v>
      </c>
      <c r="AR22" s="99">
        <f t="shared" si="4"/>
        <v>800000</v>
      </c>
      <c r="AU22" s="90">
        <v>15</v>
      </c>
      <c r="AV22" s="67">
        <v>0.27</v>
      </c>
      <c r="AW22" s="18">
        <v>1</v>
      </c>
      <c r="AX22" s="99">
        <v>1</v>
      </c>
      <c r="AY22" s="18">
        <v>1</v>
      </c>
      <c r="AZ22" s="55">
        <v>50000</v>
      </c>
      <c r="BA22" s="99">
        <f t="shared" si="5"/>
        <v>50000</v>
      </c>
      <c r="BD22" s="90">
        <v>15</v>
      </c>
      <c r="BE22" s="67">
        <v>0.27</v>
      </c>
      <c r="BF22" s="99">
        <v>6</v>
      </c>
      <c r="BG22" s="99">
        <v>3</v>
      </c>
      <c r="BH22" s="18">
        <v>18</v>
      </c>
      <c r="BI22" s="55">
        <v>100000</v>
      </c>
      <c r="BJ22" s="99">
        <f t="shared" si="6"/>
        <v>1800000</v>
      </c>
      <c r="BM22" s="90">
        <v>15</v>
      </c>
      <c r="BN22" s="67">
        <v>0.27</v>
      </c>
      <c r="BO22" s="99">
        <v>6</v>
      </c>
      <c r="BP22" s="99">
        <v>1</v>
      </c>
      <c r="BQ22" s="99">
        <v>6</v>
      </c>
      <c r="BR22" s="55">
        <v>80000</v>
      </c>
      <c r="BS22" s="99">
        <f t="shared" si="7"/>
        <v>480000</v>
      </c>
      <c r="BT22" s="99">
        <f t="shared" si="1"/>
        <v>6380000</v>
      </c>
    </row>
    <row r="23" spans="2:72" ht="15.75">
      <c r="B23" s="90">
        <v>16</v>
      </c>
      <c r="C23" s="67">
        <v>0.12</v>
      </c>
      <c r="D23" s="99">
        <v>2</v>
      </c>
      <c r="E23" s="99">
        <v>1</v>
      </c>
      <c r="F23" s="99">
        <v>2</v>
      </c>
      <c r="G23" s="55">
        <v>150000</v>
      </c>
      <c r="H23" s="99">
        <f t="shared" si="8"/>
        <v>300000</v>
      </c>
      <c r="K23" s="90">
        <v>16</v>
      </c>
      <c r="L23" s="67">
        <v>0.12</v>
      </c>
      <c r="M23" s="99">
        <v>3</v>
      </c>
      <c r="N23" s="99">
        <v>3</v>
      </c>
      <c r="O23" s="99">
        <v>9</v>
      </c>
      <c r="P23" s="55">
        <v>70000</v>
      </c>
      <c r="Q23" s="99">
        <f t="shared" si="2"/>
        <v>630000</v>
      </c>
      <c r="T23" s="90">
        <v>16</v>
      </c>
      <c r="U23" s="67">
        <v>0.12</v>
      </c>
      <c r="V23" s="99">
        <v>3</v>
      </c>
      <c r="W23" s="99">
        <v>3</v>
      </c>
      <c r="X23" s="99">
        <v>9</v>
      </c>
      <c r="Y23" s="55">
        <v>100000</v>
      </c>
      <c r="Z23" s="99">
        <f t="shared" si="0"/>
        <v>900000</v>
      </c>
      <c r="AC23" s="90">
        <v>16</v>
      </c>
      <c r="AD23" s="67">
        <v>0.12</v>
      </c>
      <c r="AE23" s="99">
        <v>3</v>
      </c>
      <c r="AF23" s="99">
        <v>1</v>
      </c>
      <c r="AG23" s="99">
        <v>3</v>
      </c>
      <c r="AH23" s="55">
        <v>80000</v>
      </c>
      <c r="AI23" s="99">
        <f t="shared" si="3"/>
        <v>240000</v>
      </c>
      <c r="AK23" s="51"/>
      <c r="AL23" s="90">
        <v>16</v>
      </c>
      <c r="AM23" s="67">
        <v>0.12</v>
      </c>
      <c r="AN23" s="99">
        <v>3</v>
      </c>
      <c r="AO23" s="99">
        <v>2</v>
      </c>
      <c r="AP23" s="99">
        <v>6</v>
      </c>
      <c r="AQ23" s="55">
        <v>80000</v>
      </c>
      <c r="AR23" s="99">
        <f t="shared" si="4"/>
        <v>480000</v>
      </c>
      <c r="AU23" s="90">
        <v>16</v>
      </c>
      <c r="AV23" s="67">
        <v>0.12</v>
      </c>
      <c r="AW23" s="18">
        <v>1</v>
      </c>
      <c r="AX23" s="99">
        <v>1</v>
      </c>
      <c r="AY23" s="18">
        <v>1</v>
      </c>
      <c r="AZ23" s="55">
        <v>50000</v>
      </c>
      <c r="BA23" s="99">
        <f t="shared" si="5"/>
        <v>50000</v>
      </c>
      <c r="BD23" s="90">
        <v>16</v>
      </c>
      <c r="BE23" s="67">
        <v>0.12</v>
      </c>
      <c r="BF23" s="99">
        <v>3</v>
      </c>
      <c r="BG23" s="99">
        <v>2</v>
      </c>
      <c r="BH23" s="18">
        <v>6</v>
      </c>
      <c r="BI23" s="55">
        <v>100000</v>
      </c>
      <c r="BJ23" s="99">
        <f t="shared" si="6"/>
        <v>600000</v>
      </c>
      <c r="BM23" s="90">
        <v>16</v>
      </c>
      <c r="BN23" s="67">
        <v>0.12</v>
      </c>
      <c r="BO23" s="99">
        <v>5</v>
      </c>
      <c r="BP23" s="99">
        <v>1</v>
      </c>
      <c r="BQ23" s="99">
        <v>5</v>
      </c>
      <c r="BR23" s="55">
        <v>80000</v>
      </c>
      <c r="BS23" s="99">
        <f t="shared" si="7"/>
        <v>400000</v>
      </c>
      <c r="BT23" s="99">
        <f t="shared" si="1"/>
        <v>3600000</v>
      </c>
    </row>
    <row r="24" spans="2:72" ht="15.75">
      <c r="B24" s="90">
        <v>17</v>
      </c>
      <c r="C24" s="67">
        <v>0.28999999999999998</v>
      </c>
      <c r="D24" s="99">
        <v>3</v>
      </c>
      <c r="E24" s="99">
        <v>1</v>
      </c>
      <c r="F24" s="99">
        <v>3</v>
      </c>
      <c r="G24" s="55">
        <v>150000</v>
      </c>
      <c r="H24" s="99">
        <f t="shared" si="8"/>
        <v>450000</v>
      </c>
      <c r="K24" s="90">
        <v>17</v>
      </c>
      <c r="L24" s="67">
        <v>0.28999999999999998</v>
      </c>
      <c r="M24" s="99">
        <v>3</v>
      </c>
      <c r="N24" s="99">
        <v>3</v>
      </c>
      <c r="O24" s="99">
        <v>9</v>
      </c>
      <c r="P24" s="55">
        <v>70000</v>
      </c>
      <c r="Q24" s="99">
        <f t="shared" si="2"/>
        <v>630000</v>
      </c>
      <c r="T24" s="90">
        <v>17</v>
      </c>
      <c r="U24" s="67">
        <v>0.28999999999999998</v>
      </c>
      <c r="V24" s="99">
        <v>3</v>
      </c>
      <c r="W24" s="99">
        <v>3</v>
      </c>
      <c r="X24" s="99">
        <v>9</v>
      </c>
      <c r="Y24" s="55">
        <v>100000</v>
      </c>
      <c r="Z24" s="99">
        <f t="shared" si="0"/>
        <v>900000</v>
      </c>
      <c r="AC24" s="90">
        <v>17</v>
      </c>
      <c r="AD24" s="67">
        <v>0.28999999999999998</v>
      </c>
      <c r="AE24" s="99">
        <v>4</v>
      </c>
      <c r="AF24" s="99">
        <v>1</v>
      </c>
      <c r="AG24" s="99">
        <v>4</v>
      </c>
      <c r="AH24" s="55">
        <v>80000</v>
      </c>
      <c r="AI24" s="99">
        <f t="shared" si="3"/>
        <v>320000</v>
      </c>
      <c r="AK24" s="51"/>
      <c r="AL24" s="90">
        <v>17</v>
      </c>
      <c r="AM24" s="67">
        <v>0.28999999999999998</v>
      </c>
      <c r="AN24" s="99">
        <v>3</v>
      </c>
      <c r="AO24" s="99">
        <v>2</v>
      </c>
      <c r="AP24" s="99">
        <v>6</v>
      </c>
      <c r="AQ24" s="55">
        <v>80000</v>
      </c>
      <c r="AR24" s="99">
        <f t="shared" si="4"/>
        <v>480000</v>
      </c>
      <c r="AU24" s="90">
        <v>17</v>
      </c>
      <c r="AV24" s="67">
        <v>0.28999999999999998</v>
      </c>
      <c r="AW24" s="18">
        <v>1</v>
      </c>
      <c r="AX24" s="99">
        <v>1</v>
      </c>
      <c r="AY24" s="18">
        <v>1</v>
      </c>
      <c r="AZ24" s="55">
        <v>50000</v>
      </c>
      <c r="BA24" s="99">
        <f t="shared" si="5"/>
        <v>50000</v>
      </c>
      <c r="BD24" s="90">
        <v>17</v>
      </c>
      <c r="BE24" s="67">
        <v>0.28999999999999998</v>
      </c>
      <c r="BF24" s="99">
        <v>3</v>
      </c>
      <c r="BG24" s="99">
        <v>3</v>
      </c>
      <c r="BH24" s="18">
        <v>9</v>
      </c>
      <c r="BI24" s="55">
        <v>100000</v>
      </c>
      <c r="BJ24" s="99">
        <f t="shared" si="6"/>
        <v>900000</v>
      </c>
      <c r="BM24" s="90">
        <v>17</v>
      </c>
      <c r="BN24" s="67">
        <v>0.28999999999999998</v>
      </c>
      <c r="BO24" s="99">
        <v>5</v>
      </c>
      <c r="BP24" s="99">
        <v>1</v>
      </c>
      <c r="BQ24" s="99">
        <v>5</v>
      </c>
      <c r="BR24" s="55">
        <v>80000</v>
      </c>
      <c r="BS24" s="99">
        <f t="shared" si="7"/>
        <v>400000</v>
      </c>
      <c r="BT24" s="99">
        <f t="shared" si="1"/>
        <v>4130000</v>
      </c>
    </row>
    <row r="25" spans="2:72" ht="15.75">
      <c r="B25" s="90">
        <v>18</v>
      </c>
      <c r="C25" s="67">
        <v>0.28000000000000003</v>
      </c>
      <c r="D25" s="99">
        <v>2</v>
      </c>
      <c r="E25" s="99">
        <v>1</v>
      </c>
      <c r="F25" s="99">
        <v>2</v>
      </c>
      <c r="G25" s="55">
        <v>150000</v>
      </c>
      <c r="H25" s="99">
        <f t="shared" si="8"/>
        <v>300000</v>
      </c>
      <c r="K25" s="90">
        <v>18</v>
      </c>
      <c r="L25" s="67">
        <v>0.28000000000000003</v>
      </c>
      <c r="M25" s="99">
        <v>5</v>
      </c>
      <c r="N25" s="99">
        <v>2</v>
      </c>
      <c r="O25" s="99">
        <v>10</v>
      </c>
      <c r="P25" s="55">
        <v>70000</v>
      </c>
      <c r="Q25" s="99">
        <f t="shared" si="2"/>
        <v>700000</v>
      </c>
      <c r="T25" s="90">
        <v>18</v>
      </c>
      <c r="U25" s="67">
        <v>0.28000000000000003</v>
      </c>
      <c r="V25" s="99">
        <v>5</v>
      </c>
      <c r="W25" s="99">
        <v>2</v>
      </c>
      <c r="X25" s="99">
        <v>10</v>
      </c>
      <c r="Y25" s="55">
        <v>100000</v>
      </c>
      <c r="Z25" s="99">
        <f t="shared" si="0"/>
        <v>1000000</v>
      </c>
      <c r="AC25" s="90">
        <v>18</v>
      </c>
      <c r="AD25" s="67">
        <v>0.28000000000000003</v>
      </c>
      <c r="AE25" s="99">
        <v>4</v>
      </c>
      <c r="AF25" s="99">
        <v>1</v>
      </c>
      <c r="AG25" s="99">
        <v>4</v>
      </c>
      <c r="AH25" s="55">
        <v>80000</v>
      </c>
      <c r="AI25" s="99">
        <f t="shared" si="3"/>
        <v>320000</v>
      </c>
      <c r="AK25" s="51"/>
      <c r="AL25" s="90">
        <v>18</v>
      </c>
      <c r="AM25" s="67">
        <v>0.28000000000000003</v>
      </c>
      <c r="AN25" s="99">
        <v>5</v>
      </c>
      <c r="AO25" s="99">
        <v>2</v>
      </c>
      <c r="AP25" s="99">
        <v>10</v>
      </c>
      <c r="AQ25" s="55">
        <v>80000</v>
      </c>
      <c r="AR25" s="99">
        <f t="shared" si="4"/>
        <v>800000</v>
      </c>
      <c r="AU25" s="90">
        <v>18</v>
      </c>
      <c r="AV25" s="67">
        <v>0.28000000000000003</v>
      </c>
      <c r="AW25" s="18">
        <v>1</v>
      </c>
      <c r="AX25" s="99">
        <v>1</v>
      </c>
      <c r="AY25" s="18">
        <v>1</v>
      </c>
      <c r="AZ25" s="55">
        <v>50000</v>
      </c>
      <c r="BA25" s="99">
        <f t="shared" si="5"/>
        <v>50000</v>
      </c>
      <c r="BD25" s="90">
        <v>18</v>
      </c>
      <c r="BE25" s="67">
        <v>0.28000000000000003</v>
      </c>
      <c r="BF25" s="99">
        <v>5</v>
      </c>
      <c r="BG25" s="99">
        <v>3</v>
      </c>
      <c r="BH25" s="18">
        <v>15</v>
      </c>
      <c r="BI25" s="55">
        <v>100000</v>
      </c>
      <c r="BJ25" s="99">
        <f t="shared" si="6"/>
        <v>1500000</v>
      </c>
      <c r="BM25" s="90">
        <v>18</v>
      </c>
      <c r="BN25" s="67">
        <v>0.28000000000000003</v>
      </c>
      <c r="BO25" s="99">
        <v>4</v>
      </c>
      <c r="BP25" s="99">
        <v>1</v>
      </c>
      <c r="BQ25" s="99">
        <v>4</v>
      </c>
      <c r="BR25" s="55">
        <v>80000</v>
      </c>
      <c r="BS25" s="99">
        <f t="shared" si="7"/>
        <v>320000</v>
      </c>
      <c r="BT25" s="99">
        <f t="shared" si="1"/>
        <v>4990000</v>
      </c>
    </row>
    <row r="26" spans="2:72" ht="15.75">
      <c r="B26" s="90">
        <v>19</v>
      </c>
      <c r="C26" s="67">
        <v>0.38</v>
      </c>
      <c r="D26" s="99">
        <v>3</v>
      </c>
      <c r="E26" s="99">
        <v>1</v>
      </c>
      <c r="F26" s="99">
        <v>3</v>
      </c>
      <c r="G26" s="55">
        <v>150000</v>
      </c>
      <c r="H26" s="99">
        <f t="shared" si="8"/>
        <v>450000</v>
      </c>
      <c r="K26" s="90">
        <v>19</v>
      </c>
      <c r="L26" s="67">
        <v>0.38</v>
      </c>
      <c r="M26" s="99">
        <v>5</v>
      </c>
      <c r="N26" s="99">
        <v>4</v>
      </c>
      <c r="O26" s="99">
        <v>20</v>
      </c>
      <c r="P26" s="55">
        <v>70000</v>
      </c>
      <c r="Q26" s="99">
        <f t="shared" si="2"/>
        <v>1400000</v>
      </c>
      <c r="T26" s="90">
        <v>19</v>
      </c>
      <c r="U26" s="67">
        <v>0.38</v>
      </c>
      <c r="V26" s="99">
        <v>5</v>
      </c>
      <c r="W26" s="99">
        <v>4</v>
      </c>
      <c r="X26" s="99">
        <v>20</v>
      </c>
      <c r="Y26" s="55">
        <v>100000</v>
      </c>
      <c r="Z26" s="99">
        <f t="shared" si="0"/>
        <v>2000000</v>
      </c>
      <c r="AC26" s="90">
        <v>19</v>
      </c>
      <c r="AD26" s="67">
        <v>0.38</v>
      </c>
      <c r="AE26" s="99">
        <v>4</v>
      </c>
      <c r="AF26" s="99">
        <v>1</v>
      </c>
      <c r="AG26" s="99">
        <v>4</v>
      </c>
      <c r="AH26" s="55">
        <v>80000</v>
      </c>
      <c r="AI26" s="99">
        <f t="shared" si="3"/>
        <v>320000</v>
      </c>
      <c r="AK26" s="51"/>
      <c r="AL26" s="90">
        <v>19</v>
      </c>
      <c r="AM26" s="67">
        <v>0.38</v>
      </c>
      <c r="AN26" s="99">
        <v>5</v>
      </c>
      <c r="AO26" s="99">
        <v>2</v>
      </c>
      <c r="AP26" s="99">
        <v>10</v>
      </c>
      <c r="AQ26" s="55">
        <v>80000</v>
      </c>
      <c r="AR26" s="99">
        <f t="shared" si="4"/>
        <v>800000</v>
      </c>
      <c r="AU26" s="90">
        <v>19</v>
      </c>
      <c r="AV26" s="67">
        <v>0.38</v>
      </c>
      <c r="AW26" s="18">
        <v>1</v>
      </c>
      <c r="AX26" s="99">
        <v>1</v>
      </c>
      <c r="AY26" s="18">
        <v>1</v>
      </c>
      <c r="AZ26" s="55">
        <v>50000</v>
      </c>
      <c r="BA26" s="99">
        <f t="shared" si="5"/>
        <v>50000</v>
      </c>
      <c r="BD26" s="90">
        <v>19</v>
      </c>
      <c r="BE26" s="67">
        <v>0.38</v>
      </c>
      <c r="BF26" s="99">
        <v>6</v>
      </c>
      <c r="BG26" s="99">
        <v>4</v>
      </c>
      <c r="BH26" s="18">
        <v>24</v>
      </c>
      <c r="BI26" s="55">
        <v>100000</v>
      </c>
      <c r="BJ26" s="99">
        <f t="shared" si="6"/>
        <v>2400000</v>
      </c>
      <c r="BM26" s="90">
        <v>19</v>
      </c>
      <c r="BN26" s="67">
        <v>0.38</v>
      </c>
      <c r="BO26" s="99">
        <v>6</v>
      </c>
      <c r="BP26" s="99">
        <v>1</v>
      </c>
      <c r="BQ26" s="99">
        <v>6</v>
      </c>
      <c r="BR26" s="55">
        <v>80000</v>
      </c>
      <c r="BS26" s="99">
        <f t="shared" si="7"/>
        <v>480000</v>
      </c>
      <c r="BT26" s="99">
        <f t="shared" si="1"/>
        <v>7900000</v>
      </c>
    </row>
    <row r="27" spans="2:72" ht="15.75">
      <c r="B27" s="90">
        <v>20</v>
      </c>
      <c r="C27" s="67">
        <v>0.1</v>
      </c>
      <c r="D27" s="99">
        <v>2</v>
      </c>
      <c r="E27" s="99">
        <v>1</v>
      </c>
      <c r="F27" s="99">
        <v>2</v>
      </c>
      <c r="G27" s="55">
        <v>150000</v>
      </c>
      <c r="H27" s="99">
        <f t="shared" si="8"/>
        <v>300000</v>
      </c>
      <c r="K27" s="90">
        <v>20</v>
      </c>
      <c r="L27" s="67">
        <v>0.1</v>
      </c>
      <c r="M27" s="99">
        <v>4</v>
      </c>
      <c r="N27" s="99">
        <v>3</v>
      </c>
      <c r="O27" s="99">
        <v>12</v>
      </c>
      <c r="P27" s="55">
        <v>70000</v>
      </c>
      <c r="Q27" s="99">
        <f t="shared" si="2"/>
        <v>840000</v>
      </c>
      <c r="T27" s="90">
        <v>20</v>
      </c>
      <c r="U27" s="67">
        <v>0.1</v>
      </c>
      <c r="V27" s="99">
        <v>4</v>
      </c>
      <c r="W27" s="99">
        <v>3</v>
      </c>
      <c r="X27" s="99">
        <v>12</v>
      </c>
      <c r="Y27" s="55">
        <v>100000</v>
      </c>
      <c r="Z27" s="99">
        <f t="shared" si="0"/>
        <v>1200000</v>
      </c>
      <c r="AC27" s="90">
        <v>20</v>
      </c>
      <c r="AD27" s="67">
        <v>0.1</v>
      </c>
      <c r="AE27" s="99">
        <v>2</v>
      </c>
      <c r="AF27" s="99">
        <v>1</v>
      </c>
      <c r="AG27" s="99">
        <v>2</v>
      </c>
      <c r="AH27" s="55">
        <v>80000</v>
      </c>
      <c r="AI27" s="99">
        <f t="shared" si="3"/>
        <v>160000</v>
      </c>
      <c r="AK27" s="51"/>
      <c r="AL27" s="90">
        <v>20</v>
      </c>
      <c r="AM27" s="67">
        <v>0.1</v>
      </c>
      <c r="AN27" s="99">
        <v>4</v>
      </c>
      <c r="AO27" s="99">
        <v>1</v>
      </c>
      <c r="AP27" s="99">
        <v>4</v>
      </c>
      <c r="AQ27" s="55">
        <v>80000</v>
      </c>
      <c r="AR27" s="99">
        <f t="shared" si="4"/>
        <v>320000</v>
      </c>
      <c r="AU27" s="90">
        <v>20</v>
      </c>
      <c r="AV27" s="67">
        <v>0.1</v>
      </c>
      <c r="AW27" s="18">
        <v>1</v>
      </c>
      <c r="AX27" s="99">
        <v>1</v>
      </c>
      <c r="AY27" s="18">
        <v>1</v>
      </c>
      <c r="AZ27" s="55">
        <v>50000</v>
      </c>
      <c r="BA27" s="99">
        <f t="shared" si="5"/>
        <v>50000</v>
      </c>
      <c r="BD27" s="90">
        <v>20</v>
      </c>
      <c r="BE27" s="67">
        <v>0.1</v>
      </c>
      <c r="BF27" s="99">
        <v>4</v>
      </c>
      <c r="BG27" s="99">
        <v>2</v>
      </c>
      <c r="BH27" s="18">
        <v>8</v>
      </c>
      <c r="BI27" s="55">
        <v>100000</v>
      </c>
      <c r="BJ27" s="99">
        <f t="shared" si="6"/>
        <v>800000</v>
      </c>
      <c r="BM27" s="90">
        <v>20</v>
      </c>
      <c r="BN27" s="67">
        <v>0.1</v>
      </c>
      <c r="BO27" s="99">
        <v>2</v>
      </c>
      <c r="BP27" s="99">
        <v>1</v>
      </c>
      <c r="BQ27" s="99">
        <v>2</v>
      </c>
      <c r="BR27" s="55">
        <v>80000</v>
      </c>
      <c r="BS27" s="99">
        <f t="shared" si="7"/>
        <v>160000</v>
      </c>
      <c r="BT27" s="99">
        <f t="shared" si="1"/>
        <v>3830000</v>
      </c>
    </row>
    <row r="28" spans="2:72" ht="15.75">
      <c r="B28" s="90">
        <v>21</v>
      </c>
      <c r="C28" s="67">
        <v>0.08</v>
      </c>
      <c r="D28" s="99">
        <v>2</v>
      </c>
      <c r="E28" s="99">
        <v>1</v>
      </c>
      <c r="F28" s="99">
        <v>2</v>
      </c>
      <c r="G28" s="55">
        <v>150000</v>
      </c>
      <c r="H28" s="99">
        <f t="shared" si="8"/>
        <v>300000</v>
      </c>
      <c r="K28" s="90">
        <v>21</v>
      </c>
      <c r="L28" s="67">
        <v>0.08</v>
      </c>
      <c r="M28" s="99">
        <v>3</v>
      </c>
      <c r="N28" s="99">
        <v>3</v>
      </c>
      <c r="O28" s="99">
        <v>9</v>
      </c>
      <c r="P28" s="55">
        <v>80000</v>
      </c>
      <c r="Q28" s="99">
        <f t="shared" si="2"/>
        <v>720000</v>
      </c>
      <c r="T28" s="90">
        <v>21</v>
      </c>
      <c r="U28" s="67">
        <v>0.08</v>
      </c>
      <c r="V28" s="99">
        <v>3</v>
      </c>
      <c r="W28" s="99">
        <v>3</v>
      </c>
      <c r="X28" s="99">
        <v>9</v>
      </c>
      <c r="Y28" s="55">
        <v>100000</v>
      </c>
      <c r="Z28" s="99">
        <f t="shared" si="0"/>
        <v>900000</v>
      </c>
      <c r="AC28" s="90">
        <v>21</v>
      </c>
      <c r="AD28" s="67">
        <v>0.08</v>
      </c>
      <c r="AE28" s="99">
        <v>2</v>
      </c>
      <c r="AF28" s="99">
        <v>1</v>
      </c>
      <c r="AG28" s="99">
        <v>2</v>
      </c>
      <c r="AH28" s="55">
        <v>80000</v>
      </c>
      <c r="AI28" s="99">
        <f t="shared" si="3"/>
        <v>160000</v>
      </c>
      <c r="AK28" s="51"/>
      <c r="AL28" s="90">
        <v>21</v>
      </c>
      <c r="AM28" s="67">
        <v>0.08</v>
      </c>
      <c r="AN28" s="99">
        <v>3</v>
      </c>
      <c r="AO28" s="99">
        <v>1</v>
      </c>
      <c r="AP28" s="99">
        <v>3</v>
      </c>
      <c r="AQ28" s="55">
        <v>80000</v>
      </c>
      <c r="AR28" s="99">
        <f t="shared" si="4"/>
        <v>240000</v>
      </c>
      <c r="AU28" s="90">
        <v>21</v>
      </c>
      <c r="AV28" s="67">
        <v>0.08</v>
      </c>
      <c r="AW28" s="18">
        <v>1</v>
      </c>
      <c r="AX28" s="99">
        <v>1</v>
      </c>
      <c r="AY28" s="18">
        <v>1</v>
      </c>
      <c r="AZ28" s="55">
        <v>50000</v>
      </c>
      <c r="BA28" s="99">
        <f t="shared" si="5"/>
        <v>50000</v>
      </c>
      <c r="BD28" s="90">
        <v>21</v>
      </c>
      <c r="BE28" s="67">
        <v>0.08</v>
      </c>
      <c r="BF28" s="99">
        <v>3</v>
      </c>
      <c r="BG28" s="99">
        <v>2</v>
      </c>
      <c r="BH28" s="18">
        <v>6</v>
      </c>
      <c r="BI28" s="55">
        <v>100000</v>
      </c>
      <c r="BJ28" s="99">
        <f t="shared" si="6"/>
        <v>600000</v>
      </c>
      <c r="BM28" s="90">
        <v>21</v>
      </c>
      <c r="BN28" s="67">
        <v>0.08</v>
      </c>
      <c r="BO28" s="99">
        <v>2</v>
      </c>
      <c r="BP28" s="99">
        <v>1</v>
      </c>
      <c r="BQ28" s="99">
        <v>2</v>
      </c>
      <c r="BR28" s="55">
        <v>80000</v>
      </c>
      <c r="BS28" s="99">
        <f t="shared" si="7"/>
        <v>160000</v>
      </c>
      <c r="BT28" s="99">
        <f t="shared" si="1"/>
        <v>3130000</v>
      </c>
    </row>
    <row r="29" spans="2:72" ht="15.75">
      <c r="B29" s="90">
        <v>22</v>
      </c>
      <c r="C29" s="67">
        <v>0.24</v>
      </c>
      <c r="D29" s="99">
        <v>3</v>
      </c>
      <c r="E29" s="99">
        <v>1</v>
      </c>
      <c r="F29" s="99">
        <v>3</v>
      </c>
      <c r="G29" s="55">
        <v>150000</v>
      </c>
      <c r="H29" s="99">
        <f t="shared" si="8"/>
        <v>450000</v>
      </c>
      <c r="K29" s="90">
        <v>22</v>
      </c>
      <c r="L29" s="67">
        <v>0.24</v>
      </c>
      <c r="M29" s="99">
        <v>6</v>
      </c>
      <c r="N29" s="99">
        <v>2</v>
      </c>
      <c r="O29" s="99">
        <v>12</v>
      </c>
      <c r="P29" s="55">
        <v>80000</v>
      </c>
      <c r="Q29" s="99">
        <f t="shared" si="2"/>
        <v>960000</v>
      </c>
      <c r="T29" s="90">
        <v>22</v>
      </c>
      <c r="U29" s="67">
        <v>0.24</v>
      </c>
      <c r="V29" s="99">
        <v>4</v>
      </c>
      <c r="W29" s="99">
        <v>2</v>
      </c>
      <c r="X29" s="99">
        <v>12</v>
      </c>
      <c r="Y29" s="55">
        <v>100000</v>
      </c>
      <c r="Z29" s="99">
        <f t="shared" si="0"/>
        <v>1200000</v>
      </c>
      <c r="AC29" s="90">
        <v>22</v>
      </c>
      <c r="AD29" s="67">
        <v>0.24</v>
      </c>
      <c r="AE29" s="99">
        <v>4</v>
      </c>
      <c r="AF29" s="99">
        <v>1</v>
      </c>
      <c r="AG29" s="99">
        <v>4</v>
      </c>
      <c r="AH29" s="55">
        <v>80000</v>
      </c>
      <c r="AI29" s="99">
        <f t="shared" si="3"/>
        <v>320000</v>
      </c>
      <c r="AK29" s="51"/>
      <c r="AL29" s="90">
        <v>22</v>
      </c>
      <c r="AM29" s="67">
        <v>0.24</v>
      </c>
      <c r="AN29" s="99">
        <v>4</v>
      </c>
      <c r="AO29" s="99">
        <v>2</v>
      </c>
      <c r="AP29" s="99">
        <v>8</v>
      </c>
      <c r="AQ29" s="55">
        <v>80000</v>
      </c>
      <c r="AR29" s="99">
        <f t="shared" si="4"/>
        <v>640000</v>
      </c>
      <c r="AU29" s="90">
        <v>22</v>
      </c>
      <c r="AV29" s="67">
        <v>0.24</v>
      </c>
      <c r="AW29" s="18">
        <v>1</v>
      </c>
      <c r="AX29" s="99">
        <v>1</v>
      </c>
      <c r="AY29" s="18">
        <v>1</v>
      </c>
      <c r="AZ29" s="55">
        <v>50000</v>
      </c>
      <c r="BA29" s="99">
        <f t="shared" si="5"/>
        <v>50000</v>
      </c>
      <c r="BD29" s="90">
        <v>22</v>
      </c>
      <c r="BE29" s="67">
        <v>0.24</v>
      </c>
      <c r="BF29" s="99">
        <v>4</v>
      </c>
      <c r="BG29" s="99">
        <v>3</v>
      </c>
      <c r="BH29" s="18">
        <v>12</v>
      </c>
      <c r="BI29" s="55">
        <v>100000</v>
      </c>
      <c r="BJ29" s="99">
        <f t="shared" si="6"/>
        <v>1200000</v>
      </c>
      <c r="BM29" s="90">
        <v>22</v>
      </c>
      <c r="BN29" s="67">
        <v>0.24</v>
      </c>
      <c r="BO29" s="99">
        <v>4</v>
      </c>
      <c r="BP29" s="99">
        <v>1</v>
      </c>
      <c r="BQ29" s="99">
        <v>4</v>
      </c>
      <c r="BR29" s="55">
        <v>80000</v>
      </c>
      <c r="BS29" s="99">
        <f t="shared" si="7"/>
        <v>320000</v>
      </c>
      <c r="BT29" s="99">
        <f t="shared" si="1"/>
        <v>5140000</v>
      </c>
    </row>
    <row r="30" spans="2:72" ht="15.75">
      <c r="B30" s="90">
        <v>23</v>
      </c>
      <c r="C30" s="67">
        <v>0.2</v>
      </c>
      <c r="D30" s="99">
        <v>2</v>
      </c>
      <c r="E30" s="99">
        <v>1</v>
      </c>
      <c r="F30" s="99">
        <v>2</v>
      </c>
      <c r="G30" s="55">
        <v>150000</v>
      </c>
      <c r="H30" s="99">
        <f t="shared" si="8"/>
        <v>300000</v>
      </c>
      <c r="K30" s="90">
        <v>23</v>
      </c>
      <c r="L30" s="67">
        <v>0.2</v>
      </c>
      <c r="M30" s="99">
        <v>2</v>
      </c>
      <c r="N30" s="99">
        <v>2</v>
      </c>
      <c r="O30" s="99">
        <v>4</v>
      </c>
      <c r="P30" s="55">
        <v>80000</v>
      </c>
      <c r="Q30" s="99">
        <f t="shared" si="2"/>
        <v>320000</v>
      </c>
      <c r="T30" s="90">
        <v>23</v>
      </c>
      <c r="U30" s="67">
        <v>0.2</v>
      </c>
      <c r="V30" s="99">
        <v>4</v>
      </c>
      <c r="W30" s="99">
        <v>2</v>
      </c>
      <c r="X30" s="99">
        <v>4</v>
      </c>
      <c r="Y30" s="55">
        <v>100000</v>
      </c>
      <c r="Z30" s="99">
        <f t="shared" si="0"/>
        <v>400000</v>
      </c>
      <c r="AC30" s="90">
        <v>23</v>
      </c>
      <c r="AD30" s="67">
        <v>0.2</v>
      </c>
      <c r="AE30" s="99">
        <v>3</v>
      </c>
      <c r="AF30" s="99">
        <v>1</v>
      </c>
      <c r="AG30" s="99">
        <v>3</v>
      </c>
      <c r="AH30" s="55">
        <v>80000</v>
      </c>
      <c r="AI30" s="99">
        <f t="shared" si="3"/>
        <v>240000</v>
      </c>
      <c r="AK30" s="51"/>
      <c r="AL30" s="90">
        <v>23</v>
      </c>
      <c r="AM30" s="67">
        <v>0.2</v>
      </c>
      <c r="AN30" s="99">
        <v>4</v>
      </c>
      <c r="AO30" s="99">
        <v>1</v>
      </c>
      <c r="AP30" s="99">
        <v>4</v>
      </c>
      <c r="AQ30" s="55">
        <v>80000</v>
      </c>
      <c r="AR30" s="99">
        <f t="shared" si="4"/>
        <v>320000</v>
      </c>
      <c r="AU30" s="90">
        <v>23</v>
      </c>
      <c r="AV30" s="67">
        <v>0.2</v>
      </c>
      <c r="AW30" s="18">
        <v>1</v>
      </c>
      <c r="AX30" s="99">
        <v>1</v>
      </c>
      <c r="AY30" s="18">
        <v>1</v>
      </c>
      <c r="AZ30" s="55">
        <v>50000</v>
      </c>
      <c r="BA30" s="99">
        <f t="shared" si="5"/>
        <v>50000</v>
      </c>
      <c r="BD30" s="90">
        <v>23</v>
      </c>
      <c r="BE30" s="67">
        <v>0.2</v>
      </c>
      <c r="BF30" s="99">
        <v>4</v>
      </c>
      <c r="BG30" s="99">
        <v>3</v>
      </c>
      <c r="BH30" s="18">
        <v>12</v>
      </c>
      <c r="BI30" s="55">
        <v>100000</v>
      </c>
      <c r="BJ30" s="99">
        <f t="shared" si="6"/>
        <v>1200000</v>
      </c>
      <c r="BM30" s="90">
        <v>23</v>
      </c>
      <c r="BN30" s="67">
        <v>0.2</v>
      </c>
      <c r="BO30" s="99">
        <v>4</v>
      </c>
      <c r="BP30" s="99">
        <v>1</v>
      </c>
      <c r="BQ30" s="99">
        <v>4</v>
      </c>
      <c r="BR30" s="55">
        <v>80000</v>
      </c>
      <c r="BS30" s="99">
        <f t="shared" si="7"/>
        <v>320000</v>
      </c>
      <c r="BT30" s="99">
        <f t="shared" si="1"/>
        <v>3150000</v>
      </c>
    </row>
    <row r="31" spans="2:72" ht="15.75">
      <c r="B31" s="90">
        <v>24</v>
      </c>
      <c r="C31" s="67">
        <v>0.1</v>
      </c>
      <c r="D31" s="99">
        <v>2</v>
      </c>
      <c r="E31" s="99">
        <v>1</v>
      </c>
      <c r="F31" s="99">
        <v>2</v>
      </c>
      <c r="G31" s="55">
        <v>150000</v>
      </c>
      <c r="H31" s="99">
        <f t="shared" si="8"/>
        <v>300000</v>
      </c>
      <c r="K31" s="90">
        <v>24</v>
      </c>
      <c r="L31" s="67">
        <v>0.1</v>
      </c>
      <c r="M31" s="99">
        <v>2</v>
      </c>
      <c r="N31" s="99">
        <v>2</v>
      </c>
      <c r="O31" s="99">
        <v>4</v>
      </c>
      <c r="P31" s="55">
        <v>80000</v>
      </c>
      <c r="Q31" s="99">
        <f t="shared" si="2"/>
        <v>320000</v>
      </c>
      <c r="T31" s="90">
        <v>24</v>
      </c>
      <c r="U31" s="67">
        <v>0.1</v>
      </c>
      <c r="V31" s="99">
        <v>3</v>
      </c>
      <c r="W31" s="99">
        <v>2</v>
      </c>
      <c r="X31" s="99">
        <v>4</v>
      </c>
      <c r="Y31" s="55">
        <v>100000</v>
      </c>
      <c r="Z31" s="99">
        <f t="shared" si="0"/>
        <v>400000</v>
      </c>
      <c r="AC31" s="90">
        <v>24</v>
      </c>
      <c r="AD31" s="67">
        <v>0.1</v>
      </c>
      <c r="AE31" s="99">
        <v>2</v>
      </c>
      <c r="AF31" s="99">
        <v>1</v>
      </c>
      <c r="AG31" s="99">
        <v>2</v>
      </c>
      <c r="AH31" s="55">
        <v>80000</v>
      </c>
      <c r="AI31" s="99">
        <f t="shared" si="3"/>
        <v>160000</v>
      </c>
      <c r="AK31" s="51"/>
      <c r="AL31" s="90">
        <v>24</v>
      </c>
      <c r="AM31" s="67">
        <v>0.1</v>
      </c>
      <c r="AN31" s="99">
        <v>3</v>
      </c>
      <c r="AO31" s="99">
        <v>1</v>
      </c>
      <c r="AP31" s="99">
        <v>3</v>
      </c>
      <c r="AQ31" s="55">
        <v>80000</v>
      </c>
      <c r="AR31" s="99">
        <f t="shared" si="4"/>
        <v>240000</v>
      </c>
      <c r="AU31" s="90">
        <v>24</v>
      </c>
      <c r="AV31" s="67">
        <v>0.1</v>
      </c>
      <c r="AW31" s="18">
        <v>1</v>
      </c>
      <c r="AX31" s="99">
        <v>1</v>
      </c>
      <c r="AY31" s="18">
        <v>1</v>
      </c>
      <c r="AZ31" s="55">
        <v>50000</v>
      </c>
      <c r="BA31" s="99">
        <f t="shared" si="5"/>
        <v>50000</v>
      </c>
      <c r="BD31" s="90">
        <v>24</v>
      </c>
      <c r="BE31" s="67">
        <v>0.1</v>
      </c>
      <c r="BF31" s="99">
        <v>3</v>
      </c>
      <c r="BG31" s="99">
        <v>2</v>
      </c>
      <c r="BH31" s="18">
        <v>6</v>
      </c>
      <c r="BI31" s="55">
        <v>100000</v>
      </c>
      <c r="BJ31" s="99">
        <f t="shared" si="6"/>
        <v>600000</v>
      </c>
      <c r="BM31" s="90">
        <v>24</v>
      </c>
      <c r="BN31" s="67">
        <v>0.1</v>
      </c>
      <c r="BO31" s="99">
        <v>4</v>
      </c>
      <c r="BP31" s="99">
        <v>1</v>
      </c>
      <c r="BQ31" s="99">
        <v>4</v>
      </c>
      <c r="BR31" s="55">
        <v>80000</v>
      </c>
      <c r="BS31" s="99">
        <f t="shared" si="7"/>
        <v>320000</v>
      </c>
      <c r="BT31" s="99">
        <f t="shared" si="1"/>
        <v>2390000</v>
      </c>
    </row>
    <row r="32" spans="2:72" ht="15.75">
      <c r="B32" s="90">
        <v>25</v>
      </c>
      <c r="C32" s="67">
        <v>0.14000000000000001</v>
      </c>
      <c r="D32" s="99">
        <v>3</v>
      </c>
      <c r="E32" s="99">
        <v>1</v>
      </c>
      <c r="F32" s="99">
        <v>3</v>
      </c>
      <c r="G32" s="55">
        <v>150000</v>
      </c>
      <c r="H32" s="99">
        <f t="shared" si="8"/>
        <v>450000</v>
      </c>
      <c r="K32" s="90">
        <v>25</v>
      </c>
      <c r="L32" s="67">
        <v>0.14000000000000001</v>
      </c>
      <c r="M32" s="99">
        <v>3</v>
      </c>
      <c r="N32" s="99">
        <v>2</v>
      </c>
      <c r="O32" s="99">
        <v>6</v>
      </c>
      <c r="P32" s="55">
        <v>80000</v>
      </c>
      <c r="Q32" s="99">
        <f t="shared" si="2"/>
        <v>480000</v>
      </c>
      <c r="T32" s="90">
        <v>25</v>
      </c>
      <c r="U32" s="67">
        <v>0.14000000000000001</v>
      </c>
      <c r="V32" s="99">
        <v>5</v>
      </c>
      <c r="W32" s="99">
        <v>2</v>
      </c>
      <c r="X32" s="99">
        <v>6</v>
      </c>
      <c r="Y32" s="55">
        <v>100000</v>
      </c>
      <c r="Z32" s="99">
        <f t="shared" si="0"/>
        <v>600000</v>
      </c>
      <c r="AC32" s="90">
        <v>25</v>
      </c>
      <c r="AD32" s="67">
        <v>0.14000000000000001</v>
      </c>
      <c r="AE32" s="99">
        <v>3</v>
      </c>
      <c r="AF32" s="99">
        <v>1</v>
      </c>
      <c r="AG32" s="99">
        <v>3</v>
      </c>
      <c r="AH32" s="55">
        <v>80000</v>
      </c>
      <c r="AI32" s="99">
        <f t="shared" si="3"/>
        <v>240000</v>
      </c>
      <c r="AK32" s="51"/>
      <c r="AL32" s="90">
        <v>25</v>
      </c>
      <c r="AM32" s="67">
        <v>0.14000000000000001</v>
      </c>
      <c r="AN32" s="99">
        <v>3</v>
      </c>
      <c r="AO32" s="99">
        <v>2</v>
      </c>
      <c r="AP32" s="99">
        <v>6</v>
      </c>
      <c r="AQ32" s="55">
        <v>80000</v>
      </c>
      <c r="AR32" s="99">
        <f t="shared" si="4"/>
        <v>480000</v>
      </c>
      <c r="AU32" s="90">
        <v>25</v>
      </c>
      <c r="AV32" s="67">
        <v>0.14000000000000001</v>
      </c>
      <c r="AW32" s="18">
        <v>1</v>
      </c>
      <c r="AX32" s="99">
        <v>1</v>
      </c>
      <c r="AY32" s="18">
        <v>1</v>
      </c>
      <c r="AZ32" s="55">
        <v>50000</v>
      </c>
      <c r="BA32" s="99">
        <f t="shared" si="5"/>
        <v>50000</v>
      </c>
      <c r="BD32" s="90">
        <v>25</v>
      </c>
      <c r="BE32" s="67">
        <v>0.14000000000000001</v>
      </c>
      <c r="BF32" s="99">
        <v>4</v>
      </c>
      <c r="BG32" s="99">
        <v>2</v>
      </c>
      <c r="BH32" s="18">
        <v>8</v>
      </c>
      <c r="BI32" s="55">
        <v>100000</v>
      </c>
      <c r="BJ32" s="99">
        <f t="shared" si="6"/>
        <v>800000</v>
      </c>
      <c r="BM32" s="90">
        <v>25</v>
      </c>
      <c r="BN32" s="67">
        <v>0.14000000000000001</v>
      </c>
      <c r="BO32" s="99">
        <v>3</v>
      </c>
      <c r="BP32" s="99">
        <v>1</v>
      </c>
      <c r="BQ32" s="99">
        <v>3</v>
      </c>
      <c r="BR32" s="55">
        <v>80000</v>
      </c>
      <c r="BS32" s="99">
        <f t="shared" si="7"/>
        <v>240000</v>
      </c>
      <c r="BT32" s="99">
        <f t="shared" si="1"/>
        <v>3340000</v>
      </c>
    </row>
    <row r="33" spans="2:72" ht="15.75">
      <c r="B33" s="90">
        <v>26</v>
      </c>
      <c r="C33" s="67">
        <v>0.25</v>
      </c>
      <c r="D33" s="99">
        <v>3</v>
      </c>
      <c r="E33" s="99">
        <v>1</v>
      </c>
      <c r="F33" s="99">
        <v>3</v>
      </c>
      <c r="G33" s="55">
        <v>150000</v>
      </c>
      <c r="H33" s="99">
        <f t="shared" si="8"/>
        <v>450000</v>
      </c>
      <c r="K33" s="90">
        <v>26</v>
      </c>
      <c r="L33" s="67">
        <v>0.25</v>
      </c>
      <c r="M33" s="99">
        <v>5</v>
      </c>
      <c r="N33" s="99">
        <v>2</v>
      </c>
      <c r="O33" s="99">
        <v>10</v>
      </c>
      <c r="P33" s="55">
        <v>80000</v>
      </c>
      <c r="Q33" s="99">
        <f t="shared" si="2"/>
        <v>800000</v>
      </c>
      <c r="T33" s="90">
        <v>26</v>
      </c>
      <c r="U33" s="67">
        <v>0.25</v>
      </c>
      <c r="V33" s="99">
        <v>5</v>
      </c>
      <c r="W33" s="99">
        <v>2</v>
      </c>
      <c r="X33" s="99">
        <v>10</v>
      </c>
      <c r="Y33" s="55">
        <v>100000</v>
      </c>
      <c r="Z33" s="99">
        <f t="shared" si="0"/>
        <v>1000000</v>
      </c>
      <c r="AC33" s="90">
        <v>26</v>
      </c>
      <c r="AD33" s="67">
        <v>0.25</v>
      </c>
      <c r="AE33" s="99">
        <v>4</v>
      </c>
      <c r="AF33" s="99">
        <v>1</v>
      </c>
      <c r="AG33" s="99">
        <v>4</v>
      </c>
      <c r="AH33" s="55">
        <v>80000</v>
      </c>
      <c r="AI33" s="99">
        <f t="shared" si="3"/>
        <v>320000</v>
      </c>
      <c r="AK33" s="51"/>
      <c r="AL33" s="90">
        <v>26</v>
      </c>
      <c r="AM33" s="67">
        <v>0.25</v>
      </c>
      <c r="AN33" s="99">
        <v>4</v>
      </c>
      <c r="AO33" s="99">
        <v>2</v>
      </c>
      <c r="AP33" s="99">
        <v>8</v>
      </c>
      <c r="AQ33" s="55">
        <v>80000</v>
      </c>
      <c r="AR33" s="99">
        <f t="shared" si="4"/>
        <v>640000</v>
      </c>
      <c r="AU33" s="90">
        <v>26</v>
      </c>
      <c r="AV33" s="67">
        <v>0.25</v>
      </c>
      <c r="AW33" s="18">
        <v>1</v>
      </c>
      <c r="AX33" s="99">
        <v>1</v>
      </c>
      <c r="AY33" s="18">
        <v>1</v>
      </c>
      <c r="AZ33" s="55">
        <v>50000</v>
      </c>
      <c r="BA33" s="99">
        <f t="shared" si="5"/>
        <v>50000</v>
      </c>
      <c r="BD33" s="90">
        <v>26</v>
      </c>
      <c r="BE33" s="67">
        <v>0.25</v>
      </c>
      <c r="BF33" s="99">
        <v>5</v>
      </c>
      <c r="BG33" s="99">
        <v>3</v>
      </c>
      <c r="BH33" s="18">
        <v>15</v>
      </c>
      <c r="BI33" s="55">
        <v>100000</v>
      </c>
      <c r="BJ33" s="99">
        <f t="shared" si="6"/>
        <v>1500000</v>
      </c>
      <c r="BM33" s="90">
        <v>26</v>
      </c>
      <c r="BN33" s="67">
        <v>0.25</v>
      </c>
      <c r="BO33" s="99">
        <v>5</v>
      </c>
      <c r="BP33" s="99">
        <v>1</v>
      </c>
      <c r="BQ33" s="99">
        <v>5</v>
      </c>
      <c r="BR33" s="55">
        <v>80000</v>
      </c>
      <c r="BS33" s="99">
        <f t="shared" si="7"/>
        <v>400000</v>
      </c>
      <c r="BT33" s="99">
        <f t="shared" si="1"/>
        <v>5160000</v>
      </c>
    </row>
    <row r="34" spans="2:72" ht="15.75">
      <c r="B34" s="90">
        <v>27</v>
      </c>
      <c r="C34" s="67">
        <v>0.08</v>
      </c>
      <c r="D34" s="99">
        <v>2</v>
      </c>
      <c r="E34" s="99">
        <v>1</v>
      </c>
      <c r="F34" s="99">
        <v>2</v>
      </c>
      <c r="G34" s="55">
        <v>150000</v>
      </c>
      <c r="H34" s="99">
        <f t="shared" si="8"/>
        <v>300000</v>
      </c>
      <c r="K34" s="90">
        <v>27</v>
      </c>
      <c r="L34" s="67">
        <v>0.08</v>
      </c>
      <c r="M34" s="99">
        <v>2</v>
      </c>
      <c r="N34" s="99">
        <v>2</v>
      </c>
      <c r="O34" s="99">
        <v>4</v>
      </c>
      <c r="P34" s="55">
        <v>80000</v>
      </c>
      <c r="Q34" s="99">
        <f t="shared" si="2"/>
        <v>320000</v>
      </c>
      <c r="T34" s="90">
        <v>27</v>
      </c>
      <c r="U34" s="67">
        <v>0.08</v>
      </c>
      <c r="V34" s="99">
        <v>2</v>
      </c>
      <c r="W34" s="99">
        <v>2</v>
      </c>
      <c r="X34" s="99">
        <v>4</v>
      </c>
      <c r="Y34" s="55">
        <v>100000</v>
      </c>
      <c r="Z34" s="99">
        <f t="shared" si="0"/>
        <v>400000</v>
      </c>
      <c r="AC34" s="90">
        <v>27</v>
      </c>
      <c r="AD34" s="67">
        <v>0.08</v>
      </c>
      <c r="AE34" s="99">
        <v>2</v>
      </c>
      <c r="AF34" s="99">
        <v>1</v>
      </c>
      <c r="AG34" s="99">
        <v>2</v>
      </c>
      <c r="AH34" s="55">
        <v>80000</v>
      </c>
      <c r="AI34" s="99">
        <f t="shared" si="3"/>
        <v>160000</v>
      </c>
      <c r="AK34" s="51"/>
      <c r="AL34" s="90">
        <v>27</v>
      </c>
      <c r="AM34" s="67">
        <v>0.08</v>
      </c>
      <c r="AN34" s="99">
        <v>2</v>
      </c>
      <c r="AO34" s="99">
        <v>1</v>
      </c>
      <c r="AP34" s="99">
        <v>2</v>
      </c>
      <c r="AQ34" s="55">
        <v>80000</v>
      </c>
      <c r="AR34" s="99">
        <f t="shared" si="4"/>
        <v>160000</v>
      </c>
      <c r="AU34" s="90">
        <v>27</v>
      </c>
      <c r="AV34" s="67">
        <v>0.08</v>
      </c>
      <c r="AW34" s="18">
        <v>1</v>
      </c>
      <c r="AX34" s="99">
        <v>1</v>
      </c>
      <c r="AY34" s="18">
        <v>1</v>
      </c>
      <c r="AZ34" s="55">
        <v>50000</v>
      </c>
      <c r="BA34" s="99">
        <f t="shared" si="5"/>
        <v>50000</v>
      </c>
      <c r="BD34" s="90">
        <v>27</v>
      </c>
      <c r="BE34" s="67">
        <v>0.08</v>
      </c>
      <c r="BF34" s="99">
        <v>2</v>
      </c>
      <c r="BG34" s="99">
        <v>2</v>
      </c>
      <c r="BH34" s="18">
        <v>4</v>
      </c>
      <c r="BI34" s="55">
        <v>100000</v>
      </c>
      <c r="BJ34" s="99">
        <f t="shared" si="6"/>
        <v>400000</v>
      </c>
      <c r="BM34" s="90">
        <v>27</v>
      </c>
      <c r="BN34" s="67">
        <v>0.08</v>
      </c>
      <c r="BO34" s="99">
        <v>2</v>
      </c>
      <c r="BP34" s="99">
        <v>1</v>
      </c>
      <c r="BQ34" s="99">
        <v>2</v>
      </c>
      <c r="BR34" s="55">
        <v>80000</v>
      </c>
      <c r="BS34" s="99">
        <f t="shared" si="7"/>
        <v>160000</v>
      </c>
      <c r="BT34" s="99">
        <f t="shared" si="1"/>
        <v>1950000</v>
      </c>
    </row>
    <row r="35" spans="2:72" ht="15.75">
      <c r="B35" s="90">
        <v>28</v>
      </c>
      <c r="C35" s="67">
        <v>0.2</v>
      </c>
      <c r="D35" s="99">
        <v>2</v>
      </c>
      <c r="E35" s="99">
        <v>1</v>
      </c>
      <c r="F35" s="99">
        <v>2</v>
      </c>
      <c r="G35" s="55">
        <v>150000</v>
      </c>
      <c r="H35" s="99">
        <f t="shared" si="8"/>
        <v>300000</v>
      </c>
      <c r="K35" s="90">
        <v>28</v>
      </c>
      <c r="L35" s="67">
        <v>0.2</v>
      </c>
      <c r="M35" s="99">
        <v>2</v>
      </c>
      <c r="N35" s="99">
        <v>3</v>
      </c>
      <c r="O35" s="99">
        <v>6</v>
      </c>
      <c r="P35" s="55">
        <v>80000</v>
      </c>
      <c r="Q35" s="99">
        <f t="shared" si="2"/>
        <v>480000</v>
      </c>
      <c r="T35" s="90">
        <v>28</v>
      </c>
      <c r="U35" s="67">
        <v>0.2</v>
      </c>
      <c r="V35" s="99">
        <v>2</v>
      </c>
      <c r="W35" s="99">
        <v>3</v>
      </c>
      <c r="X35" s="99">
        <v>6</v>
      </c>
      <c r="Y35" s="55">
        <v>100000</v>
      </c>
      <c r="Z35" s="99">
        <f t="shared" si="0"/>
        <v>600000</v>
      </c>
      <c r="AC35" s="90">
        <v>28</v>
      </c>
      <c r="AD35" s="67">
        <v>0.2</v>
      </c>
      <c r="AE35" s="99">
        <v>3</v>
      </c>
      <c r="AF35" s="99">
        <v>1</v>
      </c>
      <c r="AG35" s="99">
        <v>3</v>
      </c>
      <c r="AH35" s="55">
        <v>80000</v>
      </c>
      <c r="AI35" s="99">
        <f t="shared" si="3"/>
        <v>240000</v>
      </c>
      <c r="AK35" s="51"/>
      <c r="AL35" s="90">
        <v>28</v>
      </c>
      <c r="AM35" s="67">
        <v>0.2</v>
      </c>
      <c r="AN35" s="99">
        <v>2</v>
      </c>
      <c r="AO35" s="99">
        <v>1</v>
      </c>
      <c r="AP35" s="99">
        <v>2</v>
      </c>
      <c r="AQ35" s="55">
        <v>80000</v>
      </c>
      <c r="AR35" s="99">
        <f t="shared" si="4"/>
        <v>160000</v>
      </c>
      <c r="AU35" s="90">
        <v>28</v>
      </c>
      <c r="AV35" s="67">
        <v>0.2</v>
      </c>
      <c r="AW35" s="18">
        <v>1</v>
      </c>
      <c r="AX35" s="99">
        <v>1</v>
      </c>
      <c r="AY35" s="18">
        <v>1</v>
      </c>
      <c r="AZ35" s="55">
        <v>50000</v>
      </c>
      <c r="BA35" s="99">
        <f t="shared" si="5"/>
        <v>50000</v>
      </c>
      <c r="BD35" s="90">
        <v>28</v>
      </c>
      <c r="BE35" s="67">
        <v>0.2</v>
      </c>
      <c r="BF35" s="99">
        <v>2</v>
      </c>
      <c r="BG35" s="99">
        <v>3</v>
      </c>
      <c r="BH35" s="18">
        <v>6</v>
      </c>
      <c r="BI35" s="55">
        <v>100000</v>
      </c>
      <c r="BJ35" s="99">
        <f t="shared" si="6"/>
        <v>600000</v>
      </c>
      <c r="BM35" s="90">
        <v>28</v>
      </c>
      <c r="BN35" s="67">
        <v>0.2</v>
      </c>
      <c r="BO35" s="99">
        <v>4</v>
      </c>
      <c r="BP35" s="99">
        <v>1</v>
      </c>
      <c r="BQ35" s="99">
        <v>4</v>
      </c>
      <c r="BR35" s="55">
        <v>80000</v>
      </c>
      <c r="BS35" s="99">
        <f t="shared" si="7"/>
        <v>320000</v>
      </c>
      <c r="BT35" s="99">
        <f t="shared" si="1"/>
        <v>2750000</v>
      </c>
    </row>
    <row r="36" spans="2:72" ht="15.75">
      <c r="B36" s="90">
        <v>29</v>
      </c>
      <c r="C36" s="67">
        <v>0.1</v>
      </c>
      <c r="D36" s="99">
        <v>2</v>
      </c>
      <c r="E36" s="99">
        <v>1</v>
      </c>
      <c r="F36" s="99">
        <v>2</v>
      </c>
      <c r="G36" s="55">
        <v>150000</v>
      </c>
      <c r="H36" s="99">
        <f t="shared" si="8"/>
        <v>300000</v>
      </c>
      <c r="K36" s="90">
        <v>29</v>
      </c>
      <c r="L36" s="67">
        <v>0.1</v>
      </c>
      <c r="M36" s="99">
        <v>4</v>
      </c>
      <c r="N36" s="99">
        <v>2</v>
      </c>
      <c r="O36" s="99">
        <v>8</v>
      </c>
      <c r="P36" s="55">
        <v>80000</v>
      </c>
      <c r="Q36" s="99">
        <f t="shared" si="2"/>
        <v>640000</v>
      </c>
      <c r="T36" s="90">
        <v>29</v>
      </c>
      <c r="U36" s="67">
        <v>0.1</v>
      </c>
      <c r="V36" s="99">
        <v>3</v>
      </c>
      <c r="W36" s="99">
        <v>2</v>
      </c>
      <c r="X36" s="99">
        <v>8</v>
      </c>
      <c r="Y36" s="55">
        <v>100000</v>
      </c>
      <c r="Z36" s="99">
        <f t="shared" si="0"/>
        <v>800000</v>
      </c>
      <c r="AC36" s="90">
        <v>29</v>
      </c>
      <c r="AD36" s="67">
        <v>0.1</v>
      </c>
      <c r="AE36" s="99">
        <v>2</v>
      </c>
      <c r="AF36" s="99">
        <v>1</v>
      </c>
      <c r="AG36" s="99">
        <v>2</v>
      </c>
      <c r="AH36" s="55">
        <v>80000</v>
      </c>
      <c r="AI36" s="99">
        <f t="shared" si="3"/>
        <v>160000</v>
      </c>
      <c r="AL36" s="90">
        <v>29</v>
      </c>
      <c r="AM36" s="67">
        <v>0.1</v>
      </c>
      <c r="AN36" s="99">
        <v>3</v>
      </c>
      <c r="AO36" s="99">
        <v>1</v>
      </c>
      <c r="AP36" s="99">
        <v>3</v>
      </c>
      <c r="AQ36" s="55">
        <v>80000</v>
      </c>
      <c r="AR36" s="99">
        <f t="shared" si="4"/>
        <v>240000</v>
      </c>
      <c r="AU36" s="90">
        <v>29</v>
      </c>
      <c r="AV36" s="67">
        <v>0.1</v>
      </c>
      <c r="AW36" s="18">
        <v>1</v>
      </c>
      <c r="AX36" s="99">
        <v>1</v>
      </c>
      <c r="AY36" s="18">
        <v>1</v>
      </c>
      <c r="AZ36" s="55">
        <v>50000</v>
      </c>
      <c r="BA36" s="99">
        <f t="shared" si="5"/>
        <v>50000</v>
      </c>
      <c r="BD36" s="90">
        <v>29</v>
      </c>
      <c r="BE36" s="67">
        <v>0.1</v>
      </c>
      <c r="BF36" s="99">
        <v>3</v>
      </c>
      <c r="BG36" s="99">
        <v>2</v>
      </c>
      <c r="BH36" s="18">
        <v>6</v>
      </c>
      <c r="BI36" s="55">
        <v>100000</v>
      </c>
      <c r="BJ36" s="99">
        <f t="shared" si="6"/>
        <v>600000</v>
      </c>
      <c r="BM36" s="90">
        <v>29</v>
      </c>
      <c r="BN36" s="67">
        <v>0.1</v>
      </c>
      <c r="BO36" s="99">
        <v>2</v>
      </c>
      <c r="BP36" s="99">
        <v>1</v>
      </c>
      <c r="BQ36" s="99">
        <v>2</v>
      </c>
      <c r="BR36" s="55">
        <v>80000</v>
      </c>
      <c r="BS36" s="99">
        <f t="shared" si="7"/>
        <v>160000</v>
      </c>
      <c r="BT36" s="99">
        <f t="shared" si="1"/>
        <v>2950000</v>
      </c>
    </row>
    <row r="37" spans="2:72" ht="15.75">
      <c r="B37" s="90">
        <v>30</v>
      </c>
      <c r="C37" s="67">
        <v>0.16</v>
      </c>
      <c r="D37" s="99">
        <v>2</v>
      </c>
      <c r="E37" s="99">
        <v>1</v>
      </c>
      <c r="F37" s="99">
        <v>2</v>
      </c>
      <c r="G37" s="55">
        <v>150000</v>
      </c>
      <c r="H37" s="99">
        <f t="shared" si="8"/>
        <v>300000</v>
      </c>
      <c r="K37" s="90">
        <v>30</v>
      </c>
      <c r="L37" s="67">
        <v>0.16</v>
      </c>
      <c r="M37" s="99">
        <v>5</v>
      </c>
      <c r="N37" s="99">
        <v>2</v>
      </c>
      <c r="O37" s="99">
        <v>10</v>
      </c>
      <c r="P37" s="55">
        <v>80000</v>
      </c>
      <c r="Q37" s="99">
        <f t="shared" si="2"/>
        <v>800000</v>
      </c>
      <c r="T37" s="90">
        <v>30</v>
      </c>
      <c r="U37" s="67">
        <v>0.16</v>
      </c>
      <c r="V37" s="99">
        <v>5</v>
      </c>
      <c r="W37" s="99">
        <v>2</v>
      </c>
      <c r="X37" s="99">
        <v>10</v>
      </c>
      <c r="Y37" s="55">
        <v>100000</v>
      </c>
      <c r="Z37" s="99">
        <f t="shared" si="0"/>
        <v>1000000</v>
      </c>
      <c r="AC37" s="90">
        <v>30</v>
      </c>
      <c r="AD37" s="67">
        <v>0.16</v>
      </c>
      <c r="AE37" s="99">
        <v>4</v>
      </c>
      <c r="AF37" s="99">
        <v>1</v>
      </c>
      <c r="AG37" s="99">
        <v>4</v>
      </c>
      <c r="AH37" s="55">
        <v>80000</v>
      </c>
      <c r="AI37" s="99">
        <f t="shared" si="3"/>
        <v>320000</v>
      </c>
      <c r="AL37" s="90">
        <v>30</v>
      </c>
      <c r="AM37" s="67">
        <v>0.16</v>
      </c>
      <c r="AN37" s="99">
        <v>5</v>
      </c>
      <c r="AO37" s="99">
        <v>1</v>
      </c>
      <c r="AP37" s="99">
        <v>5</v>
      </c>
      <c r="AQ37" s="55">
        <v>80000</v>
      </c>
      <c r="AR37" s="99">
        <f t="shared" si="4"/>
        <v>400000</v>
      </c>
      <c r="AU37" s="90">
        <v>30</v>
      </c>
      <c r="AV37" s="67">
        <v>0.16</v>
      </c>
      <c r="AW37" s="18">
        <v>1</v>
      </c>
      <c r="AX37" s="99">
        <v>1</v>
      </c>
      <c r="AY37" s="18">
        <v>1</v>
      </c>
      <c r="AZ37" s="55">
        <v>50000</v>
      </c>
      <c r="BA37" s="99">
        <f t="shared" si="5"/>
        <v>50000</v>
      </c>
      <c r="BD37" s="90">
        <v>30</v>
      </c>
      <c r="BE37" s="67">
        <v>0.16</v>
      </c>
      <c r="BF37" s="99">
        <v>4</v>
      </c>
      <c r="BG37" s="99">
        <v>2</v>
      </c>
      <c r="BH37" s="18">
        <v>8</v>
      </c>
      <c r="BI37" s="55">
        <v>100000</v>
      </c>
      <c r="BJ37" s="99">
        <f t="shared" si="6"/>
        <v>800000</v>
      </c>
      <c r="BM37" s="90">
        <v>30</v>
      </c>
      <c r="BN37" s="67">
        <v>0.16</v>
      </c>
      <c r="BO37" s="99">
        <v>4</v>
      </c>
      <c r="BP37" s="99">
        <v>1</v>
      </c>
      <c r="BQ37" s="99">
        <v>4</v>
      </c>
      <c r="BR37" s="55">
        <v>80000</v>
      </c>
      <c r="BS37" s="99">
        <f t="shared" si="7"/>
        <v>320000</v>
      </c>
      <c r="BT37" s="69">
        <f t="shared" si="1"/>
        <v>3990000</v>
      </c>
    </row>
    <row r="38" spans="2:72" ht="15.75">
      <c r="B38" s="14" t="s">
        <v>65</v>
      </c>
      <c r="C38" s="32">
        <f t="shared" ref="C38:H38" si="9">SUM(C8:C37)</f>
        <v>5.87</v>
      </c>
      <c r="D38" s="14">
        <f t="shared" si="9"/>
        <v>74</v>
      </c>
      <c r="E38" s="14">
        <f t="shared" si="9"/>
        <v>30</v>
      </c>
      <c r="F38" s="14">
        <f t="shared" si="9"/>
        <v>74</v>
      </c>
      <c r="G38" s="14">
        <f t="shared" si="9"/>
        <v>4500000</v>
      </c>
      <c r="H38" s="102">
        <f t="shared" si="9"/>
        <v>11100000</v>
      </c>
      <c r="K38" s="14" t="s">
        <v>65</v>
      </c>
      <c r="L38" s="32">
        <f t="shared" ref="L38:Q38" si="10">SUM(L8:L37)</f>
        <v>5.87</v>
      </c>
      <c r="M38" s="14">
        <f t="shared" si="10"/>
        <v>109</v>
      </c>
      <c r="N38" s="14">
        <f t="shared" si="10"/>
        <v>76</v>
      </c>
      <c r="O38" s="14">
        <f t="shared" si="10"/>
        <v>279</v>
      </c>
      <c r="P38" s="14">
        <f t="shared" si="10"/>
        <v>2300000</v>
      </c>
      <c r="Q38" s="102">
        <f t="shared" si="10"/>
        <v>21210000</v>
      </c>
      <c r="T38" s="14" t="s">
        <v>65</v>
      </c>
      <c r="U38" s="32">
        <f t="shared" ref="U38:Z38" si="11">SUM(U8:U37)</f>
        <v>5.87</v>
      </c>
      <c r="V38" s="14">
        <f t="shared" si="11"/>
        <v>117</v>
      </c>
      <c r="W38" s="14">
        <f t="shared" si="11"/>
        <v>72</v>
      </c>
      <c r="X38" s="14">
        <f t="shared" si="11"/>
        <v>279</v>
      </c>
      <c r="Y38" s="14">
        <f t="shared" si="11"/>
        <v>3000000</v>
      </c>
      <c r="Z38" s="102">
        <f t="shared" si="11"/>
        <v>27900000</v>
      </c>
      <c r="AC38" s="14" t="s">
        <v>65</v>
      </c>
      <c r="AD38" s="32">
        <f t="shared" ref="AD38:AI38" si="12">SUM(AD8:AD37)</f>
        <v>5.87</v>
      </c>
      <c r="AE38" s="14">
        <f t="shared" si="12"/>
        <v>97</v>
      </c>
      <c r="AF38" s="14">
        <f t="shared" si="12"/>
        <v>30</v>
      </c>
      <c r="AG38" s="14">
        <f t="shared" si="12"/>
        <v>97</v>
      </c>
      <c r="AH38" s="14">
        <f t="shared" si="12"/>
        <v>2400000</v>
      </c>
      <c r="AI38" s="102">
        <f t="shared" si="12"/>
        <v>7760000</v>
      </c>
      <c r="AL38" s="14" t="s">
        <v>65</v>
      </c>
      <c r="AM38" s="32">
        <f t="shared" ref="AM38:AR38" si="13">SUM(AM8:AM37)</f>
        <v>5.87</v>
      </c>
      <c r="AN38" s="14">
        <f t="shared" si="13"/>
        <v>110</v>
      </c>
      <c r="AO38" s="14">
        <f t="shared" si="13"/>
        <v>47</v>
      </c>
      <c r="AP38" s="14">
        <f t="shared" si="13"/>
        <v>178</v>
      </c>
      <c r="AQ38" s="14">
        <f t="shared" si="13"/>
        <v>2400000</v>
      </c>
      <c r="AR38" s="102">
        <f t="shared" si="13"/>
        <v>14240000</v>
      </c>
      <c r="AU38" s="14" t="s">
        <v>65</v>
      </c>
      <c r="AV38" s="32">
        <f t="shared" ref="AV38:BA38" si="14">SUM(AV8:AV37)</f>
        <v>5.87</v>
      </c>
      <c r="AW38" s="14">
        <f t="shared" si="14"/>
        <v>30</v>
      </c>
      <c r="AX38" s="14">
        <f t="shared" si="14"/>
        <v>30</v>
      </c>
      <c r="AY38" s="14">
        <f t="shared" si="14"/>
        <v>30</v>
      </c>
      <c r="AZ38" s="14">
        <f t="shared" si="14"/>
        <v>1500000</v>
      </c>
      <c r="BA38" s="102">
        <f t="shared" si="14"/>
        <v>1500000</v>
      </c>
      <c r="BD38" s="14" t="s">
        <v>65</v>
      </c>
      <c r="BE38" s="32">
        <f t="shared" ref="BE38:BJ38" si="15">SUM(BE8:BE37)</f>
        <v>5.87</v>
      </c>
      <c r="BF38" s="14">
        <f t="shared" si="15"/>
        <v>125</v>
      </c>
      <c r="BG38" s="14">
        <f t="shared" si="15"/>
        <v>77</v>
      </c>
      <c r="BH38" s="14">
        <f t="shared" si="15"/>
        <v>334</v>
      </c>
      <c r="BI38" s="14">
        <f t="shared" si="15"/>
        <v>3000000</v>
      </c>
      <c r="BJ38" s="102">
        <f t="shared" si="15"/>
        <v>33400000</v>
      </c>
      <c r="BM38" s="14" t="s">
        <v>65</v>
      </c>
      <c r="BN38" s="32">
        <f t="shared" ref="BN38:BS38" si="16">SUM(BN8:BN37)</f>
        <v>5.87</v>
      </c>
      <c r="BO38" s="14">
        <f t="shared" si="16"/>
        <v>125</v>
      </c>
      <c r="BP38" s="14">
        <f t="shared" si="16"/>
        <v>30</v>
      </c>
      <c r="BQ38" s="14">
        <f t="shared" si="16"/>
        <v>125</v>
      </c>
      <c r="BR38" s="14">
        <f t="shared" si="16"/>
        <v>2400000</v>
      </c>
      <c r="BS38" s="102">
        <f t="shared" si="16"/>
        <v>10000000</v>
      </c>
      <c r="BT38" s="102">
        <f>SUM(BT8:BT37)</f>
        <v>127110000</v>
      </c>
    </row>
    <row r="39" spans="2:72" ht="15.75">
      <c r="B39" s="14" t="s">
        <v>76</v>
      </c>
      <c r="C39" s="32">
        <v>0.2</v>
      </c>
      <c r="D39" s="14">
        <f>D38/30</f>
        <v>2.4666666666666668</v>
      </c>
      <c r="E39" s="14">
        <f>E38/30</f>
        <v>1</v>
      </c>
      <c r="F39" s="14">
        <f>F38/30</f>
        <v>2.4666666666666668</v>
      </c>
      <c r="G39" s="14">
        <f>G38/30</f>
        <v>150000</v>
      </c>
      <c r="H39" s="102">
        <f>H38/30</f>
        <v>370000</v>
      </c>
      <c r="K39" s="14" t="s">
        <v>76</v>
      </c>
      <c r="L39" s="32">
        <v>0.2</v>
      </c>
      <c r="M39" s="14">
        <f>M38/30</f>
        <v>3.6333333333333333</v>
      </c>
      <c r="N39" s="14">
        <f>N38/30</f>
        <v>2.5333333333333332</v>
      </c>
      <c r="O39" s="14">
        <f>O38/30</f>
        <v>9.3000000000000007</v>
      </c>
      <c r="P39" s="14">
        <f>P38/30</f>
        <v>76666.666666666672</v>
      </c>
      <c r="Q39" s="102">
        <f>Q38/30</f>
        <v>707000</v>
      </c>
      <c r="T39" s="14" t="s">
        <v>76</v>
      </c>
      <c r="U39" s="32">
        <v>0.2</v>
      </c>
      <c r="V39" s="14">
        <f>V38/30</f>
        <v>3.9</v>
      </c>
      <c r="W39" s="14">
        <f>W38/30</f>
        <v>2.4</v>
      </c>
      <c r="X39" s="14">
        <f>X38/30</f>
        <v>9.3000000000000007</v>
      </c>
      <c r="Y39" s="14">
        <f>Y38/30</f>
        <v>100000</v>
      </c>
      <c r="Z39" s="102">
        <f>Z38/30</f>
        <v>930000</v>
      </c>
      <c r="AC39" s="14" t="s">
        <v>76</v>
      </c>
      <c r="AD39" s="32">
        <v>0.2</v>
      </c>
      <c r="AE39" s="14">
        <f>AE38/30</f>
        <v>3.2333333333333334</v>
      </c>
      <c r="AF39" s="14">
        <f>AF38/30</f>
        <v>1</v>
      </c>
      <c r="AG39" s="14">
        <f>AG38/30</f>
        <v>3.2333333333333334</v>
      </c>
      <c r="AH39" s="14">
        <f>AH38/30</f>
        <v>80000</v>
      </c>
      <c r="AI39" s="102">
        <f>AI38/30</f>
        <v>258666.66666666666</v>
      </c>
      <c r="AL39" s="14" t="s">
        <v>76</v>
      </c>
      <c r="AM39" s="32">
        <v>0.2</v>
      </c>
      <c r="AN39" s="14">
        <f>AN38/30</f>
        <v>3.6666666666666665</v>
      </c>
      <c r="AO39" s="14">
        <f>AO38/30</f>
        <v>1.5666666666666667</v>
      </c>
      <c r="AP39" s="14">
        <f>AP38/30</f>
        <v>5.9333333333333336</v>
      </c>
      <c r="AQ39" s="14">
        <f>AQ38/30</f>
        <v>80000</v>
      </c>
      <c r="AR39" s="102">
        <f>AR38/30</f>
        <v>474666.66666666669</v>
      </c>
      <c r="AU39" s="14" t="s">
        <v>76</v>
      </c>
      <c r="AV39" s="32">
        <v>0.2</v>
      </c>
      <c r="AW39" s="14">
        <f>AW38/30</f>
        <v>1</v>
      </c>
      <c r="AX39" s="14">
        <f>AX38/30</f>
        <v>1</v>
      </c>
      <c r="AY39" s="14">
        <f>AY38/30</f>
        <v>1</v>
      </c>
      <c r="AZ39" s="14">
        <f>AZ38/30</f>
        <v>50000</v>
      </c>
      <c r="BA39" s="102">
        <f>BA38/30</f>
        <v>50000</v>
      </c>
      <c r="BD39" s="14" t="s">
        <v>76</v>
      </c>
      <c r="BE39" s="32">
        <v>0.2</v>
      </c>
      <c r="BF39" s="14">
        <f>BF38/30</f>
        <v>4.166666666666667</v>
      </c>
      <c r="BG39" s="14">
        <f>BG38/30</f>
        <v>2.5666666666666669</v>
      </c>
      <c r="BH39" s="14">
        <f>BH38/30</f>
        <v>11.133333333333333</v>
      </c>
      <c r="BI39" s="14">
        <f>BI38/30</f>
        <v>100000</v>
      </c>
      <c r="BJ39" s="102">
        <f>BJ38/30</f>
        <v>1113333.3333333333</v>
      </c>
      <c r="BM39" s="14" t="s">
        <v>76</v>
      </c>
      <c r="BN39" s="32">
        <v>0.2</v>
      </c>
      <c r="BO39" s="14">
        <f t="shared" ref="BO39:BT39" si="17">BO38/30</f>
        <v>4.166666666666667</v>
      </c>
      <c r="BP39" s="14">
        <f t="shared" si="17"/>
        <v>1</v>
      </c>
      <c r="BQ39" s="14">
        <f t="shared" si="17"/>
        <v>4.166666666666667</v>
      </c>
      <c r="BR39" s="14">
        <f t="shared" si="17"/>
        <v>80000</v>
      </c>
      <c r="BS39" s="102">
        <f t="shared" si="17"/>
        <v>333333.33333333331</v>
      </c>
      <c r="BT39" s="102">
        <f t="shared" si="17"/>
        <v>4237000</v>
      </c>
    </row>
    <row r="40" spans="2:72" ht="15.75">
      <c r="B40" s="14" t="s">
        <v>77</v>
      </c>
      <c r="C40" s="32" t="s">
        <v>66</v>
      </c>
      <c r="D40" s="14">
        <f>D39*5</f>
        <v>12.333333333333334</v>
      </c>
      <c r="E40" s="14">
        <f>E39*5</f>
        <v>5</v>
      </c>
      <c r="F40" s="14">
        <f>F39*5</f>
        <v>12.333333333333334</v>
      </c>
      <c r="G40" s="14">
        <f>G39*5</f>
        <v>750000</v>
      </c>
      <c r="H40" s="14">
        <f>H39*5</f>
        <v>1850000</v>
      </c>
      <c r="K40" s="14" t="s">
        <v>77</v>
      </c>
      <c r="L40" s="32" t="s">
        <v>66</v>
      </c>
      <c r="M40" s="14">
        <f>M39*5</f>
        <v>18.166666666666668</v>
      </c>
      <c r="N40" s="14">
        <f>N39*5</f>
        <v>12.666666666666666</v>
      </c>
      <c r="O40" s="14">
        <f>O39*5</f>
        <v>46.5</v>
      </c>
      <c r="P40" s="14">
        <f>P39*5</f>
        <v>383333.33333333337</v>
      </c>
      <c r="Q40" s="14">
        <f>Q39*5</f>
        <v>3535000</v>
      </c>
      <c r="T40" s="14" t="s">
        <v>77</v>
      </c>
      <c r="U40" s="32" t="s">
        <v>66</v>
      </c>
      <c r="V40" s="14">
        <f>V39*5</f>
        <v>19.5</v>
      </c>
      <c r="W40" s="14">
        <f>W39*5</f>
        <v>12</v>
      </c>
      <c r="X40" s="14">
        <f>X39*5</f>
        <v>46.5</v>
      </c>
      <c r="Y40" s="14">
        <f>Y39*5</f>
        <v>500000</v>
      </c>
      <c r="Z40" s="14">
        <f>Z39*5</f>
        <v>4650000</v>
      </c>
      <c r="AC40" s="14" t="s">
        <v>77</v>
      </c>
      <c r="AD40" s="32" t="s">
        <v>66</v>
      </c>
      <c r="AE40" s="14">
        <f>AE39*5</f>
        <v>16.166666666666668</v>
      </c>
      <c r="AF40" s="14">
        <f>AF39*5</f>
        <v>5</v>
      </c>
      <c r="AG40" s="14">
        <f>AG39*5</f>
        <v>16.166666666666668</v>
      </c>
      <c r="AH40" s="14">
        <f>AH39*5</f>
        <v>400000</v>
      </c>
      <c r="AI40" s="14">
        <f>AI39*5</f>
        <v>1293333.3333333333</v>
      </c>
      <c r="AL40" s="14" t="s">
        <v>77</v>
      </c>
      <c r="AM40" s="32" t="s">
        <v>66</v>
      </c>
      <c r="AN40" s="14">
        <f>AN39*5</f>
        <v>18.333333333333332</v>
      </c>
      <c r="AO40" s="14">
        <f>AO39*5</f>
        <v>7.833333333333333</v>
      </c>
      <c r="AP40" s="14">
        <f>AP39*5</f>
        <v>29.666666666666668</v>
      </c>
      <c r="AQ40" s="14">
        <f>AQ39*5</f>
        <v>400000</v>
      </c>
      <c r="AR40" s="14">
        <f>AR39*5</f>
        <v>2373333.3333333335</v>
      </c>
      <c r="AU40" s="14" t="s">
        <v>77</v>
      </c>
      <c r="AV40" s="32" t="s">
        <v>66</v>
      </c>
      <c r="AW40" s="14">
        <f>AW39*5</f>
        <v>5</v>
      </c>
      <c r="AX40" s="14">
        <f>AX39*5</f>
        <v>5</v>
      </c>
      <c r="AY40" s="14">
        <f>AY39*5</f>
        <v>5</v>
      </c>
      <c r="AZ40" s="14">
        <f>AZ39*5</f>
        <v>250000</v>
      </c>
      <c r="BA40" s="14">
        <f>BA39*5</f>
        <v>250000</v>
      </c>
      <c r="BD40" s="14" t="s">
        <v>77</v>
      </c>
      <c r="BE40" s="32" t="s">
        <v>66</v>
      </c>
      <c r="BF40" s="14">
        <f>BF39*5</f>
        <v>20.833333333333336</v>
      </c>
      <c r="BG40" s="14">
        <f>BG39*5</f>
        <v>12.833333333333334</v>
      </c>
      <c r="BH40" s="14">
        <f>BH39*5</f>
        <v>55.666666666666664</v>
      </c>
      <c r="BI40" s="14">
        <f>BI39*5</f>
        <v>500000</v>
      </c>
      <c r="BJ40" s="14">
        <f>BJ39*5</f>
        <v>5566666.666666666</v>
      </c>
      <c r="BM40" s="14" t="s">
        <v>77</v>
      </c>
      <c r="BN40" s="32" t="s">
        <v>66</v>
      </c>
      <c r="BO40" s="14">
        <f t="shared" ref="BO40:BT40" si="18">BO39*5</f>
        <v>20.833333333333336</v>
      </c>
      <c r="BP40" s="14">
        <f t="shared" si="18"/>
        <v>5</v>
      </c>
      <c r="BQ40" s="14">
        <f t="shared" si="18"/>
        <v>20.833333333333336</v>
      </c>
      <c r="BR40" s="14">
        <f t="shared" si="18"/>
        <v>400000</v>
      </c>
      <c r="BS40" s="14">
        <f t="shared" si="18"/>
        <v>1666666.6666666665</v>
      </c>
      <c r="BT40" s="102">
        <f t="shared" si="18"/>
        <v>21185000</v>
      </c>
    </row>
  </sheetData>
  <mergeCells count="65">
    <mergeCell ref="B5:B7"/>
    <mergeCell ref="C5:C7"/>
    <mergeCell ref="D6:D7"/>
    <mergeCell ref="BT5:BT7"/>
    <mergeCell ref="E6:E7"/>
    <mergeCell ref="F6:F7"/>
    <mergeCell ref="G6:G7"/>
    <mergeCell ref="H6:H7"/>
    <mergeCell ref="D5:H5"/>
    <mergeCell ref="K5:K7"/>
    <mergeCell ref="L5:L7"/>
    <mergeCell ref="M5:Q5"/>
    <mergeCell ref="M6:M7"/>
    <mergeCell ref="N6:N7"/>
    <mergeCell ref="O6:O7"/>
    <mergeCell ref="P6:P7"/>
    <mergeCell ref="Q6:Q7"/>
    <mergeCell ref="T5:T7"/>
    <mergeCell ref="U5:U7"/>
    <mergeCell ref="V5:Z5"/>
    <mergeCell ref="V6:V7"/>
    <mergeCell ref="W6:W7"/>
    <mergeCell ref="X6:X7"/>
    <mergeCell ref="Y6:Y7"/>
    <mergeCell ref="Z6:Z7"/>
    <mergeCell ref="AC5:AC7"/>
    <mergeCell ref="AD5:AD7"/>
    <mergeCell ref="AE5:AI5"/>
    <mergeCell ref="AE6:AE7"/>
    <mergeCell ref="AF6:AF7"/>
    <mergeCell ref="AG6:AG7"/>
    <mergeCell ref="AH6:AH7"/>
    <mergeCell ref="AI6:AI7"/>
    <mergeCell ref="AL5:AL7"/>
    <mergeCell ref="AM5:AM7"/>
    <mergeCell ref="AN5:AR5"/>
    <mergeCell ref="AN6:AN7"/>
    <mergeCell ref="AO6:AO7"/>
    <mergeCell ref="AP6:AP7"/>
    <mergeCell ref="AQ6:AQ7"/>
    <mergeCell ref="AR6:AR7"/>
    <mergeCell ref="AU5:AU7"/>
    <mergeCell ref="AV5:AV7"/>
    <mergeCell ref="AW5:BA5"/>
    <mergeCell ref="AW6:AW7"/>
    <mergeCell ref="AX6:AX7"/>
    <mergeCell ref="AY6:AY7"/>
    <mergeCell ref="AZ6:AZ7"/>
    <mergeCell ref="BA6:BA7"/>
    <mergeCell ref="BD5:BD7"/>
    <mergeCell ref="BE5:BE7"/>
    <mergeCell ref="BF5:BJ5"/>
    <mergeCell ref="BF6:BF7"/>
    <mergeCell ref="BG6:BG7"/>
    <mergeCell ref="BH6:BH7"/>
    <mergeCell ref="BI6:BI7"/>
    <mergeCell ref="BJ6:BJ7"/>
    <mergeCell ref="BM5:BM7"/>
    <mergeCell ref="BN5:BN7"/>
    <mergeCell ref="BO5:BS5"/>
    <mergeCell ref="BO6:BO7"/>
    <mergeCell ref="BP6:BP7"/>
    <mergeCell ref="BQ6:BQ7"/>
    <mergeCell ref="BR6:BR7"/>
    <mergeCell ref="BS6:BS7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Q35"/>
  <sheetViews>
    <sheetView workbookViewId="0">
      <selection activeCell="P4" sqref="P4"/>
    </sheetView>
  </sheetViews>
  <sheetFormatPr defaultRowHeight="15"/>
  <sheetData>
    <row r="1" spans="2:17" ht="15.75" thickBot="1"/>
    <row r="2" spans="2:17" ht="16.5" thickBot="1">
      <c r="B2" s="205"/>
      <c r="C2" s="205"/>
      <c r="D2" s="207"/>
      <c r="E2" s="208"/>
      <c r="F2" s="209"/>
      <c r="G2" s="207"/>
      <c r="H2" s="208"/>
      <c r="I2" s="209"/>
      <c r="J2" s="207"/>
      <c r="K2" s="208"/>
      <c r="L2" s="209"/>
    </row>
    <row r="3" spans="2:17" ht="16.5" thickBot="1">
      <c r="B3" s="206"/>
      <c r="C3" s="206"/>
      <c r="D3" s="22"/>
      <c r="E3" s="22"/>
      <c r="F3" s="22"/>
      <c r="G3" s="22"/>
      <c r="H3" s="22"/>
      <c r="I3" s="22"/>
      <c r="J3" s="22"/>
      <c r="K3" s="22"/>
      <c r="L3" s="22"/>
    </row>
    <row r="4" spans="2:17" ht="15.75">
      <c r="B4" s="24"/>
      <c r="C4" s="67"/>
      <c r="D4" s="94"/>
      <c r="E4" s="57"/>
      <c r="F4" s="21"/>
      <c r="G4" s="94"/>
      <c r="H4" s="57"/>
      <c r="I4" s="21"/>
      <c r="J4" s="94"/>
      <c r="K4" s="57"/>
      <c r="L4" s="21"/>
      <c r="O4" t="s">
        <v>127</v>
      </c>
    </row>
    <row r="5" spans="2:17" ht="15.75">
      <c r="B5" s="24"/>
      <c r="C5" s="67"/>
      <c r="D5" s="61"/>
      <c r="E5" s="24"/>
      <c r="F5" s="22"/>
      <c r="G5" s="61"/>
      <c r="H5" s="24"/>
      <c r="I5" s="22"/>
      <c r="J5" s="61"/>
      <c r="K5" s="24"/>
      <c r="L5" s="22"/>
      <c r="N5" s="54"/>
      <c r="O5" s="56">
        <v>7753068</v>
      </c>
      <c r="P5" s="126">
        <v>3020000</v>
      </c>
      <c r="Q5">
        <f>O5+P5</f>
        <v>10773068</v>
      </c>
    </row>
    <row r="6" spans="2:17" ht="15.75">
      <c r="B6" s="24"/>
      <c r="C6" s="67"/>
      <c r="D6" s="61"/>
      <c r="E6" s="24"/>
      <c r="F6" s="22"/>
      <c r="G6" s="22"/>
      <c r="H6" s="22"/>
      <c r="I6" s="22"/>
      <c r="J6" s="22"/>
      <c r="K6" s="22"/>
      <c r="L6" s="22"/>
      <c r="N6" s="54"/>
      <c r="O6" s="56">
        <v>9778951</v>
      </c>
      <c r="P6" s="126">
        <v>3800000</v>
      </c>
      <c r="Q6">
        <f t="shared" ref="Q6:Q34" si="0">O6+P6</f>
        <v>13578951</v>
      </c>
    </row>
    <row r="7" spans="2:17" ht="15.75">
      <c r="B7" s="24"/>
      <c r="C7" s="67"/>
      <c r="D7" s="61"/>
      <c r="E7" s="24"/>
      <c r="F7" s="22"/>
      <c r="G7" s="22"/>
      <c r="H7" s="22"/>
      <c r="I7" s="22"/>
      <c r="J7" s="22"/>
      <c r="K7" s="22"/>
      <c r="L7" s="22"/>
      <c r="N7" s="54"/>
      <c r="O7" s="56">
        <v>8270060</v>
      </c>
      <c r="P7" s="126">
        <v>2870000</v>
      </c>
      <c r="Q7">
        <f t="shared" si="0"/>
        <v>11140060</v>
      </c>
    </row>
    <row r="8" spans="2:17" ht="15.75">
      <c r="B8" s="24"/>
      <c r="C8" s="67"/>
      <c r="D8" s="61"/>
      <c r="E8" s="24"/>
      <c r="F8" s="22"/>
      <c r="G8" s="22"/>
      <c r="H8" s="22"/>
      <c r="I8" s="22"/>
      <c r="J8" s="22"/>
      <c r="K8" s="22"/>
      <c r="L8" s="22"/>
      <c r="N8" s="54"/>
      <c r="O8" s="56">
        <v>7949631</v>
      </c>
      <c r="P8" s="126">
        <v>2390000</v>
      </c>
      <c r="Q8">
        <f t="shared" si="0"/>
        <v>10339631</v>
      </c>
    </row>
    <row r="9" spans="2:17" ht="15.75">
      <c r="B9" s="24"/>
      <c r="C9" s="67"/>
      <c r="D9" s="61"/>
      <c r="E9" s="24"/>
      <c r="F9" s="22"/>
      <c r="G9" s="22"/>
      <c r="H9" s="22"/>
      <c r="I9" s="22"/>
      <c r="J9" s="22"/>
      <c r="K9" s="22"/>
      <c r="L9" s="22"/>
      <c r="N9" s="54"/>
      <c r="O9" s="56">
        <v>7605179</v>
      </c>
      <c r="P9" s="126">
        <v>2310000</v>
      </c>
      <c r="Q9">
        <f t="shared" si="0"/>
        <v>9915179</v>
      </c>
    </row>
    <row r="10" spans="2:17" ht="15.75">
      <c r="B10" s="24"/>
      <c r="C10" s="67"/>
      <c r="D10" s="61"/>
      <c r="E10" s="24"/>
      <c r="F10" s="22"/>
      <c r="G10" s="22"/>
      <c r="H10" s="22"/>
      <c r="I10" s="22"/>
      <c r="J10" s="22"/>
      <c r="K10" s="22"/>
      <c r="L10" s="22"/>
      <c r="N10" s="54"/>
      <c r="O10" s="56">
        <v>10500417</v>
      </c>
      <c r="P10" s="126">
        <v>6360000</v>
      </c>
      <c r="Q10">
        <f t="shared" si="0"/>
        <v>16860417</v>
      </c>
    </row>
    <row r="11" spans="2:17" ht="15.75">
      <c r="B11" s="24"/>
      <c r="C11" s="67"/>
      <c r="D11" s="61"/>
      <c r="E11" s="24"/>
      <c r="F11" s="22"/>
      <c r="G11" s="22"/>
      <c r="H11" s="22"/>
      <c r="I11" s="22"/>
      <c r="J11" s="22"/>
      <c r="K11" s="22"/>
      <c r="L11" s="22"/>
      <c r="N11" s="54"/>
      <c r="O11" s="56">
        <v>10801580</v>
      </c>
      <c r="P11" s="126">
        <v>6210000</v>
      </c>
      <c r="Q11">
        <f t="shared" si="0"/>
        <v>17011580</v>
      </c>
    </row>
    <row r="12" spans="2:17" ht="15.75">
      <c r="B12" s="24"/>
      <c r="C12" s="67"/>
      <c r="D12" s="61"/>
      <c r="E12" s="24"/>
      <c r="F12" s="22"/>
      <c r="G12" s="22"/>
      <c r="H12" s="22"/>
      <c r="I12" s="22"/>
      <c r="J12" s="22"/>
      <c r="K12" s="22"/>
      <c r="L12" s="22"/>
      <c r="N12" s="54"/>
      <c r="O12" s="56">
        <v>12937785</v>
      </c>
      <c r="P12" s="126">
        <v>6600000</v>
      </c>
      <c r="Q12">
        <f t="shared" si="0"/>
        <v>19537785</v>
      </c>
    </row>
    <row r="13" spans="2:17" ht="15.75">
      <c r="B13" s="24"/>
      <c r="C13" s="67"/>
      <c r="D13" s="61"/>
      <c r="E13" s="24"/>
      <c r="F13" s="22"/>
      <c r="G13" s="22"/>
      <c r="H13" s="22"/>
      <c r="I13" s="22"/>
      <c r="J13" s="22"/>
      <c r="K13" s="22"/>
      <c r="L13" s="22"/>
      <c r="N13" s="54"/>
      <c r="O13" s="56">
        <v>11869807</v>
      </c>
      <c r="P13" s="126">
        <v>4900000</v>
      </c>
      <c r="Q13">
        <f t="shared" si="0"/>
        <v>16769807</v>
      </c>
    </row>
    <row r="14" spans="2:17" ht="15.75">
      <c r="B14" s="24"/>
      <c r="C14" s="67"/>
      <c r="D14" s="61"/>
      <c r="E14" s="24"/>
      <c r="F14" s="22"/>
      <c r="G14" s="22"/>
      <c r="H14" s="22"/>
      <c r="I14" s="22"/>
      <c r="J14" s="22"/>
      <c r="K14" s="22"/>
      <c r="L14" s="22"/>
      <c r="N14" s="54"/>
      <c r="O14" s="56">
        <v>8547954</v>
      </c>
      <c r="P14" s="126">
        <v>4990000</v>
      </c>
      <c r="Q14">
        <f t="shared" si="0"/>
        <v>13537954</v>
      </c>
    </row>
    <row r="15" spans="2:17" ht="15.75">
      <c r="B15" s="24"/>
      <c r="C15" s="67"/>
      <c r="D15" s="61"/>
      <c r="E15" s="24"/>
      <c r="F15" s="22"/>
      <c r="G15" s="22"/>
      <c r="H15" s="22"/>
      <c r="I15" s="22"/>
      <c r="J15" s="22"/>
      <c r="K15" s="22"/>
      <c r="L15" s="22"/>
      <c r="N15" s="54"/>
      <c r="O15" s="56">
        <v>7382340</v>
      </c>
      <c r="P15" s="126">
        <v>2930000</v>
      </c>
      <c r="Q15">
        <f t="shared" si="0"/>
        <v>10312340</v>
      </c>
    </row>
    <row r="16" spans="2:17" ht="15.75">
      <c r="B16" s="24"/>
      <c r="C16" s="67"/>
      <c r="D16" s="61"/>
      <c r="E16" s="24"/>
      <c r="F16" s="22"/>
      <c r="G16" s="22"/>
      <c r="H16" s="22"/>
      <c r="I16" s="22"/>
      <c r="J16" s="22"/>
      <c r="K16" s="22"/>
      <c r="L16" s="22"/>
      <c r="N16" s="54"/>
      <c r="O16" s="56">
        <v>10227414</v>
      </c>
      <c r="P16" s="126">
        <v>4500000</v>
      </c>
      <c r="Q16">
        <f t="shared" si="0"/>
        <v>14727414</v>
      </c>
    </row>
    <row r="17" spans="2:17" ht="15.75">
      <c r="B17" s="24"/>
      <c r="C17" s="67"/>
      <c r="D17" s="61"/>
      <c r="E17" s="24"/>
      <c r="F17" s="22"/>
      <c r="G17" s="22"/>
      <c r="H17" s="22"/>
      <c r="I17" s="22"/>
      <c r="J17" s="22"/>
      <c r="K17" s="22"/>
      <c r="L17" s="22"/>
      <c r="N17" s="54"/>
      <c r="O17" s="56">
        <v>10053078</v>
      </c>
      <c r="P17" s="126">
        <v>5060000</v>
      </c>
      <c r="Q17">
        <f t="shared" si="0"/>
        <v>15113078</v>
      </c>
    </row>
    <row r="18" spans="2:17" ht="15.75">
      <c r="B18" s="24"/>
      <c r="C18" s="67"/>
      <c r="D18" s="61"/>
      <c r="E18" s="24"/>
      <c r="F18" s="22"/>
      <c r="G18" s="22"/>
      <c r="H18" s="22"/>
      <c r="I18" s="22"/>
      <c r="J18" s="22"/>
      <c r="K18" s="22"/>
      <c r="L18" s="22"/>
      <c r="N18" s="54"/>
      <c r="O18" s="56">
        <v>12473269</v>
      </c>
      <c r="P18" s="126">
        <v>6390000</v>
      </c>
      <c r="Q18">
        <f t="shared" si="0"/>
        <v>18863269</v>
      </c>
    </row>
    <row r="19" spans="2:17" ht="15.75">
      <c r="B19" s="24"/>
      <c r="C19" s="67"/>
      <c r="D19" s="61"/>
      <c r="E19" s="24"/>
      <c r="F19" s="22"/>
      <c r="G19" s="22"/>
      <c r="H19" s="22"/>
      <c r="I19" s="22"/>
      <c r="J19" s="22"/>
      <c r="K19" s="22"/>
      <c r="L19" s="22"/>
      <c r="N19" s="54"/>
      <c r="O19" s="56">
        <v>10488254</v>
      </c>
      <c r="P19" s="126">
        <v>6380000</v>
      </c>
      <c r="Q19">
        <f t="shared" si="0"/>
        <v>16868254</v>
      </c>
    </row>
    <row r="20" spans="2:17" ht="15.75">
      <c r="B20" s="24"/>
      <c r="C20" s="67"/>
      <c r="D20" s="61"/>
      <c r="E20" s="24"/>
      <c r="F20" s="22"/>
      <c r="G20" s="22"/>
      <c r="H20" s="22"/>
      <c r="I20" s="22"/>
      <c r="J20" s="22"/>
      <c r="K20" s="22"/>
      <c r="L20" s="22"/>
      <c r="N20" s="54"/>
      <c r="O20" s="56">
        <v>12643138</v>
      </c>
      <c r="P20" s="126">
        <v>3600000</v>
      </c>
      <c r="Q20">
        <f t="shared" si="0"/>
        <v>16243138</v>
      </c>
    </row>
    <row r="21" spans="2:17" ht="15.75">
      <c r="B21" s="24"/>
      <c r="C21" s="67"/>
      <c r="D21" s="61"/>
      <c r="E21" s="24"/>
      <c r="F21" s="22"/>
      <c r="G21" s="22"/>
      <c r="H21" s="22"/>
      <c r="I21" s="22"/>
      <c r="J21" s="22"/>
      <c r="K21" s="22"/>
      <c r="L21" s="22"/>
      <c r="N21" s="54"/>
      <c r="O21" s="56">
        <v>11214618</v>
      </c>
      <c r="P21" s="126">
        <v>4130000</v>
      </c>
      <c r="Q21">
        <f t="shared" si="0"/>
        <v>15344618</v>
      </c>
    </row>
    <row r="22" spans="2:17" ht="15.75">
      <c r="B22" s="24"/>
      <c r="C22" s="67"/>
      <c r="D22" s="61"/>
      <c r="E22" s="24"/>
      <c r="F22" s="22"/>
      <c r="G22" s="22"/>
      <c r="H22" s="22"/>
      <c r="I22" s="22"/>
      <c r="J22" s="22"/>
      <c r="K22" s="22"/>
      <c r="L22" s="22"/>
      <c r="N22" s="54"/>
      <c r="O22" s="56">
        <v>11084837</v>
      </c>
      <c r="P22" s="126">
        <v>4990000</v>
      </c>
      <c r="Q22">
        <f t="shared" si="0"/>
        <v>16074837</v>
      </c>
    </row>
    <row r="23" spans="2:17" ht="15.75">
      <c r="B23" s="24"/>
      <c r="C23" s="67"/>
      <c r="D23" s="61"/>
      <c r="E23" s="24"/>
      <c r="F23" s="22"/>
      <c r="G23" s="22"/>
      <c r="H23" s="22"/>
      <c r="I23" s="22"/>
      <c r="J23" s="22"/>
      <c r="K23" s="22"/>
      <c r="L23" s="22"/>
      <c r="N23" s="54"/>
      <c r="O23" s="56">
        <v>13309248</v>
      </c>
      <c r="P23" s="126">
        <v>7900000</v>
      </c>
      <c r="Q23">
        <f t="shared" si="0"/>
        <v>21209248</v>
      </c>
    </row>
    <row r="24" spans="2:17" ht="15.75">
      <c r="B24" s="24"/>
      <c r="C24" s="67"/>
      <c r="D24" s="61"/>
      <c r="E24" s="24"/>
      <c r="F24" s="22"/>
      <c r="G24" s="22"/>
      <c r="H24" s="22"/>
      <c r="I24" s="22"/>
      <c r="J24" s="22"/>
      <c r="K24" s="22"/>
      <c r="L24" s="22"/>
      <c r="N24" s="54"/>
      <c r="O24" s="56">
        <v>7904265</v>
      </c>
      <c r="P24" s="126">
        <v>3830000</v>
      </c>
      <c r="Q24">
        <f t="shared" si="0"/>
        <v>11734265</v>
      </c>
    </row>
    <row r="25" spans="2:17" ht="15.75">
      <c r="B25" s="24"/>
      <c r="C25" s="67"/>
      <c r="D25" s="61"/>
      <c r="E25" s="24"/>
      <c r="F25" s="22"/>
      <c r="G25" s="22"/>
      <c r="H25" s="22"/>
      <c r="I25" s="22"/>
      <c r="J25" s="22"/>
      <c r="K25" s="22"/>
      <c r="L25" s="22"/>
      <c r="N25" s="54"/>
      <c r="O25" s="56">
        <v>7165383</v>
      </c>
      <c r="P25" s="126">
        <v>3130000</v>
      </c>
      <c r="Q25">
        <f t="shared" si="0"/>
        <v>10295383</v>
      </c>
    </row>
    <row r="26" spans="2:17" ht="15.75">
      <c r="B26" s="24"/>
      <c r="C26" s="67"/>
      <c r="D26" s="61"/>
      <c r="E26" s="24"/>
      <c r="F26" s="22"/>
      <c r="G26" s="22"/>
      <c r="H26" s="22"/>
      <c r="I26" s="22"/>
      <c r="J26" s="22"/>
      <c r="K26" s="22"/>
      <c r="L26" s="22"/>
      <c r="N26" s="54"/>
      <c r="O26" s="56">
        <v>10455283</v>
      </c>
      <c r="P26" s="126">
        <v>5140000</v>
      </c>
      <c r="Q26">
        <f t="shared" si="0"/>
        <v>15595283</v>
      </c>
    </row>
    <row r="27" spans="2:17" ht="15.75">
      <c r="B27" s="24"/>
      <c r="C27" s="67"/>
      <c r="D27" s="61"/>
      <c r="E27" s="24"/>
      <c r="F27" s="22"/>
      <c r="G27" s="22"/>
      <c r="H27" s="22"/>
      <c r="I27" s="22"/>
      <c r="J27" s="22"/>
      <c r="K27" s="22"/>
      <c r="L27" s="22"/>
      <c r="N27" s="54"/>
      <c r="O27" s="56">
        <v>9688358</v>
      </c>
      <c r="P27" s="126">
        <v>3150000</v>
      </c>
      <c r="Q27">
        <f t="shared" si="0"/>
        <v>12838358</v>
      </c>
    </row>
    <row r="28" spans="2:17" ht="15.75">
      <c r="B28" s="24"/>
      <c r="C28" s="67"/>
      <c r="D28" s="61"/>
      <c r="E28" s="24"/>
      <c r="F28" s="22"/>
      <c r="G28" s="22"/>
      <c r="H28" s="22"/>
      <c r="I28" s="22"/>
      <c r="J28" s="22"/>
      <c r="K28" s="22"/>
      <c r="L28" s="22"/>
      <c r="N28" s="54"/>
      <c r="O28" s="56">
        <v>7724265</v>
      </c>
      <c r="P28" s="126">
        <v>2390000</v>
      </c>
      <c r="Q28">
        <f t="shared" si="0"/>
        <v>10114265</v>
      </c>
    </row>
    <row r="29" spans="2:17" ht="15.75">
      <c r="B29" s="24"/>
      <c r="C29" s="67"/>
      <c r="D29" s="61"/>
      <c r="E29" s="24"/>
      <c r="F29" s="22"/>
      <c r="G29" s="22"/>
      <c r="H29" s="22"/>
      <c r="I29" s="22"/>
      <c r="J29" s="22"/>
      <c r="K29" s="22"/>
      <c r="L29" s="22"/>
      <c r="N29" s="54"/>
      <c r="O29" s="56">
        <v>8638382</v>
      </c>
      <c r="P29" s="126">
        <v>3340000</v>
      </c>
      <c r="Q29">
        <f t="shared" si="0"/>
        <v>11978382</v>
      </c>
    </row>
    <row r="30" spans="2:17" ht="15.75">
      <c r="B30" s="24"/>
      <c r="C30" s="67"/>
      <c r="D30" s="61"/>
      <c r="E30" s="24"/>
      <c r="F30" s="22"/>
      <c r="G30" s="22"/>
      <c r="H30" s="22"/>
      <c r="I30" s="22"/>
      <c r="J30" s="22"/>
      <c r="K30" s="22"/>
      <c r="L30" s="22"/>
      <c r="N30" s="54"/>
      <c r="O30" s="56">
        <v>10323926</v>
      </c>
      <c r="P30" s="126">
        <v>5160000</v>
      </c>
      <c r="Q30">
        <f t="shared" si="0"/>
        <v>15483926</v>
      </c>
    </row>
    <row r="31" spans="2:17" ht="15.75">
      <c r="B31" s="24"/>
      <c r="C31" s="67"/>
      <c r="D31" s="61"/>
      <c r="E31" s="24"/>
      <c r="F31" s="22"/>
      <c r="G31" s="22"/>
      <c r="H31" s="22"/>
      <c r="I31" s="22"/>
      <c r="J31" s="22"/>
      <c r="K31" s="22"/>
      <c r="L31" s="22"/>
      <c r="N31" s="54"/>
      <c r="O31" s="56">
        <v>7446973</v>
      </c>
      <c r="P31" s="126">
        <v>1950000</v>
      </c>
      <c r="Q31">
        <f t="shared" si="0"/>
        <v>9396973</v>
      </c>
    </row>
    <row r="32" spans="2:17" ht="15.75">
      <c r="B32" s="24"/>
      <c r="C32" s="67"/>
      <c r="D32" s="61"/>
      <c r="E32" s="24"/>
      <c r="F32" s="22"/>
      <c r="G32" s="22"/>
      <c r="H32" s="22"/>
      <c r="I32" s="22"/>
      <c r="J32" s="22"/>
      <c r="K32" s="22"/>
      <c r="L32" s="22"/>
      <c r="N32" s="54"/>
      <c r="O32" s="56">
        <v>9686173</v>
      </c>
      <c r="P32" s="126">
        <v>2750000</v>
      </c>
      <c r="Q32">
        <f t="shared" si="0"/>
        <v>12436173</v>
      </c>
    </row>
    <row r="33" spans="2:17" ht="16.5" thickBot="1">
      <c r="B33" s="58"/>
      <c r="C33" s="67"/>
      <c r="D33" s="31"/>
      <c r="E33" s="58"/>
      <c r="F33" s="23"/>
      <c r="G33" s="31"/>
      <c r="H33" s="58"/>
      <c r="I33" s="23"/>
      <c r="J33" s="31"/>
      <c r="K33" s="58"/>
      <c r="L33" s="23"/>
      <c r="N33" s="54"/>
      <c r="O33" s="56">
        <v>7622080</v>
      </c>
      <c r="P33" s="126">
        <v>2950000</v>
      </c>
      <c r="Q33">
        <f t="shared" si="0"/>
        <v>10572080</v>
      </c>
    </row>
    <row r="34" spans="2:17" ht="16.5" thickBot="1">
      <c r="B34" s="58"/>
      <c r="C34" s="95"/>
      <c r="D34" s="23"/>
      <c r="E34" s="23"/>
      <c r="F34" s="23"/>
      <c r="G34" s="23"/>
      <c r="H34" s="23"/>
      <c r="I34" s="23"/>
      <c r="J34" s="23"/>
      <c r="K34" s="23"/>
      <c r="L34" s="23"/>
      <c r="N34" s="54"/>
      <c r="O34" s="56">
        <v>9360040</v>
      </c>
      <c r="P34" s="126">
        <v>3990000</v>
      </c>
      <c r="Q34">
        <f t="shared" si="0"/>
        <v>13350040</v>
      </c>
    </row>
    <row r="35" spans="2:17" ht="16.5" thickBot="1">
      <c r="B35" s="58"/>
      <c r="C35" s="23"/>
      <c r="D35" s="23"/>
      <c r="E35" s="23"/>
      <c r="F35" s="23"/>
      <c r="G35" s="23"/>
      <c r="H35" s="23"/>
      <c r="I35" s="23"/>
      <c r="J35" s="23"/>
      <c r="K35" s="23"/>
      <c r="L35" s="23"/>
    </row>
  </sheetData>
  <mergeCells count="5">
    <mergeCell ref="B2:B3"/>
    <mergeCell ref="C2:C3"/>
    <mergeCell ref="D2:F2"/>
    <mergeCell ref="G2:I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2020-09-07T08:26:09Z</dcterms:created>
  <dcterms:modified xsi:type="dcterms:W3CDTF">2020-11-01T01:53:24Z</dcterms:modified>
</cp:coreProperties>
</file>