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unaledu-my.sharepoint.com/personal/cbautistam_unal_edu_co/Documents/"/>
    </mc:Choice>
  </mc:AlternateContent>
  <xr:revisionPtr revIDLastSave="0" documentId="8_{5AD93F05-1448-46AC-994A-1944BBD92671}" xr6:coauthVersionLast="47" xr6:coauthVersionMax="47" xr10:uidLastSave="{00000000-0000-0000-0000-000000000000}"/>
  <bookViews>
    <workbookView xWindow="-28920" yWindow="930" windowWidth="29040" windowHeight="15720" firstSheet="3" activeTab="3" xr2:uid="{AC6CFF92-1C1B-4219-8F01-ECD85A985020}"/>
  </bookViews>
  <sheets>
    <sheet name="Ejes Grilla" sheetId="6" r:id="rId1"/>
    <sheet name="LOSA" sheetId="2" r:id="rId2"/>
    <sheet name="Vtas" sheetId="4" r:id="rId3"/>
    <sheet name="Avaluo" sheetId="5" r:id="rId4"/>
    <sheet name="Distribucion cargas piso 1" sheetId="19" state="hidden" r:id="rId5"/>
    <sheet name="Distribucion cargas piso 2" sheetId="20" state="hidden" r:id="rId6"/>
    <sheet name="Escalera" sheetId="7" r:id="rId7"/>
    <sheet name="COLUMNAS" sheetId="26" r:id="rId8"/>
    <sheet name="Pesos" sheetId="21" r:id="rId9"/>
    <sheet name="Espectro" sheetId="22" r:id="rId10"/>
    <sheet name="FHE " sheetId="23" r:id="rId11"/>
    <sheet name="FHE  (2)" sheetId="27" r:id="rId12"/>
    <sheet name="Derivas" sheetId="25" r:id="rId13"/>
    <sheet name="Irreg. Torsional" sheetId="28" r:id="rId28"/>
    <sheet name="Viguetas C.8.3.3" sheetId="29" r:id="rId29"/>
  </sheets>
  <externalReferences>
    <externalReference r:id="rId14"/>
    <externalReference r:id="rId15"/>
  </externalReferences>
  <definedNames>
    <definedName name="ALT_ALETA">#REF!</definedName>
    <definedName name="ALT_ALMA">#REF!</definedName>
    <definedName name="ALT_TOT">#REF!</definedName>
    <definedName name="ANC_ALETA">#REF!</definedName>
    <definedName name="ANC_ALMA">#REF!</definedName>
    <definedName name="AREA_COLUMNA">#REF!</definedName>
    <definedName name="AREA_VIGA">#REF!</definedName>
    <definedName name="D_CP">#REF!</definedName>
    <definedName name="D_Mad">#REF!</definedName>
    <definedName name="D_Si">#REF!</definedName>
    <definedName name="DIAM_COL">#REF!</definedName>
    <definedName name="T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5" l="1"/>
  <c r="C12" i="23"/>
  <c r="E17" i="23"/>
  <c r="C22" i="27"/>
  <c r="K21" i="27"/>
  <c r="J21" i="27"/>
  <c r="D21" i="27"/>
  <c r="C21" i="27"/>
  <c r="K20" i="27"/>
  <c r="J20" i="27"/>
  <c r="D20" i="27"/>
  <c r="C20" i="27"/>
  <c r="K19" i="27"/>
  <c r="J19" i="27"/>
  <c r="D19" i="27"/>
  <c r="C19" i="27"/>
  <c r="K18" i="27"/>
  <c r="J18" i="27"/>
  <c r="D18" i="27"/>
  <c r="C18" i="27"/>
  <c r="K17" i="27"/>
  <c r="J17" i="27"/>
  <c r="D17" i="27"/>
  <c r="C17" i="27"/>
  <c r="J12" i="27"/>
  <c r="I12" i="27"/>
  <c r="J7" i="27"/>
  <c r="C3" i="27"/>
  <c r="C2" i="27"/>
  <c r="C7" i="23"/>
  <c r="L46" i="7"/>
  <c r="J45" i="7"/>
  <c r="I4" i="21"/>
  <c r="I3" i="21"/>
  <c r="D21" i="23"/>
  <c r="H3" i="21"/>
  <c r="H4" i="21"/>
  <c r="F3" i="21"/>
  <c r="N39" i="5"/>
  <c r="F5" i="21" s="1"/>
  <c r="S21" i="5"/>
  <c r="S20" i="5"/>
  <c r="C3" i="23"/>
  <c r="N35" i="5"/>
  <c r="N36" i="5" s="1"/>
  <c r="M42" i="7"/>
  <c r="H59" i="7" s="1"/>
  <c r="J43" i="7"/>
  <c r="B67" i="25"/>
  <c r="B66" i="25"/>
  <c r="B65" i="25"/>
  <c r="H44" i="20"/>
  <c r="H39" i="20"/>
  <c r="H40" i="20"/>
  <c r="H41" i="20"/>
  <c r="H42" i="20"/>
  <c r="H43" i="20"/>
  <c r="H37" i="20"/>
  <c r="H33" i="20"/>
  <c r="H34" i="20"/>
  <c r="H12" i="20"/>
  <c r="H13" i="20"/>
  <c r="H14" i="20"/>
  <c r="H15" i="20"/>
  <c r="H16" i="20"/>
  <c r="H17" i="20"/>
  <c r="H18" i="20"/>
  <c r="H19" i="20"/>
  <c r="H21" i="20"/>
  <c r="H22" i="20"/>
  <c r="H25" i="20"/>
  <c r="H26" i="20"/>
  <c r="H28" i="20"/>
  <c r="H29" i="20"/>
  <c r="H30" i="20"/>
  <c r="H31" i="20"/>
  <c r="H7" i="20"/>
  <c r="H8" i="20"/>
  <c r="H5" i="20"/>
  <c r="H4" i="20"/>
  <c r="G38" i="20"/>
  <c r="G35" i="20"/>
  <c r="G36" i="20"/>
  <c r="G32" i="20"/>
  <c r="G9" i="20"/>
  <c r="G6" i="20"/>
  <c r="E4" i="26"/>
  <c r="E5" i="26"/>
  <c r="E6" i="26"/>
  <c r="E3" i="26"/>
  <c r="C12" i="27" l="1"/>
  <c r="E18" i="27" s="1"/>
  <c r="C10" i="27"/>
  <c r="C8" i="27"/>
  <c r="C6" i="27"/>
  <c r="D22" i="27"/>
  <c r="C13" i="27" s="1"/>
  <c r="S22" i="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W18" i="25"/>
  <c r="P18" i="25"/>
  <c r="G18" i="25"/>
  <c r="F18" i="25"/>
  <c r="W17" i="25"/>
  <c r="P17" i="25"/>
  <c r="G17" i="25"/>
  <c r="F17" i="25"/>
  <c r="W16" i="25"/>
  <c r="P16" i="25"/>
  <c r="G16" i="25"/>
  <c r="F16" i="25"/>
  <c r="W15" i="25"/>
  <c r="P15" i="25"/>
  <c r="G15" i="25"/>
  <c r="F15" i="25"/>
  <c r="W14" i="25"/>
  <c r="P14" i="25"/>
  <c r="G14" i="25"/>
  <c r="F14" i="25"/>
  <c r="G13" i="25"/>
  <c r="F13" i="25"/>
  <c r="H13" i="25" s="1"/>
  <c r="G12" i="25"/>
  <c r="F12" i="25"/>
  <c r="H12" i="25" s="1"/>
  <c r="G11" i="25"/>
  <c r="I11" i="25" s="1"/>
  <c r="U16" i="25" s="1"/>
  <c r="F11" i="25"/>
  <c r="W10" i="25"/>
  <c r="P10" i="25"/>
  <c r="G10" i="25"/>
  <c r="I10" i="25" s="1"/>
  <c r="F10" i="25"/>
  <c r="H10" i="25" s="1"/>
  <c r="W9" i="25"/>
  <c r="P9" i="25"/>
  <c r="G9" i="25"/>
  <c r="I9" i="25" s="1"/>
  <c r="F9" i="25"/>
  <c r="H9" i="25" s="1"/>
  <c r="W8" i="25"/>
  <c r="P8" i="25"/>
  <c r="G8" i="25"/>
  <c r="I8" i="25" s="1"/>
  <c r="F8" i="25"/>
  <c r="H8" i="25" s="1"/>
  <c r="W7" i="25"/>
  <c r="P7" i="25"/>
  <c r="G7" i="25"/>
  <c r="F7" i="25"/>
  <c r="W6" i="25"/>
  <c r="P6" i="25"/>
  <c r="G6" i="25"/>
  <c r="I6" i="25" s="1"/>
  <c r="F6" i="25"/>
  <c r="H6" i="25" s="1"/>
  <c r="G5" i="25"/>
  <c r="F5" i="25"/>
  <c r="G4" i="25"/>
  <c r="I4" i="25" s="1"/>
  <c r="F4" i="25"/>
  <c r="H4" i="25" s="1"/>
  <c r="E21" i="27" l="1"/>
  <c r="C9" i="27"/>
  <c r="C11" i="27"/>
  <c r="E19" i="27"/>
  <c r="E17" i="27"/>
  <c r="E20" i="27"/>
  <c r="I13" i="25"/>
  <c r="U18" i="25" s="1"/>
  <c r="T9" i="25"/>
  <c r="I5" i="25"/>
  <c r="N7" i="25" s="1"/>
  <c r="M8" i="25"/>
  <c r="H5" i="25"/>
  <c r="M7" i="25" s="1"/>
  <c r="U6" i="25"/>
  <c r="T7" i="25"/>
  <c r="I12" i="25"/>
  <c r="U17" i="25" s="1"/>
  <c r="H11" i="25"/>
  <c r="T16" i="25" s="1"/>
  <c r="V16" i="25" s="1"/>
  <c r="X16" i="25" s="1"/>
  <c r="H7" i="25"/>
  <c r="M9" i="25" s="1"/>
  <c r="I7" i="25"/>
  <c r="N17" i="25" s="1"/>
  <c r="T6" i="25"/>
  <c r="T15" i="25"/>
  <c r="M14" i="25"/>
  <c r="M6" i="25"/>
  <c r="M16" i="25"/>
  <c r="T18" i="25"/>
  <c r="V18" i="25" s="1"/>
  <c r="X18" i="25" s="1"/>
  <c r="T10" i="25"/>
  <c r="M18" i="25"/>
  <c r="M10" i="25"/>
  <c r="N6" i="25"/>
  <c r="N14" i="25"/>
  <c r="N18" i="25"/>
  <c r="N10" i="25"/>
  <c r="N15" i="25"/>
  <c r="U7" i="25"/>
  <c r="U15" i="25"/>
  <c r="N8" i="25"/>
  <c r="N16" i="25"/>
  <c r="U8" i="25"/>
  <c r="T17" i="25"/>
  <c r="T14" i="25"/>
  <c r="U10" i="25"/>
  <c r="U14" i="25"/>
  <c r="K69" i="7"/>
  <c r="C10" i="7"/>
  <c r="N47" i="5"/>
  <c r="C2" i="23"/>
  <c r="J7" i="23"/>
  <c r="C22" i="23" s="1"/>
  <c r="I12" i="23"/>
  <c r="J12" i="23"/>
  <c r="C17" i="23"/>
  <c r="J17" i="23"/>
  <c r="K17" i="23"/>
  <c r="C18" i="23"/>
  <c r="J18" i="23"/>
  <c r="K18" i="23"/>
  <c r="C19" i="23"/>
  <c r="J19" i="23"/>
  <c r="K19" i="23"/>
  <c r="C20" i="23"/>
  <c r="J20" i="23"/>
  <c r="K20" i="23"/>
  <c r="C21" i="23"/>
  <c r="J21" i="23"/>
  <c r="K21" i="23"/>
  <c r="B62" i="22"/>
  <c r="B37" i="22"/>
  <c r="B38" i="22" s="1"/>
  <c r="B36" i="22"/>
  <c r="C35" i="22"/>
  <c r="C36" i="22" s="1"/>
  <c r="C37" i="22" s="1"/>
  <c r="C29" i="22"/>
  <c r="C28" i="22"/>
  <c r="I37" i="21"/>
  <c r="I38" i="21" s="1"/>
  <c r="G37" i="21"/>
  <c r="G38" i="21" s="1"/>
  <c r="E37" i="21"/>
  <c r="E38" i="21" s="1"/>
  <c r="G4" i="21" s="1"/>
  <c r="L18" i="21"/>
  <c r="L29" i="21" s="1"/>
  <c r="E18" i="21"/>
  <c r="G3" i="21" s="1"/>
  <c r="I17" i="21"/>
  <c r="I18" i="21" s="1"/>
  <c r="G17" i="21"/>
  <c r="G18" i="21" s="1"/>
  <c r="E17" i="21"/>
  <c r="C44" i="20"/>
  <c r="AD43" i="20"/>
  <c r="AC43" i="20"/>
  <c r="P43" i="20"/>
  <c r="O43" i="20"/>
  <c r="N43" i="20"/>
  <c r="M43" i="20"/>
  <c r="L43" i="20"/>
  <c r="K43" i="20"/>
  <c r="J43" i="20"/>
  <c r="I43" i="20"/>
  <c r="F43" i="20"/>
  <c r="E43" i="20"/>
  <c r="AD42" i="20"/>
  <c r="AC42" i="20"/>
  <c r="P42" i="20"/>
  <c r="O42" i="20"/>
  <c r="N42" i="20"/>
  <c r="M42" i="20"/>
  <c r="L42" i="20"/>
  <c r="K42" i="20"/>
  <c r="J42" i="20"/>
  <c r="I42" i="20"/>
  <c r="F42" i="20"/>
  <c r="E42" i="20"/>
  <c r="P39" i="20"/>
  <c r="O39" i="20"/>
  <c r="N39" i="20"/>
  <c r="M39" i="20"/>
  <c r="L39" i="20"/>
  <c r="K39" i="20"/>
  <c r="J39" i="20"/>
  <c r="D39" i="20"/>
  <c r="D40" i="20" s="1"/>
  <c r="M38" i="20"/>
  <c r="H38" i="20"/>
  <c r="D38" i="20"/>
  <c r="D41" i="20" s="1"/>
  <c r="H36" i="20"/>
  <c r="D36" i="20"/>
  <c r="P36" i="20" s="1"/>
  <c r="H35" i="20"/>
  <c r="O33" i="20"/>
  <c r="D33" i="20"/>
  <c r="J33" i="20" s="1"/>
  <c r="AB32" i="20"/>
  <c r="M32" i="20"/>
  <c r="H32" i="20"/>
  <c r="D32" i="20"/>
  <c r="L32" i="20" s="1"/>
  <c r="P31" i="20"/>
  <c r="O31" i="20"/>
  <c r="F31" i="20"/>
  <c r="D31" i="20"/>
  <c r="N31" i="20" s="1"/>
  <c r="D30" i="20"/>
  <c r="P30" i="20" s="1"/>
  <c r="M29" i="20"/>
  <c r="J29" i="20"/>
  <c r="F29" i="20"/>
  <c r="D29" i="20"/>
  <c r="AD29" i="20" s="1"/>
  <c r="O28" i="20"/>
  <c r="M28" i="20"/>
  <c r="L28" i="20"/>
  <c r="J28" i="20"/>
  <c r="D28" i="20"/>
  <c r="F28" i="20" s="1"/>
  <c r="AD27" i="20"/>
  <c r="AB27" i="20"/>
  <c r="P27" i="20"/>
  <c r="O27" i="20"/>
  <c r="N27" i="20"/>
  <c r="M27" i="20"/>
  <c r="L27" i="20"/>
  <c r="K27" i="20"/>
  <c r="J27" i="20"/>
  <c r="F27" i="20"/>
  <c r="E27" i="20"/>
  <c r="AD25" i="20"/>
  <c r="N25" i="20"/>
  <c r="E25" i="20"/>
  <c r="D25" i="20"/>
  <c r="M25" i="20" s="1"/>
  <c r="P24" i="20"/>
  <c r="J24" i="20"/>
  <c r="D24" i="20"/>
  <c r="O24" i="20" s="1"/>
  <c r="AD23" i="20"/>
  <c r="AB23" i="20"/>
  <c r="P23" i="20"/>
  <c r="O23" i="20"/>
  <c r="N23" i="20"/>
  <c r="M23" i="20"/>
  <c r="L23" i="20"/>
  <c r="K23" i="20"/>
  <c r="J23" i="20"/>
  <c r="F23" i="20"/>
  <c r="E23" i="20"/>
  <c r="O21" i="20"/>
  <c r="M21" i="20"/>
  <c r="L21" i="20"/>
  <c r="J21" i="20"/>
  <c r="D21" i="20"/>
  <c r="D22" i="20" s="1"/>
  <c r="AD20" i="20"/>
  <c r="AB20" i="20"/>
  <c r="P20" i="20"/>
  <c r="O20" i="20"/>
  <c r="N20" i="20"/>
  <c r="M20" i="20"/>
  <c r="L20" i="20"/>
  <c r="K20" i="20"/>
  <c r="J20" i="20"/>
  <c r="F20" i="20"/>
  <c r="E20" i="20"/>
  <c r="D19" i="20"/>
  <c r="D18" i="20"/>
  <c r="M18" i="20" s="1"/>
  <c r="D17" i="20"/>
  <c r="O17" i="20" s="1"/>
  <c r="D16" i="20"/>
  <c r="AB16" i="20" s="1"/>
  <c r="D15" i="20"/>
  <c r="AD15" i="20" s="1"/>
  <c r="P13" i="20"/>
  <c r="L13" i="20"/>
  <c r="D13" i="20"/>
  <c r="D12" i="20"/>
  <c r="M12" i="20" s="1"/>
  <c r="H11" i="20"/>
  <c r="D11" i="20"/>
  <c r="J10" i="20"/>
  <c r="H10" i="20"/>
  <c r="D10" i="20"/>
  <c r="AC9" i="20"/>
  <c r="O9" i="20"/>
  <c r="N9" i="20"/>
  <c r="M9" i="20"/>
  <c r="L9" i="20"/>
  <c r="J9" i="20"/>
  <c r="H9" i="20"/>
  <c r="E9" i="20"/>
  <c r="D9" i="20"/>
  <c r="AD9" i="20" s="1"/>
  <c r="M7" i="20"/>
  <c r="D7" i="20"/>
  <c r="L7" i="20" s="1"/>
  <c r="AD6" i="20"/>
  <c r="AC6" i="20"/>
  <c r="AB6" i="20"/>
  <c r="P6" i="20"/>
  <c r="O6" i="20"/>
  <c r="N6" i="20"/>
  <c r="M6" i="20"/>
  <c r="L6" i="20"/>
  <c r="J6" i="20"/>
  <c r="H6" i="20"/>
  <c r="E6" i="20"/>
  <c r="AD5" i="20"/>
  <c r="AC5" i="20"/>
  <c r="P5" i="20"/>
  <c r="O5" i="20"/>
  <c r="N5" i="20"/>
  <c r="M5" i="20"/>
  <c r="L5" i="20"/>
  <c r="K5" i="20"/>
  <c r="J5" i="20"/>
  <c r="I5" i="20"/>
  <c r="I44" i="20" s="1"/>
  <c r="F5" i="20"/>
  <c r="E5" i="20"/>
  <c r="AD4" i="20"/>
  <c r="AC4" i="20"/>
  <c r="P4" i="20"/>
  <c r="O4" i="20"/>
  <c r="N4" i="20"/>
  <c r="M4" i="20"/>
  <c r="L4" i="20"/>
  <c r="K4" i="20"/>
  <c r="J4" i="20"/>
  <c r="I4" i="20"/>
  <c r="F4" i="20"/>
  <c r="E4" i="20"/>
  <c r="G3" i="20"/>
  <c r="C48" i="19"/>
  <c r="F47" i="19"/>
  <c r="E47" i="19"/>
  <c r="F46" i="19"/>
  <c r="E46" i="19"/>
  <c r="F45" i="19"/>
  <c r="E45" i="19"/>
  <c r="D44" i="19"/>
  <c r="E44" i="19" s="1"/>
  <c r="D41" i="19"/>
  <c r="D42" i="19" s="1"/>
  <c r="D40" i="19"/>
  <c r="F40" i="19" s="1"/>
  <c r="T39" i="19"/>
  <c r="D39" i="19"/>
  <c r="F39" i="19" s="1"/>
  <c r="F38" i="19"/>
  <c r="D38" i="19"/>
  <c r="T38" i="19" s="1"/>
  <c r="D37" i="19"/>
  <c r="T37" i="19" s="1"/>
  <c r="D36" i="19"/>
  <c r="F36" i="19" s="1"/>
  <c r="T35" i="19"/>
  <c r="D35" i="19"/>
  <c r="F35" i="19" s="1"/>
  <c r="F34" i="19"/>
  <c r="D34" i="19"/>
  <c r="T34" i="19" s="1"/>
  <c r="D33" i="19"/>
  <c r="F33" i="19" s="1"/>
  <c r="D32" i="19"/>
  <c r="F32" i="19" s="1"/>
  <c r="T31" i="19"/>
  <c r="D31" i="19"/>
  <c r="F31" i="19" s="1"/>
  <c r="F30" i="19"/>
  <c r="D30" i="19"/>
  <c r="T30" i="19" s="1"/>
  <c r="D29" i="19"/>
  <c r="T29" i="19" s="1"/>
  <c r="D28" i="19"/>
  <c r="F28" i="19" s="1"/>
  <c r="T27" i="19"/>
  <c r="D27" i="19"/>
  <c r="F27" i="19" s="1"/>
  <c r="F26" i="19"/>
  <c r="D26" i="19"/>
  <c r="T26" i="19" s="1"/>
  <c r="D25" i="19"/>
  <c r="T25" i="19" s="1"/>
  <c r="D24" i="19"/>
  <c r="F24" i="19" s="1"/>
  <c r="T23" i="19"/>
  <c r="D23" i="19"/>
  <c r="F23" i="19" s="1"/>
  <c r="F22" i="19"/>
  <c r="D22" i="19"/>
  <c r="T22" i="19" s="1"/>
  <c r="D21" i="19"/>
  <c r="F21" i="19" s="1"/>
  <c r="D20" i="19"/>
  <c r="F20" i="19" s="1"/>
  <c r="T19" i="19"/>
  <c r="D19" i="19"/>
  <c r="F19" i="19" s="1"/>
  <c r="F18" i="19"/>
  <c r="D18" i="19"/>
  <c r="T18" i="19" s="1"/>
  <c r="D17" i="19"/>
  <c r="T17" i="19" s="1"/>
  <c r="D16" i="19"/>
  <c r="F16" i="19" s="1"/>
  <c r="T15" i="19"/>
  <c r="D15" i="19"/>
  <c r="F15" i="19" s="1"/>
  <c r="F14" i="19"/>
  <c r="D14" i="19"/>
  <c r="T14" i="19" s="1"/>
  <c r="D13" i="19"/>
  <c r="T13" i="19" s="1"/>
  <c r="D12" i="19"/>
  <c r="F12" i="19" s="1"/>
  <c r="D9" i="19"/>
  <c r="D10" i="19" s="1"/>
  <c r="D8" i="19"/>
  <c r="F8" i="19" s="1"/>
  <c r="T7" i="19"/>
  <c r="F7" i="19"/>
  <c r="E7" i="19"/>
  <c r="T6" i="19"/>
  <c r="F6" i="19"/>
  <c r="E6" i="19"/>
  <c r="T5" i="19"/>
  <c r="F5" i="19"/>
  <c r="E5" i="19"/>
  <c r="T4" i="19"/>
  <c r="F4" i="19"/>
  <c r="E4" i="19"/>
  <c r="P9" i="5"/>
  <c r="P7" i="5"/>
  <c r="E22" i="27" l="1"/>
  <c r="F18" i="27" s="1"/>
  <c r="G18" i="27" s="1"/>
  <c r="F17" i="27"/>
  <c r="C6" i="23"/>
  <c r="C8" i="23"/>
  <c r="C10" i="23"/>
  <c r="C9" i="23" s="1"/>
  <c r="P47" i="5"/>
  <c r="AB10" i="20"/>
  <c r="G10" i="20"/>
  <c r="O11" i="20"/>
  <c r="G11" i="20"/>
  <c r="M15" i="25"/>
  <c r="O8" i="25"/>
  <c r="Q8" i="25" s="1"/>
  <c r="V6" i="25"/>
  <c r="X6" i="25" s="1"/>
  <c r="M17" i="25"/>
  <c r="U9" i="25"/>
  <c r="V9" i="25" s="1"/>
  <c r="X9" i="25" s="1"/>
  <c r="V7" i="25"/>
  <c r="X7" i="25" s="1"/>
  <c r="V17" i="25"/>
  <c r="X17" i="25" s="1"/>
  <c r="O17" i="25"/>
  <c r="Q17" i="25" s="1"/>
  <c r="O6" i="25"/>
  <c r="Q6" i="25" s="1"/>
  <c r="T8" i="25"/>
  <c r="V8" i="25" s="1"/>
  <c r="X8" i="25" s="1"/>
  <c r="V15" i="25"/>
  <c r="X15" i="25" s="1"/>
  <c r="N9" i="25"/>
  <c r="O9" i="25" s="1"/>
  <c r="Q9" i="25" s="1"/>
  <c r="O14" i="25"/>
  <c r="Q14" i="25" s="1"/>
  <c r="O18" i="25"/>
  <c r="Q18" i="25" s="1"/>
  <c r="O16" i="25"/>
  <c r="Q16" i="25" s="1"/>
  <c r="O15" i="25"/>
  <c r="Q15" i="25" s="1"/>
  <c r="O10" i="25"/>
  <c r="Q10" i="25" s="1"/>
  <c r="V14" i="25"/>
  <c r="X14" i="25" s="1"/>
  <c r="O7" i="25"/>
  <c r="Q7" i="25" s="1"/>
  <c r="V10" i="25"/>
  <c r="X10" i="25" s="1"/>
  <c r="AD10" i="20"/>
  <c r="E18" i="20"/>
  <c r="E10" i="20"/>
  <c r="M15" i="20"/>
  <c r="N18" i="20"/>
  <c r="AD18" i="20"/>
  <c r="E12" i="20"/>
  <c r="P17" i="20"/>
  <c r="J16" i="20"/>
  <c r="L19" i="20"/>
  <c r="F17" i="20"/>
  <c r="E16" i="20"/>
  <c r="N12" i="20"/>
  <c r="F15" i="20"/>
  <c r="F16" i="20"/>
  <c r="AD12" i="20"/>
  <c r="P19" i="20"/>
  <c r="P11" i="20"/>
  <c r="L15" i="20"/>
  <c r="AD16" i="20"/>
  <c r="F18" i="20"/>
  <c r="B39" i="22"/>
  <c r="C38" i="22"/>
  <c r="C65" i="22"/>
  <c r="C71" i="22"/>
  <c r="C66" i="22"/>
  <c r="C72" i="22"/>
  <c r="C67" i="22"/>
  <c r="C73" i="22"/>
  <c r="C62" i="22"/>
  <c r="C68" i="22"/>
  <c r="C74" i="22"/>
  <c r="B63" i="22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C76" i="22" s="1"/>
  <c r="C63" i="22"/>
  <c r="C69" i="22"/>
  <c r="C75" i="22"/>
  <c r="C64" i="22"/>
  <c r="C70" i="22"/>
  <c r="AD22" i="20"/>
  <c r="E22" i="20"/>
  <c r="AB22" i="20"/>
  <c r="P22" i="20"/>
  <c r="O22" i="20"/>
  <c r="N22" i="20"/>
  <c r="M22" i="20"/>
  <c r="L22" i="20"/>
  <c r="J22" i="20"/>
  <c r="F22" i="20"/>
  <c r="AB41" i="20"/>
  <c r="J41" i="20"/>
  <c r="P41" i="20"/>
  <c r="O41" i="20"/>
  <c r="N41" i="20"/>
  <c r="M41" i="20"/>
  <c r="L41" i="20"/>
  <c r="AC41" i="20"/>
  <c r="E41" i="20"/>
  <c r="AD41" i="20"/>
  <c r="F41" i="20"/>
  <c r="F40" i="20"/>
  <c r="AD40" i="20"/>
  <c r="E40" i="20"/>
  <c r="L40" i="20"/>
  <c r="AA40" i="20"/>
  <c r="P40" i="20"/>
  <c r="O40" i="20"/>
  <c r="N40" i="20"/>
  <c r="M40" i="20"/>
  <c r="K40" i="20"/>
  <c r="J40" i="20"/>
  <c r="N7" i="20"/>
  <c r="AB11" i="20"/>
  <c r="O12" i="20"/>
  <c r="M13" i="20"/>
  <c r="AB17" i="20"/>
  <c r="O18" i="20"/>
  <c r="M19" i="20"/>
  <c r="AB24" i="20"/>
  <c r="O25" i="20"/>
  <c r="E30" i="20"/>
  <c r="AD30" i="20"/>
  <c r="N32" i="20"/>
  <c r="L33" i="20"/>
  <c r="E36" i="20"/>
  <c r="AD36" i="20"/>
  <c r="N38" i="20"/>
  <c r="AB30" i="20"/>
  <c r="O7" i="20"/>
  <c r="E11" i="20"/>
  <c r="AD11" i="20"/>
  <c r="P12" i="20"/>
  <c r="N13" i="20"/>
  <c r="J15" i="20"/>
  <c r="E17" i="20"/>
  <c r="AD17" i="20"/>
  <c r="P18" i="20"/>
  <c r="N19" i="20"/>
  <c r="E24" i="20"/>
  <c r="AD24" i="20"/>
  <c r="P25" i="20"/>
  <c r="F30" i="20"/>
  <c r="AB31" i="20"/>
  <c r="O32" i="20"/>
  <c r="M33" i="20"/>
  <c r="D37" i="20"/>
  <c r="O38" i="20"/>
  <c r="AB36" i="20"/>
  <c r="P7" i="20"/>
  <c r="AB12" i="20"/>
  <c r="O13" i="20"/>
  <c r="AB18" i="20"/>
  <c r="O19" i="20"/>
  <c r="F24" i="20"/>
  <c r="AB25" i="20"/>
  <c r="E31" i="20"/>
  <c r="AD31" i="20"/>
  <c r="P32" i="20"/>
  <c r="N33" i="20"/>
  <c r="P38" i="20"/>
  <c r="E7" i="20"/>
  <c r="AD7" i="20"/>
  <c r="F12" i="20"/>
  <c r="AB13" i="20"/>
  <c r="AB19" i="20"/>
  <c r="N21" i="20"/>
  <c r="F25" i="20"/>
  <c r="D26" i="20"/>
  <c r="N28" i="20"/>
  <c r="L29" i="20"/>
  <c r="J30" i="20"/>
  <c r="E32" i="20"/>
  <c r="AD32" i="20"/>
  <c r="P33" i="20"/>
  <c r="J36" i="20"/>
  <c r="E38" i="20"/>
  <c r="AC38" i="20"/>
  <c r="AC44" i="20" s="1"/>
  <c r="AA7" i="20"/>
  <c r="F7" i="20"/>
  <c r="D8" i="20"/>
  <c r="L10" i="20"/>
  <c r="J11" i="20"/>
  <c r="E13" i="20"/>
  <c r="AD13" i="20"/>
  <c r="N15" i="20"/>
  <c r="L16" i="20"/>
  <c r="J17" i="20"/>
  <c r="E19" i="20"/>
  <c r="AD19" i="20"/>
  <c r="AB33" i="20"/>
  <c r="AD38" i="20"/>
  <c r="AB38" i="20"/>
  <c r="P9" i="20"/>
  <c r="M10" i="20"/>
  <c r="F13" i="20"/>
  <c r="D14" i="20"/>
  <c r="O15" i="20"/>
  <c r="M16" i="20"/>
  <c r="F19" i="20"/>
  <c r="P21" i="20"/>
  <c r="K24" i="20"/>
  <c r="P28" i="20"/>
  <c r="N29" i="20"/>
  <c r="L30" i="20"/>
  <c r="J31" i="20"/>
  <c r="E33" i="20"/>
  <c r="AD33" i="20"/>
  <c r="L36" i="20"/>
  <c r="AA39" i="20"/>
  <c r="AB9" i="20"/>
  <c r="N10" i="20"/>
  <c r="L11" i="20"/>
  <c r="J12" i="20"/>
  <c r="P15" i="20"/>
  <c r="N16" i="20"/>
  <c r="L17" i="20"/>
  <c r="J18" i="20"/>
  <c r="AB21" i="20"/>
  <c r="L24" i="20"/>
  <c r="J25" i="20"/>
  <c r="AB28" i="20"/>
  <c r="O29" i="20"/>
  <c r="M30" i="20"/>
  <c r="F33" i="20"/>
  <c r="D34" i="20"/>
  <c r="M36" i="20"/>
  <c r="E39" i="20"/>
  <c r="AD39" i="20"/>
  <c r="J7" i="20"/>
  <c r="O10" i="20"/>
  <c r="M11" i="20"/>
  <c r="AB15" i="20"/>
  <c r="O16" i="20"/>
  <c r="M17" i="20"/>
  <c r="E21" i="20"/>
  <c r="AD21" i="20"/>
  <c r="M24" i="20"/>
  <c r="E28" i="20"/>
  <c r="AD28" i="20"/>
  <c r="P29" i="20"/>
  <c r="N30" i="20"/>
  <c r="L31" i="20"/>
  <c r="J32" i="20"/>
  <c r="N36" i="20"/>
  <c r="J38" i="20"/>
  <c r="F39" i="20"/>
  <c r="K7" i="20"/>
  <c r="P10" i="20"/>
  <c r="N11" i="20"/>
  <c r="L12" i="20"/>
  <c r="J13" i="20"/>
  <c r="E15" i="20"/>
  <c r="P16" i="20"/>
  <c r="N17" i="20"/>
  <c r="L18" i="20"/>
  <c r="J19" i="20"/>
  <c r="F21" i="20"/>
  <c r="N24" i="20"/>
  <c r="L25" i="20"/>
  <c r="AB29" i="20"/>
  <c r="O30" i="20"/>
  <c r="M31" i="20"/>
  <c r="D35" i="20"/>
  <c r="O36" i="20"/>
  <c r="E29" i="20"/>
  <c r="L38" i="20"/>
  <c r="T42" i="19"/>
  <c r="F42" i="19"/>
  <c r="F10" i="19"/>
  <c r="T10" i="19"/>
  <c r="E48" i="19"/>
  <c r="T8" i="19"/>
  <c r="T12" i="19"/>
  <c r="T16" i="19"/>
  <c r="T20" i="19"/>
  <c r="T24" i="19"/>
  <c r="T28" i="19"/>
  <c r="T32" i="19"/>
  <c r="T36" i="19"/>
  <c r="T40" i="19"/>
  <c r="F44" i="19"/>
  <c r="F41" i="19"/>
  <c r="F13" i="19"/>
  <c r="F17" i="19"/>
  <c r="F25" i="19"/>
  <c r="F29" i="19"/>
  <c r="F37" i="19"/>
  <c r="T9" i="19"/>
  <c r="T21" i="19"/>
  <c r="T33" i="19"/>
  <c r="T41" i="19"/>
  <c r="F9" i="19"/>
  <c r="D11" i="19"/>
  <c r="D43" i="19"/>
  <c r="D48" i="19" s="1"/>
  <c r="I18" i="27" l="1"/>
  <c r="H18" i="27"/>
  <c r="F20" i="27"/>
  <c r="G20" i="27" s="1"/>
  <c r="G17" i="27"/>
  <c r="F21" i="27"/>
  <c r="G21" i="27" s="1"/>
  <c r="F19" i="27"/>
  <c r="G19" i="27" s="1"/>
  <c r="B40" i="22"/>
  <c r="C39" i="22"/>
  <c r="J8" i="20"/>
  <c r="O8" i="20"/>
  <c r="O44" i="20" s="1"/>
  <c r="K8" i="20"/>
  <c r="F8" i="20"/>
  <c r="F44" i="20" s="1"/>
  <c r="AD8" i="20"/>
  <c r="AD44" i="20" s="1"/>
  <c r="E8" i="20"/>
  <c r="AA8" i="20"/>
  <c r="P8" i="20"/>
  <c r="P44" i="20" s="1"/>
  <c r="N8" i="20"/>
  <c r="M8" i="20"/>
  <c r="L8" i="20"/>
  <c r="J26" i="20"/>
  <c r="F26" i="20"/>
  <c r="AD26" i="20"/>
  <c r="E26" i="20"/>
  <c r="AB26" i="20"/>
  <c r="P26" i="20"/>
  <c r="O26" i="20"/>
  <c r="N26" i="20"/>
  <c r="L26" i="20"/>
  <c r="M26" i="20"/>
  <c r="G44" i="20"/>
  <c r="N37" i="20"/>
  <c r="M37" i="20"/>
  <c r="L37" i="20"/>
  <c r="J37" i="20"/>
  <c r="F37" i="20"/>
  <c r="AD37" i="20"/>
  <c r="E37" i="20"/>
  <c r="AB37" i="20"/>
  <c r="P37" i="20"/>
  <c r="O37" i="20"/>
  <c r="AA44" i="20"/>
  <c r="D44" i="20"/>
  <c r="AD35" i="20"/>
  <c r="E35" i="20"/>
  <c r="AB35" i="20"/>
  <c r="P35" i="20"/>
  <c r="O35" i="20"/>
  <c r="N35" i="20"/>
  <c r="M35" i="20"/>
  <c r="L35" i="20"/>
  <c r="J35" i="20"/>
  <c r="M34" i="20"/>
  <c r="F34" i="20"/>
  <c r="AD34" i="20"/>
  <c r="E34" i="20"/>
  <c r="AB34" i="20"/>
  <c r="P34" i="20"/>
  <c r="O34" i="20"/>
  <c r="N34" i="20"/>
  <c r="L34" i="20"/>
  <c r="J34" i="20"/>
  <c r="F14" i="20"/>
  <c r="AD14" i="20"/>
  <c r="E14" i="20"/>
  <c r="AB14" i="20"/>
  <c r="AB44" i="20" s="1"/>
  <c r="P14" i="20"/>
  <c r="N14" i="20"/>
  <c r="O14" i="20"/>
  <c r="M14" i="20"/>
  <c r="L14" i="20"/>
  <c r="J14" i="20"/>
  <c r="T11" i="19"/>
  <c r="T44" i="19" s="1"/>
  <c r="F11" i="19"/>
  <c r="T43" i="19"/>
  <c r="F43" i="19"/>
  <c r="H19" i="27" l="1"/>
  <c r="I19" i="27"/>
  <c r="I21" i="27"/>
  <c r="H21" i="27"/>
  <c r="F22" i="27"/>
  <c r="I20" i="27"/>
  <c r="H20" i="27"/>
  <c r="H17" i="27"/>
  <c r="H22" i="27" s="1"/>
  <c r="I17" i="27"/>
  <c r="G22" i="27"/>
  <c r="C40" i="22"/>
  <c r="B41" i="22"/>
  <c r="E44" i="20"/>
  <c r="J44" i="20"/>
  <c r="L44" i="20"/>
  <c r="M44" i="20"/>
  <c r="N44" i="20"/>
  <c r="F48" i="19"/>
  <c r="I22" i="27" l="1"/>
  <c r="B42" i="22"/>
  <c r="C41" i="22"/>
  <c r="B43" i="22" l="1"/>
  <c r="C42" i="22"/>
  <c r="B44" i="22" l="1"/>
  <c r="C43" i="22"/>
  <c r="B45" i="22" l="1"/>
  <c r="C44" i="22"/>
  <c r="B46" i="22" l="1"/>
  <c r="C45" i="22"/>
  <c r="C46" i="22" l="1"/>
  <c r="B47" i="22"/>
  <c r="B48" i="22" l="1"/>
  <c r="C47" i="22"/>
  <c r="B49" i="22" l="1"/>
  <c r="C48" i="22"/>
  <c r="B50" i="22" l="1"/>
  <c r="C49" i="22"/>
  <c r="B51" i="22" l="1"/>
  <c r="C50" i="22"/>
  <c r="B52" i="22" l="1"/>
  <c r="C51" i="22"/>
  <c r="C52" i="22" l="1"/>
  <c r="B53" i="22"/>
  <c r="B54" i="22" l="1"/>
  <c r="C53" i="22"/>
  <c r="B55" i="22" l="1"/>
  <c r="C54" i="22"/>
  <c r="B56" i="22" l="1"/>
  <c r="C55" i="22"/>
  <c r="B57" i="22" l="1"/>
  <c r="C56" i="22"/>
  <c r="B58" i="22" l="1"/>
  <c r="C57" i="22"/>
  <c r="C58" i="22" l="1"/>
  <c r="B59" i="22"/>
  <c r="B60" i="22" l="1"/>
  <c r="C59" i="22"/>
  <c r="B61" i="22" l="1"/>
  <c r="C61" i="22" s="1"/>
  <c r="C60" i="22"/>
  <c r="P14" i="5" l="1"/>
  <c r="P13" i="5"/>
  <c r="P12" i="5"/>
  <c r="E9" i="6"/>
  <c r="B18" i="6"/>
  <c r="N59" i="7"/>
  <c r="L59" i="7"/>
  <c r="M59" i="7"/>
  <c r="G59" i="7"/>
  <c r="T102" i="7"/>
  <c r="V102" i="7"/>
  <c r="X102" i="7"/>
  <c r="U102" i="7"/>
  <c r="J40" i="7"/>
  <c r="M39" i="7"/>
  <c r="W13" i="7"/>
  <c r="J13" i="7"/>
  <c r="K15" i="7" s="1"/>
  <c r="J12" i="7"/>
  <c r="K66" i="7" l="1"/>
  <c r="L66" i="7" s="1"/>
  <c r="G31" i="7"/>
  <c r="G11" i="7"/>
  <c r="J6" i="7" s="1"/>
  <c r="G15" i="7"/>
  <c r="V106" i="7"/>
  <c r="V105" i="7"/>
  <c r="X106" i="7"/>
  <c r="X105" i="7"/>
  <c r="G7" i="7"/>
  <c r="G24" i="7"/>
  <c r="G12" i="7"/>
  <c r="G26" i="7"/>
  <c r="G8" i="7"/>
  <c r="G17" i="7"/>
  <c r="G27" i="7"/>
  <c r="G20" i="7"/>
  <c r="G16" i="7"/>
  <c r="G13" i="7"/>
  <c r="G18" i="7"/>
  <c r="G28" i="7"/>
  <c r="G22" i="7"/>
  <c r="G30" i="7"/>
  <c r="G25" i="7"/>
  <c r="G9" i="7"/>
  <c r="G19" i="7"/>
  <c r="G21" i="7"/>
  <c r="G29" i="7"/>
  <c r="G10" i="7"/>
  <c r="G14" i="7"/>
  <c r="G23" i="7"/>
  <c r="J10" i="7" l="1"/>
  <c r="K7" i="7"/>
  <c r="G39" i="7"/>
  <c r="G40" i="7" l="1"/>
  <c r="G41" i="7" s="1"/>
  <c r="K19" i="7"/>
  <c r="L19" i="7" s="1"/>
  <c r="M19" i="7" s="1"/>
  <c r="G38" i="7" s="1"/>
  <c r="G42" i="7" l="1"/>
  <c r="J38" i="7" s="1"/>
  <c r="J42" i="7" s="1"/>
  <c r="N60" i="7"/>
  <c r="L60" i="7"/>
  <c r="M60" i="7"/>
  <c r="G60" i="7"/>
  <c r="H60" i="7"/>
  <c r="J39" i="7"/>
  <c r="J41" i="7"/>
  <c r="M38" i="7" l="1"/>
  <c r="M41" i="7" l="1"/>
  <c r="W102" i="7" s="1"/>
  <c r="U105" i="7" s="1"/>
  <c r="M56" i="7"/>
  <c r="N58" i="7" s="1"/>
  <c r="N61" i="7" s="1"/>
  <c r="G56" i="7"/>
  <c r="L56" i="7" l="1"/>
  <c r="K65" i="7" s="1"/>
  <c r="L65" i="7" s="1"/>
  <c r="H56" i="7"/>
  <c r="H62" i="7" s="1"/>
  <c r="M44" i="7"/>
  <c r="G62" i="7"/>
  <c r="U106" i="7"/>
  <c r="H58" i="7" l="1"/>
  <c r="G58" i="7" s="1"/>
  <c r="G61" i="7" s="1"/>
  <c r="L58" i="7"/>
  <c r="M58" i="7" s="1"/>
  <c r="M61" i="7" s="1"/>
  <c r="L61" i="7"/>
  <c r="H61" i="7" l="1"/>
  <c r="G64" i="7"/>
  <c r="G65" i="7" s="1"/>
  <c r="I8" i="6" l="1"/>
  <c r="I7" i="6" s="1"/>
  <c r="I6" i="6" s="1"/>
  <c r="I5" i="6" s="1"/>
  <c r="I4" i="6" s="1"/>
  <c r="I3" i="6" s="1"/>
  <c r="F7" i="6"/>
  <c r="F6" i="6" s="1"/>
  <c r="F5" i="6" s="1"/>
  <c r="F4" i="6" s="1"/>
  <c r="F3" i="6" s="1"/>
  <c r="C15" i="6"/>
  <c r="C14" i="6" s="1"/>
  <c r="C13" i="6" s="1"/>
  <c r="C12" i="6" s="1"/>
  <c r="C11" i="6" s="1"/>
  <c r="C10" i="6" s="1"/>
  <c r="C9" i="6" s="1"/>
  <c r="C8" i="6" s="1"/>
  <c r="C7" i="6" s="1"/>
  <c r="C6" i="6" s="1"/>
  <c r="C5" i="6" s="1"/>
  <c r="C4" i="6" s="1"/>
  <c r="C3" i="6" s="1"/>
  <c r="N21" i="5"/>
  <c r="N44" i="5"/>
  <c r="P44" i="5" s="1"/>
  <c r="N41" i="5"/>
  <c r="N43" i="5" s="1"/>
  <c r="F4" i="21" s="1"/>
  <c r="N23" i="5"/>
  <c r="P23" i="5" s="1"/>
  <c r="N24" i="5"/>
  <c r="P24" i="5" s="1"/>
  <c r="N25" i="5"/>
  <c r="P25" i="5" s="1"/>
  <c r="N26" i="5"/>
  <c r="P26" i="5" s="1"/>
  <c r="N8" i="5"/>
  <c r="P8" i="5" s="1"/>
  <c r="P10" i="5"/>
  <c r="N11" i="5"/>
  <c r="P11" i="5" s="1"/>
  <c r="B28" i="4"/>
  <c r="C28" i="4" s="1"/>
  <c r="C19" i="4"/>
  <c r="D19" i="4" s="1"/>
  <c r="C5" i="4"/>
  <c r="D7" i="4"/>
  <c r="C21" i="4" l="1"/>
  <c r="D21" i="4" s="1"/>
  <c r="C13" i="4"/>
  <c r="D13" i="4" s="1"/>
  <c r="C16" i="4"/>
  <c r="D16" i="4" s="1"/>
  <c r="C20" i="4"/>
  <c r="D20" i="4" s="1"/>
  <c r="H22" i="5"/>
  <c r="N5" i="5"/>
  <c r="C15" i="4"/>
  <c r="D15" i="4" s="1"/>
  <c r="C14" i="4"/>
  <c r="D14" i="4" s="1"/>
  <c r="P21" i="5"/>
  <c r="C18" i="4"/>
  <c r="D18" i="4" s="1"/>
  <c r="C17" i="4"/>
  <c r="C22" i="4"/>
  <c r="D22" i="4" s="1"/>
  <c r="P5" i="5" l="1"/>
  <c r="E26" i="4"/>
  <c r="M2" i="5" s="1"/>
  <c r="D17" i="4"/>
  <c r="E29" i="4" s="1"/>
  <c r="N6" i="5" l="1"/>
  <c r="P35" i="5"/>
  <c r="P36" i="5" s="1"/>
  <c r="P38" i="5"/>
  <c r="P39" i="5" s="1"/>
  <c r="N22" i="5"/>
  <c r="N27" i="5" s="1"/>
  <c r="N28" i="5" s="1"/>
  <c r="R29" i="5" l="1"/>
  <c r="E5" i="21"/>
  <c r="J5" i="21" s="1"/>
  <c r="P6" i="5"/>
  <c r="R5" i="5" s="1"/>
  <c r="N16" i="5"/>
  <c r="P16" i="5" s="1"/>
  <c r="P22" i="5"/>
  <c r="N17" i="5" l="1"/>
  <c r="P27" i="5"/>
  <c r="P28" i="5" s="1"/>
  <c r="R18" i="5" l="1"/>
  <c r="E4" i="21"/>
  <c r="J4" i="21" s="1"/>
  <c r="E3" i="21"/>
  <c r="J3" i="21" s="1"/>
  <c r="E69" i="2"/>
  <c r="E70" i="2" s="1"/>
  <c r="F84" i="2" s="1"/>
  <c r="F80" i="2"/>
  <c r="F76" i="2"/>
  <c r="F77" i="2" s="1"/>
  <c r="F63" i="2"/>
  <c r="P63" i="2"/>
  <c r="Q63" i="2"/>
  <c r="E63" i="2"/>
  <c r="P62" i="2"/>
  <c r="Q62" i="2"/>
  <c r="F62" i="2"/>
  <c r="E62" i="2"/>
  <c r="O63" i="2"/>
  <c r="N63" i="2"/>
  <c r="M63" i="2"/>
  <c r="L63" i="2"/>
  <c r="K63" i="2"/>
  <c r="J63" i="2"/>
  <c r="I63" i="2"/>
  <c r="H63" i="2"/>
  <c r="G63" i="2"/>
  <c r="O62" i="2"/>
  <c r="N62" i="2"/>
  <c r="M62" i="2"/>
  <c r="L62" i="2"/>
  <c r="K62" i="2"/>
  <c r="J62" i="2"/>
  <c r="I62" i="2"/>
  <c r="H62" i="2"/>
  <c r="G62" i="2"/>
  <c r="E55" i="2"/>
  <c r="P55" i="2"/>
  <c r="O55" i="2"/>
  <c r="G55" i="2"/>
  <c r="H55" i="2"/>
  <c r="I55" i="2"/>
  <c r="J55" i="2"/>
  <c r="K55" i="2"/>
  <c r="L55" i="2"/>
  <c r="M55" i="2"/>
  <c r="N55" i="2"/>
  <c r="F55" i="2"/>
  <c r="E54" i="2"/>
  <c r="P54" i="2"/>
  <c r="J54" i="2"/>
  <c r="K54" i="2"/>
  <c r="L54" i="2"/>
  <c r="M54" i="2"/>
  <c r="N54" i="2"/>
  <c r="O54" i="2"/>
  <c r="I54" i="2"/>
  <c r="F54" i="2"/>
  <c r="G46" i="2"/>
  <c r="F46" i="2"/>
  <c r="H46" i="2"/>
  <c r="E46" i="2"/>
  <c r="I46" i="2" s="1"/>
  <c r="H54" i="2"/>
  <c r="G54" i="2"/>
  <c r="E45" i="2"/>
  <c r="H45" i="2"/>
  <c r="G45" i="2"/>
  <c r="F45" i="2"/>
  <c r="O37" i="2"/>
  <c r="O36" i="2"/>
  <c r="C36" i="2"/>
  <c r="C37" i="2"/>
  <c r="N37" i="2"/>
  <c r="N36" i="2"/>
  <c r="D36" i="2"/>
  <c r="D37" i="2"/>
  <c r="M37" i="2"/>
  <c r="L37" i="2"/>
  <c r="K37" i="2"/>
  <c r="J37" i="2"/>
  <c r="I37" i="2"/>
  <c r="H37" i="2"/>
  <c r="G37" i="2"/>
  <c r="F37" i="2"/>
  <c r="E37" i="2"/>
  <c r="M36" i="2"/>
  <c r="L36" i="2"/>
  <c r="K36" i="2"/>
  <c r="J36" i="2"/>
  <c r="I36" i="2"/>
  <c r="H36" i="2"/>
  <c r="G36" i="2"/>
  <c r="F36" i="2"/>
  <c r="E36" i="2"/>
  <c r="L29" i="2"/>
  <c r="L28" i="2"/>
  <c r="D29" i="2"/>
  <c r="D28" i="2"/>
  <c r="M29" i="2"/>
  <c r="M28" i="2"/>
  <c r="C29" i="2"/>
  <c r="C28" i="2"/>
  <c r="K29" i="2"/>
  <c r="J29" i="2"/>
  <c r="I29" i="2"/>
  <c r="H29" i="2"/>
  <c r="G29" i="2"/>
  <c r="F29" i="2"/>
  <c r="E29" i="2"/>
  <c r="K28" i="2"/>
  <c r="J28" i="2"/>
  <c r="I28" i="2"/>
  <c r="H28" i="2"/>
  <c r="G28" i="2"/>
  <c r="F28" i="2"/>
  <c r="E28" i="2"/>
  <c r="K20" i="2"/>
  <c r="E20" i="2"/>
  <c r="F20" i="2"/>
  <c r="G20" i="2"/>
  <c r="H20" i="2"/>
  <c r="I20" i="2"/>
  <c r="J20" i="2"/>
  <c r="D20" i="2"/>
  <c r="C20" i="2"/>
  <c r="K19" i="2"/>
  <c r="E19" i="2"/>
  <c r="F19" i="2"/>
  <c r="G19" i="2"/>
  <c r="H19" i="2"/>
  <c r="I19" i="2"/>
  <c r="J19" i="2"/>
  <c r="D19" i="2"/>
  <c r="C19" i="2"/>
  <c r="H6" i="21" l="1"/>
  <c r="D17" i="23"/>
  <c r="D20" i="23"/>
  <c r="E20" i="23" s="1"/>
  <c r="D19" i="23"/>
  <c r="E19" i="23" s="1"/>
  <c r="D18" i="23"/>
  <c r="E18" i="23" s="1"/>
  <c r="E21" i="23"/>
  <c r="F86" i="2"/>
  <c r="F85" i="2"/>
  <c r="R62" i="2"/>
  <c r="Q54" i="2"/>
  <c r="I45" i="2"/>
  <c r="R63" i="2"/>
  <c r="Q55" i="2"/>
  <c r="P37" i="2"/>
  <c r="P36" i="2"/>
  <c r="N29" i="2"/>
  <c r="N28" i="2"/>
  <c r="L20" i="2"/>
  <c r="L19" i="2"/>
  <c r="D22" i="23" l="1"/>
  <c r="C13" i="23" s="1"/>
  <c r="C11" i="23" s="1"/>
  <c r="E22" i="23"/>
  <c r="F17" i="23" s="1"/>
  <c r="F18" i="23" l="1"/>
  <c r="F20" i="23" l="1"/>
  <c r="G20" i="23" s="1"/>
  <c r="F21" i="23"/>
  <c r="G21" i="23" s="1"/>
  <c r="G18" i="23"/>
  <c r="F19" i="23"/>
  <c r="G19" i="23" s="1"/>
  <c r="F22" i="23" l="1"/>
  <c r="G17" i="23"/>
  <c r="G22" i="23" s="1"/>
  <c r="H21" i="23"/>
  <c r="I21" i="23"/>
  <c r="I20" i="23"/>
  <c r="H20" i="23"/>
  <c r="I19" i="23"/>
  <c r="H19" i="23"/>
  <c r="H18" i="23"/>
  <c r="I18" i="23"/>
  <c r="H17" i="23" l="1"/>
  <c r="H22" i="23" s="1"/>
  <c r="I17" i="23"/>
  <c r="I22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7" authorId="0" shapeId="0" xr:uid="{BDF328C6-11C8-4C06-AC2A-2B6402B236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62cm&lt;2 VECES CONTRAHUELLA + HUELLA&lt;64cm
</t>
        </r>
      </text>
    </comment>
    <comment ref="C8" authorId="0" shapeId="0" xr:uid="{C6CA74AE-A185-452C-81A1-AB437A01C2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Contrahuella
</t>
        </r>
      </text>
    </comment>
    <comment ref="J8" authorId="0" shapeId="0" xr:uid="{6880EB35-CD26-40ED-AA61-BCB57F5110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Condiconal Busca V 
</t>
        </r>
      </text>
    </comment>
    <comment ref="K15" authorId="0" shapeId="0" xr:uid="{E2E4606A-D7EC-4E10-A11C-D19477FC03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Condicional si es par o si es impar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<sst xmlns="http://schemas.openxmlformats.org/spreadsheetml/2006/main" count="779" uniqueCount="321">
  <si>
    <t>y</t>
  </si>
  <si>
    <t>x</t>
  </si>
  <si>
    <t>z</t>
  </si>
  <si>
    <t>PRIMER PISO</t>
  </si>
  <si>
    <t>VIGUETA 1</t>
  </si>
  <si>
    <t>MAX</t>
  </si>
  <si>
    <t>TIPO</t>
  </si>
  <si>
    <t>1EC</t>
  </si>
  <si>
    <t>2EC</t>
  </si>
  <si>
    <t>LUZ (m)</t>
  </si>
  <si>
    <t>C.9.5 (a)</t>
  </si>
  <si>
    <t xml:space="preserve">C.9.5 </t>
  </si>
  <si>
    <t>VIGUETA 2</t>
  </si>
  <si>
    <t>VIGUETA 3</t>
  </si>
  <si>
    <t>V</t>
  </si>
  <si>
    <t>ENTREPISOS SUPERIORES</t>
  </si>
  <si>
    <t>VIGUETA 4</t>
  </si>
  <si>
    <t>VIGUETA 5</t>
  </si>
  <si>
    <t>VIGUETA 6</t>
  </si>
  <si>
    <t>f´c Concreto</t>
  </si>
  <si>
    <t>Mpa</t>
  </si>
  <si>
    <t>Peso especifico concreto</t>
  </si>
  <si>
    <t>Peso especifico guadua</t>
  </si>
  <si>
    <t>KN/m3</t>
  </si>
  <si>
    <t>h vt</t>
  </si>
  <si>
    <t>m</t>
  </si>
  <si>
    <t>b vt</t>
  </si>
  <si>
    <t>sv</t>
  </si>
  <si>
    <t>sl</t>
  </si>
  <si>
    <t>sl/20</t>
  </si>
  <si>
    <t>hls</t>
  </si>
  <si>
    <t>h cas</t>
  </si>
  <si>
    <t>Loseta superior</t>
  </si>
  <si>
    <t>KN/m2</t>
  </si>
  <si>
    <t xml:space="preserve">Vigueta </t>
  </si>
  <si>
    <t>Casetón permanente</t>
  </si>
  <si>
    <t>Vigas rigidez</t>
  </si>
  <si>
    <t>Vigas carga</t>
  </si>
  <si>
    <t>altura</t>
  </si>
  <si>
    <t>base</t>
  </si>
  <si>
    <t>Base VR</t>
  </si>
  <si>
    <t>Luz ejes</t>
  </si>
  <si>
    <t>Luz libre (caras)</t>
  </si>
  <si>
    <t>h</t>
  </si>
  <si>
    <t>b</t>
  </si>
  <si>
    <t>Cáclulo VTAS</t>
  </si>
  <si>
    <t>n</t>
  </si>
  <si>
    <t>Se (m)</t>
  </si>
  <si>
    <t>Sl(m)</t>
  </si>
  <si>
    <t>Separación máxima                         (2.5*h vigas)</t>
  </si>
  <si>
    <t>Separación (m)</t>
  </si>
  <si>
    <t>cm</t>
  </si>
  <si>
    <t>Losa (m)</t>
  </si>
  <si>
    <t>ANÁLISIS DE CARGAS VERTICALES</t>
  </si>
  <si>
    <t>CARGAS MUERTAS (D)</t>
  </si>
  <si>
    <t>Separación</t>
  </si>
  <si>
    <t>ENTREPISO</t>
  </si>
  <si>
    <t>Valores</t>
  </si>
  <si>
    <t>Peso propio de la estructura</t>
  </si>
  <si>
    <t>Peso losa superior</t>
  </si>
  <si>
    <t>Ton/m3</t>
  </si>
  <si>
    <t>=</t>
  </si>
  <si>
    <t>Ton/m2</t>
  </si>
  <si>
    <t>kN/m2</t>
  </si>
  <si>
    <t>Peso vigueta</t>
  </si>
  <si>
    <t>Peso caseton</t>
  </si>
  <si>
    <t>Afinado</t>
  </si>
  <si>
    <t>3cm de espesor de afinado</t>
  </si>
  <si>
    <t>Peso acabado piso</t>
  </si>
  <si>
    <t>madera densa 25 mm</t>
  </si>
  <si>
    <t>Peso acabado techo</t>
  </si>
  <si>
    <t>pañete en yeso o concreto, cielo raso</t>
  </si>
  <si>
    <t>Ductos</t>
  </si>
  <si>
    <t>Ductos mecánicos (Tabla B.3.4.1-1)</t>
  </si>
  <si>
    <t>Enchape ceramico pisos y cocina</t>
  </si>
  <si>
    <t>Muros divisorios con Bloque No 4.</t>
  </si>
  <si>
    <t>Muros interiores de apartamento, en muros livianos</t>
  </si>
  <si>
    <t>Ton/m</t>
  </si>
  <si>
    <t>kN/m</t>
  </si>
  <si>
    <t>Cubierta</t>
  </si>
  <si>
    <t>Peso propio</t>
  </si>
  <si>
    <t>Incluído por el programa</t>
  </si>
  <si>
    <t>Peso placa</t>
  </si>
  <si>
    <t>kN/m3</t>
  </si>
  <si>
    <t>kN/m4</t>
  </si>
  <si>
    <t>Impermeabilización</t>
  </si>
  <si>
    <t>kN/m5</t>
  </si>
  <si>
    <t>1" de espesor de afinado</t>
  </si>
  <si>
    <t>kN/m6</t>
  </si>
  <si>
    <t>Bituminosa superficie lisa (Tabla B.3.4.1-4)</t>
  </si>
  <si>
    <t>kN/m7</t>
  </si>
  <si>
    <t>Entramado metálico con yeso (Tabla B.3.4.1-1)</t>
  </si>
  <si>
    <t>kN(m2</t>
  </si>
  <si>
    <t>CARGAS VIVAS</t>
  </si>
  <si>
    <t>Carga viva</t>
  </si>
  <si>
    <t>Recreativa (Tabla B.4.2.1-1)</t>
  </si>
  <si>
    <t>CUBIERTA</t>
  </si>
  <si>
    <t>BALCONES</t>
  </si>
  <si>
    <t>CARGA DE FACHADA</t>
  </si>
  <si>
    <t>Se aplica la mitad para considerar ventanas</t>
  </si>
  <si>
    <t>Carga Muerta</t>
  </si>
  <si>
    <t>Espesor enchape</t>
  </si>
  <si>
    <t>Carga Viva</t>
  </si>
  <si>
    <t>Viga</t>
  </si>
  <si>
    <t>Longitud viga</t>
  </si>
  <si>
    <t>Area aferente kN</t>
  </si>
  <si>
    <t>w fachada kN</t>
  </si>
  <si>
    <t>w cielo raso kN</t>
  </si>
  <si>
    <t>w garajes</t>
  </si>
  <si>
    <t>Carga</t>
  </si>
  <si>
    <t>F</t>
  </si>
  <si>
    <t xml:space="preserve">total </t>
  </si>
  <si>
    <t>total</t>
  </si>
  <si>
    <t>Longitud</t>
  </si>
  <si>
    <t>Area aferente</t>
  </si>
  <si>
    <t>w losa kN</t>
  </si>
  <si>
    <t>w piso normal kN</t>
  </si>
  <si>
    <t>w piso cocina y baños kN</t>
  </si>
  <si>
    <t>w muros internos kN</t>
  </si>
  <si>
    <t>w ventanas kN</t>
  </si>
  <si>
    <t>Muros divisorios</t>
  </si>
  <si>
    <t>w terrazas</t>
  </si>
  <si>
    <t>w cuartos</t>
  </si>
  <si>
    <t>w escaleras</t>
  </si>
  <si>
    <t>w cubierta</t>
  </si>
  <si>
    <t>f</t>
  </si>
  <si>
    <t>ESCALERAS</t>
  </si>
  <si>
    <t xml:space="preserve">Escalera Tipo 1 </t>
  </si>
  <si>
    <t xml:space="preserve"># Contrahuella </t>
  </si>
  <si>
    <t>Contrahuella</t>
  </si>
  <si>
    <t>Ch</t>
  </si>
  <si>
    <t xml:space="preserve">cm </t>
  </si>
  <si>
    <t>2CH + Hll</t>
  </si>
  <si>
    <t>Huella</t>
  </si>
  <si>
    <t>CH</t>
  </si>
  <si>
    <t># Escalones</t>
  </si>
  <si>
    <t>Altura</t>
  </si>
  <si>
    <t xml:space="preserve">Descanso </t>
  </si>
  <si>
    <t xml:space="preserve">Diferencia </t>
  </si>
  <si>
    <t># de Huellas</t>
  </si>
  <si>
    <t>Impar</t>
  </si>
  <si>
    <t>Par</t>
  </si>
  <si>
    <t xml:space="preserve"># Huellas a cada lado </t>
  </si>
  <si>
    <t>Ancho del descanso</t>
  </si>
  <si>
    <t xml:space="preserve">Longitud Vacio Huella </t>
  </si>
  <si>
    <t>ANALISIS DE CARGAS ESCALERA</t>
  </si>
  <si>
    <t>Tramo Inclinado</t>
  </si>
  <si>
    <t xml:space="preserve">Tramo del descanso </t>
  </si>
  <si>
    <t>Alt. Escalera</t>
  </si>
  <si>
    <t>Tipo</t>
  </si>
  <si>
    <t>Carga KN/m2</t>
  </si>
  <si>
    <t>CM</t>
  </si>
  <si>
    <t>CV</t>
  </si>
  <si>
    <t>Long. Escalera</t>
  </si>
  <si>
    <t>PP Losa</t>
  </si>
  <si>
    <t>h Ch</t>
  </si>
  <si>
    <t>PP Escalon</t>
  </si>
  <si>
    <t>Acabado</t>
  </si>
  <si>
    <t>2 5</t>
  </si>
  <si>
    <t>b Huella</t>
  </si>
  <si>
    <t>Piso Madera</t>
  </si>
  <si>
    <t>α</t>
  </si>
  <si>
    <t>∑ Carga Muerta</t>
  </si>
  <si>
    <t xml:space="preserve">t losa </t>
  </si>
  <si>
    <t>∑ Carga Viva</t>
  </si>
  <si>
    <t>Concreto (Kn/m3)</t>
  </si>
  <si>
    <t>DIAGRAMA CARGAS TRAMO INCLINADO Y TRAMO DE DESCANSO</t>
  </si>
  <si>
    <t>PRIMER TRAMO</t>
  </si>
  <si>
    <t>SEGUNDO TRAMO</t>
  </si>
  <si>
    <t>T. Inclinado</t>
  </si>
  <si>
    <t>wD (KN/m)</t>
  </si>
  <si>
    <t>L (m)</t>
  </si>
  <si>
    <t>Rz wD (KN/m)</t>
  </si>
  <si>
    <t>wL (KN/m)</t>
  </si>
  <si>
    <t>Rz wL (KN/m)</t>
  </si>
  <si>
    <t>Reacciones</t>
  </si>
  <si>
    <t>PISO 1</t>
  </si>
  <si>
    <t>PISOS DE ARRIBA</t>
  </si>
  <si>
    <t>Mu max</t>
  </si>
  <si>
    <t>Kn*m</t>
  </si>
  <si>
    <t>MUERTA</t>
  </si>
  <si>
    <t>Kn/m2</t>
  </si>
  <si>
    <t>VIVA</t>
  </si>
  <si>
    <t>AREA</t>
  </si>
  <si>
    <t>Sv</t>
  </si>
  <si>
    <t>wD EP</t>
  </si>
  <si>
    <t>Wl</t>
  </si>
  <si>
    <t>wD Des</t>
  </si>
  <si>
    <t>wD CB</t>
  </si>
  <si>
    <t>Combinaciones</t>
  </si>
  <si>
    <t>Viga Escalera</t>
  </si>
  <si>
    <t>Viguetas Entrepiso</t>
  </si>
  <si>
    <t>Viguetas Cubierta</t>
  </si>
  <si>
    <t>1)1.4 D</t>
  </si>
  <si>
    <t>2)1.2D + 1.6 L</t>
  </si>
  <si>
    <t xml:space="preserve">No </t>
  </si>
  <si>
    <t>DIMENSIONES</t>
  </si>
  <si>
    <t>COLUMNAS</t>
  </si>
  <si>
    <t>dx</t>
  </si>
  <si>
    <t>dy</t>
  </si>
  <si>
    <t>ÁREA (m2)</t>
  </si>
  <si>
    <t>C1</t>
  </si>
  <si>
    <t>C2</t>
  </si>
  <si>
    <t>C3</t>
  </si>
  <si>
    <t>C4</t>
  </si>
  <si>
    <t>Carga Muerta Entrepiso kN</t>
  </si>
  <si>
    <t>Carga Viva kN</t>
  </si>
  <si>
    <t>Peso columnas kN</t>
  </si>
  <si>
    <t>Peso Vigas kN</t>
  </si>
  <si>
    <t>Carga Fachada kN</t>
  </si>
  <si>
    <t>kN</t>
  </si>
  <si>
    <t>Piso 1</t>
  </si>
  <si>
    <t>Piso 2-4</t>
  </si>
  <si>
    <t>Total edificio</t>
  </si>
  <si>
    <t>Carga por viento</t>
  </si>
  <si>
    <t>Entrepiso</t>
  </si>
  <si>
    <t>Columnas</t>
  </si>
  <si>
    <t>Vigas de carga</t>
  </si>
  <si>
    <t>Vigas de Rigidez</t>
  </si>
  <si>
    <t>Ciudad</t>
  </si>
  <si>
    <t>Santa Marta</t>
  </si>
  <si>
    <t>Exposicion</t>
  </si>
  <si>
    <t>C</t>
  </si>
  <si>
    <t>Kzt</t>
  </si>
  <si>
    <t>Kd</t>
  </si>
  <si>
    <t>I</t>
  </si>
  <si>
    <t>Cantidad</t>
  </si>
  <si>
    <t>longitud</t>
  </si>
  <si>
    <t>Peso kN</t>
  </si>
  <si>
    <t>Kz</t>
  </si>
  <si>
    <t>Kc</t>
  </si>
  <si>
    <t>q</t>
  </si>
  <si>
    <t>Piso 2-cubierta</t>
  </si>
  <si>
    <t>q (Kn/m2)</t>
  </si>
  <si>
    <t>Paso 1. Selección de coeficiente de aceleración y velocidad</t>
  </si>
  <si>
    <t>Aa</t>
  </si>
  <si>
    <t>Av</t>
  </si>
  <si>
    <t>Paso 2. Tipologia de suelo</t>
  </si>
  <si>
    <t>Paso 3. Selección de coeficiente de amplificación</t>
  </si>
  <si>
    <t>Fa</t>
  </si>
  <si>
    <t>Fv</t>
  </si>
  <si>
    <t>Paso 4. Coeficiente de importancia</t>
  </si>
  <si>
    <t>Uso residencial</t>
  </si>
  <si>
    <t>Paso 5.1. Espectro de diseño</t>
  </si>
  <si>
    <t>Limite Tc (s)</t>
  </si>
  <si>
    <t>Limite TL (s)</t>
  </si>
  <si>
    <t>Paso 5.2. Espectro de diseño</t>
  </si>
  <si>
    <t>Perido</t>
  </si>
  <si>
    <t>Aceleración espectral</t>
  </si>
  <si>
    <t>-</t>
  </si>
  <si>
    <t>Parametros</t>
  </si>
  <si>
    <t>calculo h</t>
  </si>
  <si>
    <t>Cu</t>
  </si>
  <si>
    <t>Ct</t>
  </si>
  <si>
    <t xml:space="preserve"> α </t>
  </si>
  <si>
    <t>Ta (s)</t>
  </si>
  <si>
    <t>T (s)</t>
  </si>
  <si>
    <t>Total</t>
  </si>
  <si>
    <t>Cu*T</t>
  </si>
  <si>
    <t>a(m/s2)</t>
  </si>
  <si>
    <t>Ly max</t>
  </si>
  <si>
    <t>Lx max</t>
  </si>
  <si>
    <t xml:space="preserve">Sa </t>
  </si>
  <si>
    <t>Vs (KN)</t>
  </si>
  <si>
    <t>5%Ly</t>
  </si>
  <si>
    <t>5%Lx</t>
  </si>
  <si>
    <t>k</t>
  </si>
  <si>
    <t>Calculo FHE</t>
  </si>
  <si>
    <t>Piso</t>
  </si>
  <si>
    <t>h(m)</t>
  </si>
  <si>
    <t>m(KN)</t>
  </si>
  <si>
    <t>m*h^k</t>
  </si>
  <si>
    <t>Cvx</t>
  </si>
  <si>
    <t>Fx=Fy(KN)</t>
  </si>
  <si>
    <t>MFx</t>
  </si>
  <si>
    <t>MFy</t>
  </si>
  <si>
    <t>Xcm</t>
  </si>
  <si>
    <t>Ycm</t>
  </si>
  <si>
    <t>SUMA</t>
  </si>
  <si>
    <t>TABLE:  Joint Displacements</t>
  </si>
  <si>
    <t>Joint</t>
  </si>
  <si>
    <t>OutputCase</t>
  </si>
  <si>
    <t>CaseType</t>
  </si>
  <si>
    <t>U1</t>
  </si>
  <si>
    <t>U2</t>
  </si>
  <si>
    <t>Dx</t>
  </si>
  <si>
    <t>Dy</t>
  </si>
  <si>
    <t>Text</t>
  </si>
  <si>
    <t>|DxFx|+|DxM|</t>
  </si>
  <si>
    <t>|DyFy|+|DyM|</t>
  </si>
  <si>
    <t>61</t>
  </si>
  <si>
    <t>Fx</t>
  </si>
  <si>
    <t>LinStatic</t>
  </si>
  <si>
    <t>187</t>
  </si>
  <si>
    <t>D+Sx</t>
  </si>
  <si>
    <t>D</t>
  </si>
  <si>
    <t>Dperm</t>
  </si>
  <si>
    <t>D+Sy</t>
  </si>
  <si>
    <t>551</t>
  </si>
  <si>
    <t>Sx</t>
  </si>
  <si>
    <t>N1</t>
  </si>
  <si>
    <t>612</t>
  </si>
  <si>
    <t>N2</t>
  </si>
  <si>
    <t>673</t>
  </si>
  <si>
    <t>N3</t>
  </si>
  <si>
    <t>Fy</t>
  </si>
  <si>
    <t>N4</t>
  </si>
  <si>
    <t>Sy</t>
  </si>
  <si>
    <t>N5</t>
  </si>
  <si>
    <t>D+.75L+.75Sx</t>
  </si>
  <si>
    <t>D+.75L+.75Sy</t>
  </si>
  <si>
    <t>DTOTAL</t>
  </si>
  <si>
    <t>Combination</t>
  </si>
  <si>
    <t>LTOTAL</t>
  </si>
  <si>
    <t>Irregularidad del diafragma</t>
  </si>
  <si>
    <t>A</t>
  </si>
  <si>
    <t>B</t>
  </si>
  <si>
    <t>E</t>
  </si>
  <si>
    <t>(c*d+c*e)</t>
  </si>
  <si>
    <t>0.5A*B</t>
  </si>
  <si>
    <t>Coeficiente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</si>
</sst>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0.00000000000000"/>
    <numFmt numFmtId="168" formatCode="0.000000"/>
  </numFmts>
  <fonts count="3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ncizar Serif"/>
      <family val="1"/>
    </font>
    <font>
      <b/>
      <sz val="20"/>
      <color rgb="FFEE0000"/>
      <name val="Ancizar Serif"/>
      <family val="1"/>
    </font>
    <font>
      <b/>
      <sz val="10"/>
      <color theme="1"/>
      <name val="Ancizar Serif"/>
      <family val="1"/>
    </font>
    <font>
      <sz val="11"/>
      <color theme="1"/>
      <name val="Ancizar Serif"/>
      <family val="1"/>
    </font>
    <font>
      <sz val="15"/>
      <color theme="1"/>
      <name val="Ancizar Serif"/>
      <family val="1"/>
    </font>
    <font>
      <b/>
      <sz val="11"/>
      <color theme="1"/>
      <name val="Ancizar Serif"/>
      <family val="1"/>
    </font>
    <font>
      <b/>
      <sz val="11"/>
      <color rgb="FFFF0000"/>
      <name val="Ancizar Serif"/>
      <family val="1"/>
    </font>
    <font>
      <sz val="11"/>
      <color rgb="FFFF0000"/>
      <name val="Ancizar Serif"/>
      <family val="1"/>
    </font>
    <font>
      <b/>
      <sz val="12"/>
      <color rgb="FFFF0000"/>
      <name val="Ancizar Serif"/>
      <family val="1"/>
    </font>
    <font>
      <b/>
      <sz val="9"/>
      <color indexed="81"/>
      <name val="Tahoma"/>
      <family val="2"/>
    </font>
    <font>
      <b/>
      <i/>
      <u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</font>
    <font>
      <b/>
      <sz val="20"/>
      <color theme="1"/>
      <name val="Ancizar Serif"/>
      <family val="1"/>
    </font>
    <font>
      <b/>
      <sz val="11"/>
      <color rgb="FF000000"/>
      <name val="Calibri"/>
    </font>
    <font>
      <b/>
      <sz val="12"/>
      <color rgb="FF1F4E7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9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165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/>
    <xf numFmtId="2" fontId="0" fillId="3" borderId="9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/>
    </xf>
    <xf numFmtId="0" fontId="1" fillId="3" borderId="0" xfId="0" applyFont="1" applyFill="1"/>
    <xf numFmtId="0" fontId="0" fillId="3" borderId="17" xfId="0" applyFill="1" applyBorder="1"/>
    <xf numFmtId="0" fontId="0" fillId="3" borderId="18" xfId="0" applyFill="1" applyBorder="1"/>
    <xf numFmtId="0" fontId="7" fillId="3" borderId="18" xfId="0" applyFont="1" applyFill="1" applyBorder="1"/>
    <xf numFmtId="0" fontId="2" fillId="3" borderId="0" xfId="0" applyFont="1" applyFill="1"/>
    <xf numFmtId="2" fontId="8" fillId="3" borderId="14" xfId="0" applyNumberFormat="1" applyFont="1" applyFill="1" applyBorder="1"/>
    <xf numFmtId="0" fontId="2" fillId="3" borderId="20" xfId="0" applyFont="1" applyFill="1" applyBorder="1" applyAlignment="1">
      <alignment horizontal="left"/>
    </xf>
    <xf numFmtId="2" fontId="0" fillId="3" borderId="0" xfId="0" applyNumberFormat="1" applyFill="1"/>
    <xf numFmtId="0" fontId="7" fillId="3" borderId="17" xfId="0" applyFont="1" applyFill="1" applyBorder="1"/>
    <xf numFmtId="0" fontId="8" fillId="3" borderId="18" xfId="0" applyFont="1" applyFill="1" applyBorder="1"/>
    <xf numFmtId="0" fontId="0" fillId="3" borderId="19" xfId="0" applyFill="1" applyBorder="1"/>
    <xf numFmtId="0" fontId="0" fillId="3" borderId="21" xfId="0" applyFill="1" applyBorder="1"/>
    <xf numFmtId="0" fontId="1" fillId="3" borderId="21" xfId="0" applyFont="1" applyFill="1" applyBorder="1"/>
    <xf numFmtId="0" fontId="11" fillId="3" borderId="21" xfId="0" applyFont="1" applyFill="1" applyBorder="1"/>
    <xf numFmtId="0" fontId="8" fillId="3" borderId="21" xfId="0" applyFont="1" applyFill="1" applyBorder="1"/>
    <xf numFmtId="0" fontId="8" fillId="3" borderId="20" xfId="0" applyFont="1" applyFill="1" applyBorder="1"/>
    <xf numFmtId="0" fontId="12" fillId="0" borderId="0" xfId="0" applyFont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2" fillId="0" borderId="15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7" fillId="7" borderId="23" xfId="0" applyFont="1" applyFill="1" applyBorder="1" applyAlignment="1">
      <alignment horizontal="center" vertical="center"/>
    </xf>
    <xf numFmtId="2" fontId="12" fillId="0" borderId="21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4" fontId="12" fillId="0" borderId="35" xfId="0" applyNumberFormat="1" applyFont="1" applyBorder="1" applyAlignment="1">
      <alignment horizontal="center" vertical="center"/>
    </xf>
    <xf numFmtId="164" fontId="12" fillId="0" borderId="11" xfId="0" applyNumberFormat="1" applyFont="1" applyBorder="1" applyAlignment="1">
      <alignment horizontal="center" vertical="center"/>
    </xf>
    <xf numFmtId="164" fontId="12" fillId="2" borderId="36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64" fontId="12" fillId="0" borderId="37" xfId="0" applyNumberFormat="1" applyFont="1" applyBorder="1" applyAlignment="1">
      <alignment horizontal="center" vertical="center"/>
    </xf>
    <xf numFmtId="164" fontId="12" fillId="0" borderId="13" xfId="0" applyNumberFormat="1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6" borderId="1" xfId="0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2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1" xfId="0" applyFill="1" applyBorder="1"/>
    <xf numFmtId="0" fontId="0" fillId="3" borderId="4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0" borderId="46" xfId="0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164" fontId="0" fillId="0" borderId="46" xfId="0" applyNumberFormat="1" applyBorder="1" applyAlignment="1">
      <alignment horizontal="center" vertical="center" wrapText="1"/>
    </xf>
    <xf numFmtId="2" fontId="0" fillId="0" borderId="46" xfId="0" applyNumberFormat="1" applyBorder="1" applyAlignment="1">
      <alignment horizontal="center" vertical="center" wrapText="1"/>
    </xf>
    <xf numFmtId="2" fontId="26" fillId="0" borderId="46" xfId="0" applyNumberFormat="1" applyFont="1" applyBorder="1" applyAlignment="1">
      <alignment horizontal="center" vertical="center" wrapText="1"/>
    </xf>
    <xf numFmtId="164" fontId="26" fillId="0" borderId="46" xfId="0" applyNumberFormat="1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166" fontId="0" fillId="0" borderId="46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8" fillId="3" borderId="15" xfId="0" applyFont="1" applyFill="1" applyBorder="1"/>
    <xf numFmtId="2" fontId="2" fillId="3" borderId="19" xfId="0" applyNumberFormat="1" applyFont="1" applyFill="1" applyBorder="1"/>
    <xf numFmtId="0" fontId="24" fillId="3" borderId="25" xfId="0" applyFont="1" applyFill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 wrapText="1"/>
    </xf>
    <xf numFmtId="0" fontId="24" fillId="3" borderId="12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center" vertical="center" wrapText="1"/>
    </xf>
    <xf numFmtId="15" fontId="0" fillId="3" borderId="0" xfId="0" applyNumberFormat="1" applyFill="1"/>
    <xf numFmtId="0" fontId="0" fillId="3" borderId="16" xfId="0" applyFill="1" applyBorder="1"/>
    <xf numFmtId="2" fontId="0" fillId="3" borderId="0" xfId="0" applyNumberFormat="1" applyFill="1" applyAlignment="1">
      <alignment horizontal="left"/>
    </xf>
    <xf numFmtId="0" fontId="0" fillId="3" borderId="0" xfId="0" quotePrefix="1" applyFill="1"/>
    <xf numFmtId="164" fontId="0" fillId="3" borderId="0" xfId="0" applyNumberFormat="1" applyFill="1"/>
    <xf numFmtId="2" fontId="0" fillId="3" borderId="17" xfId="0" applyNumberFormat="1" applyFill="1" applyBorder="1"/>
    <xf numFmtId="2" fontId="0" fillId="3" borderId="19" xfId="0" applyNumberFormat="1" applyFill="1" applyBorder="1"/>
    <xf numFmtId="0" fontId="7" fillId="3" borderId="15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2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2" fontId="9" fillId="3" borderId="19" xfId="0" applyNumberFormat="1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vertical="center"/>
    </xf>
    <xf numFmtId="0" fontId="0" fillId="3" borderId="1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8" xfId="0" applyFill="1" applyBorder="1" applyAlignment="1">
      <alignment vertical="center"/>
    </xf>
    <xf numFmtId="15" fontId="0" fillId="3" borderId="17" xfId="0" applyNumberFormat="1" applyFill="1" applyBorder="1" applyAlignment="1">
      <alignment vertical="center"/>
    </xf>
    <xf numFmtId="15" fontId="0" fillId="3" borderId="14" xfId="0" applyNumberFormat="1" applyFill="1" applyBorder="1" applyAlignment="1">
      <alignment vertical="center"/>
    </xf>
    <xf numFmtId="15" fontId="0" fillId="3" borderId="15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5" fontId="0" fillId="3" borderId="0" xfId="0" applyNumberFormat="1" applyFill="1" applyAlignment="1">
      <alignment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quotePrefix="1" applyFont="1" applyFill="1" applyAlignment="1">
      <alignment horizontal="center" vertical="center"/>
    </xf>
    <xf numFmtId="0" fontId="0" fillId="3" borderId="19" xfId="0" applyFill="1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0" fillId="3" borderId="21" xfId="0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2" fontId="11" fillId="9" borderId="1" xfId="0" applyNumberFormat="1" applyFont="1" applyFill="1" applyBorder="1"/>
    <xf numFmtId="0" fontId="0" fillId="3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4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16" fontId="12" fillId="0" borderId="0" xfId="0" applyNumberFormat="1" applyFont="1" applyAlignment="1">
      <alignment horizontal="center" vertical="center"/>
    </xf>
    <xf numFmtId="49" fontId="0" fillId="8" borderId="49" xfId="0" applyNumberFormat="1" applyFill="1" applyBorder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20" xfId="0" applyBorder="1"/>
    <xf numFmtId="49" fontId="0" fillId="0" borderId="0" xfId="0" applyNumberFormat="1"/>
    <xf numFmtId="0" fontId="2" fillId="3" borderId="0" xfId="0" quotePrefix="1" applyFont="1" applyFill="1"/>
    <xf numFmtId="0" fontId="2" fillId="3" borderId="18" xfId="0" applyFont="1" applyFill="1" applyBorder="1" applyAlignment="1">
      <alignment horizontal="left"/>
    </xf>
    <xf numFmtId="2" fontId="0" fillId="3" borderId="14" xfId="0" applyNumberFormat="1" applyFill="1" applyBorder="1"/>
    <xf numFmtId="2" fontId="2" fillId="3" borderId="17" xfId="0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49" fontId="0" fillId="8" borderId="50" xfId="0" applyNumberFormat="1" applyFill="1" applyBorder="1" applyAlignment="1">
      <alignment horizontal="center"/>
    </xf>
    <xf numFmtId="0" fontId="0" fillId="0" borderId="15" xfId="0" applyBorder="1"/>
    <xf numFmtId="0" fontId="0" fillId="0" borderId="21" xfId="0" applyBorder="1"/>
    <xf numFmtId="49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15" fontId="22" fillId="3" borderId="14" xfId="0" applyNumberFormat="1" applyFont="1" applyFill="1" applyBorder="1"/>
    <xf numFmtId="0" fontId="0" fillId="3" borderId="15" xfId="0" applyFill="1" applyBorder="1"/>
    <xf numFmtId="0" fontId="0" fillId="3" borderId="14" xfId="0" applyFill="1" applyBorder="1"/>
    <xf numFmtId="2" fontId="0" fillId="3" borderId="15" xfId="0" applyNumberFormat="1" applyFill="1" applyBorder="1"/>
    <xf numFmtId="0" fontId="1" fillId="3" borderId="0" xfId="0" quotePrefix="1" applyFont="1" applyFill="1"/>
    <xf numFmtId="2" fontId="10" fillId="3" borderId="0" xfId="0" applyNumberFormat="1" applyFont="1" applyFill="1"/>
    <xf numFmtId="0" fontId="8" fillId="3" borderId="18" xfId="0" applyFont="1" applyFill="1" applyBorder="1" applyAlignment="1">
      <alignment horizontal="left"/>
    </xf>
    <xf numFmtId="0" fontId="0" fillId="3" borderId="20" xfId="0" applyFill="1" applyBorder="1"/>
    <xf numFmtId="2" fontId="2" fillId="3" borderId="21" xfId="0" applyNumberFormat="1" applyFont="1" applyFill="1" applyBorder="1"/>
    <xf numFmtId="0" fontId="7" fillId="3" borderId="14" xfId="0" applyFont="1" applyFill="1" applyBorder="1"/>
    <xf numFmtId="0" fontId="11" fillId="3" borderId="0" xfId="0" applyFont="1" applyFill="1"/>
    <xf numFmtId="0" fontId="2" fillId="3" borderId="15" xfId="0" applyFont="1" applyFill="1" applyBorder="1"/>
    <xf numFmtId="0" fontId="2" fillId="3" borderId="16" xfId="0" applyFont="1" applyFill="1" applyBorder="1"/>
    <xf numFmtId="0" fontId="2" fillId="3" borderId="21" xfId="0" applyFont="1" applyFill="1" applyBorder="1"/>
    <xf numFmtId="0" fontId="2" fillId="3" borderId="20" xfId="0" applyFont="1" applyFill="1" applyBorder="1"/>
    <xf numFmtId="0" fontId="8" fillId="3" borderId="14" xfId="0" applyFont="1" applyFill="1" applyBorder="1"/>
    <xf numFmtId="0" fontId="8" fillId="3" borderId="16" xfId="0" applyFont="1" applyFill="1" applyBorder="1"/>
    <xf numFmtId="2" fontId="10" fillId="3" borderId="15" xfId="0" applyNumberFormat="1" applyFont="1" applyFill="1" applyBorder="1"/>
    <xf numFmtId="0" fontId="8" fillId="3" borderId="16" xfId="0" applyFont="1" applyFill="1" applyBorder="1" applyAlignment="1">
      <alignment horizontal="left"/>
    </xf>
    <xf numFmtId="0" fontId="8" fillId="3" borderId="17" xfId="0" applyFont="1" applyFill="1" applyBorder="1"/>
    <xf numFmtId="0" fontId="0" fillId="0" borderId="4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48" xfId="0" applyFill="1" applyBorder="1" applyAlignment="1">
      <alignment horizontal="center" vertical="center" wrapText="1"/>
    </xf>
    <xf numFmtId="0" fontId="0" fillId="3" borderId="40" xfId="0" applyFill="1" applyBorder="1" applyAlignment="1">
      <alignment horizontal="center" vertical="center" wrapText="1"/>
    </xf>
    <xf numFmtId="168" fontId="0" fillId="3" borderId="21" xfId="0" applyNumberFormat="1" applyFill="1" applyBorder="1" applyAlignment="1">
      <alignment horizontal="center" vertical="center"/>
    </xf>
    <xf numFmtId="0" fontId="0" fillId="0" borderId="52" xfId="0" applyBorder="1" applyAlignment="1">
      <alignment horizontal="center" vertical="center" wrapText="1"/>
    </xf>
    <xf numFmtId="2" fontId="0" fillId="0" borderId="29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26" xfId="0" applyBorder="1" applyAlignment="1">
      <alignment horizontal="center"/>
    </xf>
    <xf numFmtId="2" fontId="0" fillId="0" borderId="6" xfId="0" applyNumberFormat="1" applyBorder="1" applyAlignment="1">
      <alignment horizontal="center" vertical="center" wrapText="1"/>
    </xf>
    <xf numFmtId="0" fontId="0" fillId="0" borderId="6" xfId="0" applyBorder="1"/>
    <xf numFmtId="0" fontId="0" fillId="0" borderId="45" xfId="0" applyBorder="1" applyAlignment="1">
      <alignment horizontal="center"/>
    </xf>
    <xf numFmtId="15" fontId="2" fillId="3" borderId="0" xfId="0" applyNumberFormat="1" applyFont="1" applyFill="1" applyAlignment="1">
      <alignment horizontal="center"/>
    </xf>
    <xf numFmtId="15" fontId="8" fillId="3" borderId="0" xfId="0" applyNumberFormat="1" applyFont="1" applyFill="1" applyAlignment="1">
      <alignment horizontal="center"/>
    </xf>
    <xf numFmtId="15" fontId="9" fillId="3" borderId="7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15" fontId="9" fillId="3" borderId="7" xfId="0" applyNumberFormat="1" applyFont="1" applyFill="1" applyBorder="1" applyAlignment="1">
      <alignment horizontal="center"/>
    </xf>
    <xf numFmtId="15" fontId="9" fillId="3" borderId="27" xfId="0" applyNumberFormat="1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 wrapText="1"/>
    </xf>
    <xf numFmtId="0" fontId="23" fillId="3" borderId="25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23" fillId="3" borderId="44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49" fontId="2" fillId="12" borderId="2" xfId="0" applyNumberFormat="1" applyFont="1" applyFill="1" applyBorder="1" applyAlignment="1">
      <alignment horizontal="center" vertical="center"/>
    </xf>
    <xf numFmtId="49" fontId="2" fillId="12" borderId="3" xfId="0" applyNumberFormat="1" applyFont="1" applyFill="1" applyBorder="1" applyAlignment="1">
      <alignment horizontal="center" vertical="center"/>
    </xf>
    <xf numFmtId="49" fontId="2" fillId="12" borderId="4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29" fillId="0" borderId="0" xfId="0" applyFont="1">
      <alignment horizontal="center" vertical="center"/>
    </xf>
    <xf numFmtId="0" fontId="30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06/relationships/rdRichValueStructure" Target="richData/rdrichvaluestructure.xml"/><Relationship Id="rId27" Type="http://schemas.openxmlformats.org/officeDocument/2006/relationships/customXml" Target="../customXml/item3.xml"/><Relationship Id="rId28" Type="http://schemas.openxmlformats.org/officeDocument/2006/relationships/worksheet" Target="worksheets/sheet14.xml"/><Relationship Id="rId29" Type="http://schemas.openxmlformats.org/officeDocument/2006/relationships/worksheet" Target="worksheets/sheet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Espectro</a:t>
            </a:r>
            <a:r>
              <a:rPr lang="en-US" baseline="0"/>
              <a:t> de diseño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Espectro!$B$35:$B$62</c:f>
              <c:numCache>
                <c:formatCode>0.00</c:formatCode>
                <c:ptCount val="28"/>
                <c:pt idx="0" formatCode="General">
                  <c:v>0</c:v>
                </c:pt>
                <c:pt idx="1">
                  <c:v>9.4444444444444456E-2</c:v>
                </c:pt>
                <c:pt idx="2">
                  <c:v>0.45333333333333337</c:v>
                </c:pt>
                <c:pt idx="3">
                  <c:v>0.45333333333333337</c:v>
                </c:pt>
                <c:pt idx="4">
                  <c:v>0.58333333333333337</c:v>
                </c:pt>
                <c:pt idx="5">
                  <c:v>0.71333333333333337</c:v>
                </c:pt>
                <c:pt idx="6">
                  <c:v>0.84333333333333338</c:v>
                </c:pt>
                <c:pt idx="7">
                  <c:v>0.97333333333333338</c:v>
                </c:pt>
                <c:pt idx="8">
                  <c:v>1.1033333333333335</c:v>
                </c:pt>
                <c:pt idx="9">
                  <c:v>1.2333333333333334</c:v>
                </c:pt>
                <c:pt idx="10">
                  <c:v>1.3633333333333333</c:v>
                </c:pt>
                <c:pt idx="11">
                  <c:v>1.4933333333333332</c:v>
                </c:pt>
                <c:pt idx="12">
                  <c:v>1.6233333333333331</c:v>
                </c:pt>
                <c:pt idx="13">
                  <c:v>1.753333333333333</c:v>
                </c:pt>
                <c:pt idx="14">
                  <c:v>1.8833333333333329</c:v>
                </c:pt>
                <c:pt idx="15">
                  <c:v>2.0133333333333328</c:v>
                </c:pt>
                <c:pt idx="16">
                  <c:v>2.1433333333333326</c:v>
                </c:pt>
                <c:pt idx="17">
                  <c:v>2.2733333333333325</c:v>
                </c:pt>
                <c:pt idx="18">
                  <c:v>2.4033333333333324</c:v>
                </c:pt>
                <c:pt idx="19">
                  <c:v>2.5333333333333323</c:v>
                </c:pt>
                <c:pt idx="20">
                  <c:v>2.6633333333333322</c:v>
                </c:pt>
                <c:pt idx="21">
                  <c:v>2.7933333333333321</c:v>
                </c:pt>
                <c:pt idx="22">
                  <c:v>2.923333333333332</c:v>
                </c:pt>
                <c:pt idx="23">
                  <c:v>3.0533333333333319</c:v>
                </c:pt>
                <c:pt idx="24">
                  <c:v>3.1833333333333318</c:v>
                </c:pt>
                <c:pt idx="25">
                  <c:v>3.3133333333333317</c:v>
                </c:pt>
                <c:pt idx="26">
                  <c:v>3.4433333333333316</c:v>
                </c:pt>
                <c:pt idx="27">
                  <c:v>4.08</c:v>
                </c:pt>
              </c:numCache>
            </c:numRef>
          </c:xVal>
          <c:yVal>
            <c:numRef>
              <c:f>Espectro!$C$35:$C$62</c:f>
              <c:numCache>
                <c:formatCode>General</c:formatCode>
                <c:ptCount val="28"/>
                <c:pt idx="0">
                  <c:v>0.44999999999999996</c:v>
                </c:pt>
                <c:pt idx="1">
                  <c:v>0.44999999999999996</c:v>
                </c:pt>
                <c:pt idx="2">
                  <c:v>0.44999999999999996</c:v>
                </c:pt>
                <c:pt idx="3" formatCode="0.000">
                  <c:v>0.45</c:v>
                </c:pt>
                <c:pt idx="4" formatCode="0.000">
                  <c:v>0.3497142857142857</c:v>
                </c:pt>
                <c:pt idx="5" formatCode="0.000">
                  <c:v>0.28598130841121494</c:v>
                </c:pt>
                <c:pt idx="6" formatCode="0.000">
                  <c:v>0.24189723320158102</c:v>
                </c:pt>
                <c:pt idx="7" formatCode="0.000">
                  <c:v>0.20958904109589041</c:v>
                </c:pt>
                <c:pt idx="8" formatCode="0.000">
                  <c:v>0.18489425981873112</c:v>
                </c:pt>
                <c:pt idx="9" formatCode="0.000">
                  <c:v>0.16540540540540541</c:v>
                </c:pt>
                <c:pt idx="10" formatCode="0.000">
                  <c:v>0.14963325183374085</c:v>
                </c:pt>
                <c:pt idx="11" formatCode="0.000">
                  <c:v>0.13660714285714287</c:v>
                </c:pt>
                <c:pt idx="12" formatCode="0.000">
                  <c:v>0.12566735112936347</c:v>
                </c:pt>
                <c:pt idx="13" formatCode="0.000">
                  <c:v>0.11634980988593159</c:v>
                </c:pt>
                <c:pt idx="14" formatCode="0.000">
                  <c:v>0.10831858407079649</c:v>
                </c:pt>
                <c:pt idx="15" formatCode="0.000">
                  <c:v>0.10132450331125832</c:v>
                </c:pt>
                <c:pt idx="16" formatCode="0.000">
                  <c:v>9.5178849144634564E-2</c:v>
                </c:pt>
                <c:pt idx="17" formatCode="0.000">
                  <c:v>8.9736070381231714E-2</c:v>
                </c:pt>
                <c:pt idx="18" formatCode="0.000">
                  <c:v>8.4882108183079091E-2</c:v>
                </c:pt>
                <c:pt idx="19" formatCode="0.000">
                  <c:v>8.0526315789473724E-2</c:v>
                </c:pt>
                <c:pt idx="20" formatCode="0.000">
                  <c:v>7.6595744680851105E-2</c:v>
                </c:pt>
                <c:pt idx="21" formatCode="0.000">
                  <c:v>7.3031026252983328E-2</c:v>
                </c:pt>
                <c:pt idx="22" formatCode="0.000">
                  <c:v>6.9783352337514287E-2</c:v>
                </c:pt>
                <c:pt idx="23" formatCode="0.000">
                  <c:v>6.6812227074235842E-2</c:v>
                </c:pt>
                <c:pt idx="24" formatCode="0.000">
                  <c:v>6.4083769633507884E-2</c:v>
                </c:pt>
                <c:pt idx="25" formatCode="0.000">
                  <c:v>6.1569416498994001E-2</c:v>
                </c:pt>
                <c:pt idx="26" formatCode="0.000">
                  <c:v>5.9244917715392094E-2</c:v>
                </c:pt>
                <c:pt idx="27" formatCode="0.000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20-40C0-9F3C-0652B481F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901576"/>
        <c:axId val="1089917960"/>
      </c:scatterChart>
      <c:valAx>
        <c:axId val="1089901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9917960"/>
        <c:crosses val="autoZero"/>
        <c:crossBetween val="midCat"/>
      </c:valAx>
      <c:valAx>
        <c:axId val="108991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9901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ustomXml" Target="../ink/ink1.xml"/><Relationship Id="rId1" Type="http://schemas.openxmlformats.org/officeDocument/2006/relationships/image" Target="../media/image6.png"/><Relationship Id="rId15" Type="http://schemas.openxmlformats.org/officeDocument/2006/relationships/image" Target="../media/image7.png"/><Relationship Id="rId14" Type="http://schemas.openxmlformats.org/officeDocument/2006/relationships/image" Target="../media/image19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9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chart" Target="../charts/chart1.xml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jpeg"/><Relationship Id="rId1" Type="http://schemas.openxmlformats.org/officeDocument/2006/relationships/image" Target="../media/image3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jpeg"/><Relationship Id="rId1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148250</xdr:colOff>
      <xdr:row>12</xdr:row>
      <xdr:rowOff>75000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45AAE2-F4EE-D483-EA7C-5CE460C88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4957" cy="2305244"/>
        </a:xfrm>
        <a:prstGeom prst="rect">
          <a:avLst/>
        </a:prstGeom>
      </xdr:spPr>
    </xdr:pic>
    <xdr:clientData/>
  </xdr:twoCellAnchor>
  <xdr:twoCellAnchor editAs="oneCell">
    <xdr:from>
      <xdr:col>7</xdr:col>
      <xdr:colOff>722087</xdr:colOff>
      <xdr:row>0</xdr:row>
      <xdr:rowOff>0</xdr:rowOff>
    </xdr:from>
    <xdr:to>
      <xdr:col>15</xdr:col>
      <xdr:colOff>10700</xdr:colOff>
      <xdr:row>13</xdr:row>
      <xdr:rowOff>77903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C8B8E5-2023-56AA-3F41-E27C16EB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8067" y="0"/>
          <a:ext cx="5372757" cy="2587869"/>
        </a:xfrm>
        <a:prstGeom prst="rect">
          <a:avLst/>
        </a:prstGeom>
      </xdr:spPr>
    </xdr:pic>
    <xdr:clientData/>
  </xdr:twoCellAnchor>
  <xdr:twoCellAnchor editAs="oneCell">
    <xdr:from>
      <xdr:col>7</xdr:col>
      <xdr:colOff>197827</xdr:colOff>
      <xdr:row>72</xdr:row>
      <xdr:rowOff>0</xdr:rowOff>
    </xdr:from>
    <xdr:to>
      <xdr:col>18</xdr:col>
      <xdr:colOff>225717</xdr:colOff>
      <xdr:row>77</xdr:row>
      <xdr:rowOff>9654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D927D9E-3135-F5D3-EC39-444A11CD7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57192" y="14097000"/>
          <a:ext cx="8745170" cy="924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177773</xdr:colOff>
      <xdr:row>0</xdr:row>
      <xdr:rowOff>0</xdr:rowOff>
    </xdr:from>
    <xdr:to>
      <xdr:col>27</xdr:col>
      <xdr:colOff>332350</xdr:colOff>
      <xdr:row>23</xdr:row>
      <xdr:rowOff>105822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C7FA48-237C-4B50-A64E-5FB7D5D7E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7253" y="0"/>
          <a:ext cx="4726576" cy="4546060"/>
        </a:xfrm>
        <a:prstGeom prst="rect">
          <a:avLst/>
        </a:prstGeom>
      </xdr:spPr>
    </xdr:pic>
    <xdr:clientData/>
  </xdr:twoCellAnchor>
  <xdr:oneCellAnchor>
    <xdr:from>
      <xdr:col>32</xdr:col>
      <xdr:colOff>510300</xdr:colOff>
      <xdr:row>9</xdr:row>
      <xdr:rowOff>15120</xdr:rowOff>
    </xdr:from>
    <xdr:ext cx="36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B5DC034E-2EBB-461C-93BC-10C1E7CA24BB}"/>
                </a:ext>
              </a:extLst>
            </xdr14:cNvPr>
            <xdr14:cNvContentPartPr/>
          </xdr14:nvContentPartPr>
          <xdr14:nvPr macro=""/>
          <xdr14:xfrm>
            <a:off x="7208280" y="563760"/>
            <a:ext cx="360" cy="1800"/>
          </xdr14:xfrm>
        </xdr:contentPart>
      </mc:Choice>
      <mc:Fallback xmlns=""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299222BD-F0A6-0D17-14E5-30869C8EB9D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7202160" y="557640"/>
              <a:ext cx="12600" cy="1404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19</xdr:col>
      <xdr:colOff>302260</xdr:colOff>
      <xdr:row>37</xdr:row>
      <xdr:rowOff>73660</xdr:rowOff>
    </xdr:from>
    <xdr:to>
      <xdr:col>24</xdr:col>
      <xdr:colOff>344837</xdr:colOff>
      <xdr:row>52</xdr:row>
      <xdr:rowOff>93583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04EC2F2E-525C-4A51-8E7F-64C2CF1B1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154660" y="7249160"/>
          <a:ext cx="3852577" cy="2915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250826</xdr:colOff>
      <xdr:row>0</xdr:row>
      <xdr:rowOff>0</xdr:rowOff>
    </xdr:from>
    <xdr:to>
      <xdr:col>17</xdr:col>
      <xdr:colOff>593049</xdr:colOff>
      <xdr:row>7</xdr:row>
      <xdr:rowOff>171718</xdr:rowOff>
    </xdr:to>
    <xdr:pic>
      <xdr:nvPicPr>
        <xdr:cNvPr id="30" name="Imagen 1">
          <a:extLst>
            <a:ext uri="{FF2B5EF4-FFF2-40B4-BE49-F238E27FC236}">
              <a16:creationId xmlns:a16="http://schemas.microsoft.com/office/drawing/2014/main" id="{90312E38-424D-4CB7-9E57-AFC4B3E24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5037" y="0"/>
          <a:ext cx="5889583" cy="1840498"/>
        </a:xfrm>
        <a:prstGeom prst="rect">
          <a:avLst/>
        </a:prstGeom>
      </xdr:spPr>
    </xdr:pic>
    <xdr:clientData/>
  </xdr:twoCellAnchor>
  <xdr:twoCellAnchor editAs="oneCell">
    <xdr:from>
      <xdr:col>10</xdr:col>
      <xdr:colOff>168317</xdr:colOff>
      <xdr:row>13</xdr:row>
      <xdr:rowOff>95250</xdr:rowOff>
    </xdr:from>
    <xdr:to>
      <xdr:col>17</xdr:col>
      <xdr:colOff>686780</xdr:colOff>
      <xdr:row>29</xdr:row>
      <xdr:rowOff>115306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0CC00E-9F06-4FE4-9144-733E5CBF85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8962"/>
        <a:stretch>
          <a:fillRect/>
        </a:stretch>
      </xdr:blipFill>
      <xdr:spPr>
        <a:xfrm>
          <a:off x="7788317" y="3171825"/>
          <a:ext cx="5852463" cy="3068056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29</xdr:row>
      <xdr:rowOff>161924</xdr:rowOff>
    </xdr:from>
    <xdr:to>
      <xdr:col>17</xdr:col>
      <xdr:colOff>675584</xdr:colOff>
      <xdr:row>52</xdr:row>
      <xdr:rowOff>41350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ED04B5-F768-4098-A9FE-7F30BACF0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43825" y="6286499"/>
          <a:ext cx="5885759" cy="4299026"/>
        </a:xfrm>
        <a:prstGeom prst="rect">
          <a:avLst/>
        </a:prstGeom>
      </xdr:spPr>
    </xdr:pic>
    <xdr:clientData/>
  </xdr:twoCellAnchor>
  <xdr:twoCellAnchor editAs="oneCell">
    <xdr:from>
      <xdr:col>10</xdr:col>
      <xdr:colOff>219074</xdr:colOff>
      <xdr:row>52</xdr:row>
      <xdr:rowOff>110140</xdr:rowOff>
    </xdr:from>
    <xdr:to>
      <xdr:col>17</xdr:col>
      <xdr:colOff>715287</xdr:colOff>
      <xdr:row>72</xdr:row>
      <xdr:rowOff>152137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EE85D42-4AF5-4278-A134-D00D11E33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39074" y="10654315"/>
          <a:ext cx="5830213" cy="3851997"/>
        </a:xfrm>
        <a:prstGeom prst="rect">
          <a:avLst/>
        </a:prstGeom>
      </xdr:spPr>
    </xdr:pic>
    <xdr:clientData/>
  </xdr:twoCellAnchor>
  <xdr:twoCellAnchor editAs="oneCell">
    <xdr:from>
      <xdr:col>21</xdr:col>
      <xdr:colOff>246784</xdr:colOff>
      <xdr:row>1</xdr:row>
      <xdr:rowOff>135082</xdr:rowOff>
    </xdr:from>
    <xdr:to>
      <xdr:col>29</xdr:col>
      <xdr:colOff>390656</xdr:colOff>
      <xdr:row>25</xdr:row>
      <xdr:rowOff>188209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C0F4E2B-9D25-4DF8-8861-FEC86B4BA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48784" y="525607"/>
          <a:ext cx="6239872" cy="5025177"/>
        </a:xfrm>
        <a:prstGeom prst="rect">
          <a:avLst/>
        </a:prstGeom>
      </xdr:spPr>
    </xdr:pic>
    <xdr:clientData/>
  </xdr:twoCellAnchor>
  <xdr:twoCellAnchor editAs="oneCell">
    <xdr:from>
      <xdr:col>21</xdr:col>
      <xdr:colOff>539498</xdr:colOff>
      <xdr:row>30</xdr:row>
      <xdr:rowOff>28756</xdr:rowOff>
    </xdr:from>
    <xdr:to>
      <xdr:col>29</xdr:col>
      <xdr:colOff>268818</xdr:colOff>
      <xdr:row>43</xdr:row>
      <xdr:rowOff>169397</xdr:rowOff>
    </xdr:to>
    <xdr:pic>
      <xdr:nvPicPr>
        <xdr:cNvPr id="32" name="Imagen 6">
          <a:extLst>
            <a:ext uri="{FF2B5EF4-FFF2-40B4-BE49-F238E27FC236}">
              <a16:creationId xmlns:a16="http://schemas.microsoft.com/office/drawing/2014/main" id="{62FB996D-1EF0-451A-9726-1D6A891F6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237237" y="6036408"/>
          <a:ext cx="6069160" cy="2525701"/>
        </a:xfrm>
        <a:prstGeom prst="rect">
          <a:avLst/>
        </a:prstGeom>
      </xdr:spPr>
    </xdr:pic>
    <xdr:clientData/>
  </xdr:twoCellAnchor>
  <xdr:twoCellAnchor>
    <xdr:from>
      <xdr:col>10</xdr:col>
      <xdr:colOff>427759</xdr:colOff>
      <xdr:row>7</xdr:row>
      <xdr:rowOff>226003</xdr:rowOff>
    </xdr:from>
    <xdr:to>
      <xdr:col>17</xdr:col>
      <xdr:colOff>303934</xdr:colOff>
      <xdr:row>7</xdr:row>
      <xdr:rowOff>348962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986929B-BAD0-477F-8192-B6E12DFC1EAE}"/>
            </a:ext>
          </a:extLst>
        </xdr:cNvPr>
        <xdr:cNvSpPr/>
      </xdr:nvSpPr>
      <xdr:spPr>
        <a:xfrm>
          <a:off x="8047759" y="2121478"/>
          <a:ext cx="5210175" cy="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428625</xdr:colOff>
      <xdr:row>24</xdr:row>
      <xdr:rowOff>45027</xdr:rowOff>
    </xdr:from>
    <xdr:to>
      <xdr:col>17</xdr:col>
      <xdr:colOff>304800</xdr:colOff>
      <xdr:row>24</xdr:row>
      <xdr:rowOff>159327</xdr:rowOff>
    </xdr:to>
    <xdr:sp macro="" textlink="">
      <xdr:nvSpPr>
        <xdr:cNvPr id="23" name="Rectángulo 8">
          <a:extLst>
            <a:ext uri="{FF2B5EF4-FFF2-40B4-BE49-F238E27FC236}">
              <a16:creationId xmlns:a16="http://schemas.microsoft.com/office/drawing/2014/main" id="{BFC80B04-6CF5-41E0-8E58-F576733408ED}"/>
            </a:ext>
          </a:extLst>
        </xdr:cNvPr>
        <xdr:cNvSpPr/>
      </xdr:nvSpPr>
      <xdr:spPr>
        <a:xfrm>
          <a:off x="8048625" y="521710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514350</xdr:colOff>
      <xdr:row>41</xdr:row>
      <xdr:rowOff>11257</xdr:rowOff>
    </xdr:from>
    <xdr:to>
      <xdr:col>17</xdr:col>
      <xdr:colOff>390525</xdr:colOff>
      <xdr:row>41</xdr:row>
      <xdr:rowOff>125557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D8FF66EB-35C1-42C1-94DE-FB6B5355EC13}"/>
            </a:ext>
          </a:extLst>
        </xdr:cNvPr>
        <xdr:cNvSpPr/>
      </xdr:nvSpPr>
      <xdr:spPr>
        <a:xfrm>
          <a:off x="8134350" y="842183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400050</xdr:colOff>
      <xdr:row>68</xdr:row>
      <xdr:rowOff>0</xdr:rowOff>
    </xdr:from>
    <xdr:to>
      <xdr:col>17</xdr:col>
      <xdr:colOff>523875</xdr:colOff>
      <xdr:row>69</xdr:row>
      <xdr:rowOff>19050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FB02E359-DF77-4239-B899-8D1D2CB3F0AC}"/>
            </a:ext>
          </a:extLst>
        </xdr:cNvPr>
        <xdr:cNvSpPr/>
      </xdr:nvSpPr>
      <xdr:spPr>
        <a:xfrm>
          <a:off x="8782050" y="13592175"/>
          <a:ext cx="4695825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23</xdr:col>
      <xdr:colOff>195977</xdr:colOff>
      <xdr:row>7</xdr:row>
      <xdr:rowOff>132152</xdr:rowOff>
    </xdr:from>
    <xdr:to>
      <xdr:col>29</xdr:col>
      <xdr:colOff>112295</xdr:colOff>
      <xdr:row>8</xdr:row>
      <xdr:rowOff>64169</xdr:rowOff>
    </xdr:to>
    <xdr:sp macro="" textlink="">
      <xdr:nvSpPr>
        <xdr:cNvPr id="39" name="Rectángulo 11">
          <a:extLst>
            <a:ext uri="{FF2B5EF4-FFF2-40B4-BE49-F238E27FC236}">
              <a16:creationId xmlns:a16="http://schemas.microsoft.com/office/drawing/2014/main" id="{96BA5BBC-8F15-48BA-826D-BD7BD7A45E20}"/>
            </a:ext>
          </a:extLst>
        </xdr:cNvPr>
        <xdr:cNvSpPr/>
      </xdr:nvSpPr>
      <xdr:spPr>
        <a:xfrm>
          <a:off x="18459914" y="1816573"/>
          <a:ext cx="4680823" cy="116501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21</xdr:col>
      <xdr:colOff>642114</xdr:colOff>
      <xdr:row>33</xdr:row>
      <xdr:rowOff>27256</xdr:rowOff>
    </xdr:from>
    <xdr:to>
      <xdr:col>29</xdr:col>
      <xdr:colOff>346839</xdr:colOff>
      <xdr:row>35</xdr:row>
      <xdr:rowOff>112981</xdr:rowOff>
    </xdr:to>
    <xdr:sp macro="" textlink="">
      <xdr:nvSpPr>
        <xdr:cNvPr id="33" name="Rectángulo 12">
          <a:extLst>
            <a:ext uri="{FF2B5EF4-FFF2-40B4-BE49-F238E27FC236}">
              <a16:creationId xmlns:a16="http://schemas.microsoft.com/office/drawing/2014/main" id="{6C13DEEA-E65B-4CD5-B31A-3BEFCE365D58}"/>
            </a:ext>
          </a:extLst>
        </xdr:cNvPr>
        <xdr:cNvSpPr/>
      </xdr:nvSpPr>
      <xdr:spPr>
        <a:xfrm>
          <a:off x="17339853" y="6598126"/>
          <a:ext cx="6065769" cy="461203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10</xdr:col>
      <xdr:colOff>268432</xdr:colOff>
      <xdr:row>73</xdr:row>
      <xdr:rowOff>69274</xdr:rowOff>
    </xdr:from>
    <xdr:to>
      <xdr:col>17</xdr:col>
      <xdr:colOff>502227</xdr:colOff>
      <xdr:row>81</xdr:row>
      <xdr:rowOff>102300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B433C86-6ECE-475F-A9BC-78808C55C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88432" y="14613949"/>
          <a:ext cx="5567795" cy="1557026"/>
        </a:xfrm>
        <a:prstGeom prst="rect">
          <a:avLst/>
        </a:prstGeom>
      </xdr:spPr>
    </xdr:pic>
    <xdr:clientData/>
  </xdr:twoCellAnchor>
  <xdr:twoCellAnchor editAs="oneCell">
    <xdr:from>
      <xdr:col>10</xdr:col>
      <xdr:colOff>441613</xdr:colOff>
      <xdr:row>83</xdr:row>
      <xdr:rowOff>17319</xdr:rowOff>
    </xdr:from>
    <xdr:to>
      <xdr:col>17</xdr:col>
      <xdr:colOff>476250</xdr:colOff>
      <xdr:row>93</xdr:row>
      <xdr:rowOff>183307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5447277-7629-40A1-AF61-ABEA10670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61613" y="16466994"/>
          <a:ext cx="5368637" cy="2070988"/>
        </a:xfrm>
        <a:prstGeom prst="rect">
          <a:avLst/>
        </a:prstGeom>
      </xdr:spPr>
    </xdr:pic>
    <xdr:clientData/>
  </xdr:twoCellAnchor>
  <xdr:twoCellAnchor>
    <xdr:from>
      <xdr:col>10</xdr:col>
      <xdr:colOff>599210</xdr:colOff>
      <xdr:row>90</xdr:row>
      <xdr:rowOff>79664</xdr:rowOff>
    </xdr:from>
    <xdr:to>
      <xdr:col>17</xdr:col>
      <xdr:colOff>415636</xdr:colOff>
      <xdr:row>91</xdr:row>
      <xdr:rowOff>98714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D5CB0D31-A52D-4D7E-BD08-D019457F6B57}"/>
            </a:ext>
          </a:extLst>
        </xdr:cNvPr>
        <xdr:cNvSpPr/>
      </xdr:nvSpPr>
      <xdr:spPr>
        <a:xfrm>
          <a:off x="8219210" y="17862839"/>
          <a:ext cx="5150426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400050</xdr:colOff>
      <xdr:row>79</xdr:row>
      <xdr:rowOff>173182</xdr:rowOff>
    </xdr:from>
    <xdr:to>
      <xdr:col>17</xdr:col>
      <xdr:colOff>320386</xdr:colOff>
      <xdr:row>80</xdr:row>
      <xdr:rowOff>98714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CD6D2D91-8E66-4D33-AE7A-8320F6A97CED}"/>
            </a:ext>
          </a:extLst>
        </xdr:cNvPr>
        <xdr:cNvSpPr/>
      </xdr:nvSpPr>
      <xdr:spPr>
        <a:xfrm>
          <a:off x="8020050" y="15860857"/>
          <a:ext cx="5254336" cy="11603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10</xdr:col>
      <xdr:colOff>580157</xdr:colOff>
      <xdr:row>94</xdr:row>
      <xdr:rowOff>157810</xdr:rowOff>
    </xdr:from>
    <xdr:to>
      <xdr:col>17</xdr:col>
      <xdr:colOff>747834</xdr:colOff>
      <xdr:row>104</xdr:row>
      <xdr:rowOff>43296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5E9F7DD-3537-4CDD-BDB2-F285D194A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00157" y="18702985"/>
          <a:ext cx="5501677" cy="1790486"/>
        </a:xfrm>
        <a:prstGeom prst="rect">
          <a:avLst/>
        </a:prstGeom>
      </xdr:spPr>
    </xdr:pic>
    <xdr:clientData/>
  </xdr:twoCellAnchor>
  <xdr:twoCellAnchor>
    <xdr:from>
      <xdr:col>10</xdr:col>
      <xdr:colOff>742951</xdr:colOff>
      <xdr:row>101</xdr:row>
      <xdr:rowOff>43295</xdr:rowOff>
    </xdr:from>
    <xdr:to>
      <xdr:col>17</xdr:col>
      <xdr:colOff>623455</xdr:colOff>
      <xdr:row>101</xdr:row>
      <xdr:rowOff>164522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223521EF-1212-4FD2-94CA-9A695D01A269}"/>
            </a:ext>
          </a:extLst>
        </xdr:cNvPr>
        <xdr:cNvSpPr/>
      </xdr:nvSpPr>
      <xdr:spPr>
        <a:xfrm>
          <a:off x="8362951" y="19921970"/>
          <a:ext cx="5214504" cy="121227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6</xdr:col>
      <xdr:colOff>147205</xdr:colOff>
      <xdr:row>51</xdr:row>
      <xdr:rowOff>0</xdr:rowOff>
    </xdr:from>
    <xdr:to>
      <xdr:col>9</xdr:col>
      <xdr:colOff>186184</xdr:colOff>
      <xdr:row>63</xdr:row>
      <xdr:rowOff>38979</xdr:rowOff>
    </xdr:to>
    <xdr:pic>
      <xdr:nvPicPr>
        <xdr:cNvPr id="7" name="Imagen 19">
          <a:extLst>
            <a:ext uri="{FF2B5EF4-FFF2-40B4-BE49-F238E27FC236}">
              <a16:creationId xmlns:a16="http://schemas.microsoft.com/office/drawing/2014/main" id="{4027FBD3-CD3B-43C5-9E15-F190CF5A8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9205" y="10347614"/>
          <a:ext cx="2324979" cy="2324979"/>
        </a:xfrm>
        <a:prstGeom prst="rect">
          <a:avLst/>
        </a:prstGeom>
      </xdr:spPr>
    </xdr:pic>
    <xdr:clientData/>
  </xdr:twoCellAnchor>
  <xdr:twoCellAnchor editAs="oneCell">
    <xdr:from>
      <xdr:col>0</xdr:col>
      <xdr:colOff>337704</xdr:colOff>
      <xdr:row>50</xdr:row>
      <xdr:rowOff>190499</xdr:rowOff>
    </xdr:from>
    <xdr:to>
      <xdr:col>5</xdr:col>
      <xdr:colOff>712145</xdr:colOff>
      <xdr:row>89</xdr:row>
      <xdr:rowOff>86949</xdr:rowOff>
    </xdr:to>
    <xdr:pic>
      <xdr:nvPicPr>
        <xdr:cNvPr id="2" name="Imagen 20">
          <a:extLst>
            <a:ext uri="{FF2B5EF4-FFF2-40B4-BE49-F238E27FC236}">
              <a16:creationId xmlns:a16="http://schemas.microsoft.com/office/drawing/2014/main" id="{9BF79C7A-EC19-4D6A-B01E-CA250894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37704" y="10347613"/>
          <a:ext cx="4184441" cy="7325950"/>
        </a:xfrm>
        <a:prstGeom prst="rect">
          <a:avLst/>
        </a:prstGeom>
      </xdr:spPr>
    </xdr:pic>
    <xdr:clientData/>
  </xdr:twoCellAnchor>
  <xdr:twoCellAnchor>
    <xdr:from>
      <xdr:col>10</xdr:col>
      <xdr:colOff>548955</xdr:colOff>
      <xdr:row>5</xdr:row>
      <xdr:rowOff>47388</xdr:rowOff>
    </xdr:from>
    <xdr:to>
      <xdr:col>17</xdr:col>
      <xdr:colOff>309574</xdr:colOff>
      <xdr:row>5</xdr:row>
      <xdr:rowOff>150491</xdr:rowOff>
    </xdr:to>
    <xdr:sp macro="" textlink="">
      <xdr:nvSpPr>
        <xdr:cNvPr id="31" name="Rectángulo 21">
          <a:extLst>
            <a:ext uri="{FF2B5EF4-FFF2-40B4-BE49-F238E27FC236}">
              <a16:creationId xmlns:a16="http://schemas.microsoft.com/office/drawing/2014/main" id="{899B2857-DDD3-4484-B219-A474D6F1BD17}"/>
            </a:ext>
          </a:extLst>
        </xdr:cNvPr>
        <xdr:cNvSpPr/>
      </xdr:nvSpPr>
      <xdr:spPr>
        <a:xfrm>
          <a:off x="8503166" y="1350809"/>
          <a:ext cx="5328566" cy="103103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161926</xdr:colOff>
      <xdr:row>3</xdr:row>
      <xdr:rowOff>171449</xdr:rowOff>
    </xdr:from>
    <xdr:to>
      <xdr:col>24</xdr:col>
      <xdr:colOff>483562</xdr:colOff>
      <xdr:row>15</xdr:row>
      <xdr:rowOff>20782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48C6F1-BB64-4B5E-8A04-A2D9F595B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15926" y="1152524"/>
          <a:ext cx="5655636" cy="2135333"/>
        </a:xfrm>
        <a:prstGeom prst="rect">
          <a:avLst/>
        </a:prstGeom>
      </xdr:spPr>
    </xdr:pic>
    <xdr:clientData/>
  </xdr:twoCellAnchor>
  <xdr:twoCellAnchor editAs="oneCell">
    <xdr:from>
      <xdr:col>17</xdr:col>
      <xdr:colOff>168317</xdr:colOff>
      <xdr:row>13</xdr:row>
      <xdr:rowOff>95250</xdr:rowOff>
    </xdr:from>
    <xdr:to>
      <xdr:col>24</xdr:col>
      <xdr:colOff>686780</xdr:colOff>
      <xdr:row>29</xdr:row>
      <xdr:rowOff>115306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347116-DA99-464C-9259-E7632272EC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8962"/>
        <a:stretch>
          <a:fillRect/>
        </a:stretch>
      </xdr:blipFill>
      <xdr:spPr>
        <a:xfrm>
          <a:off x="13122317" y="2981325"/>
          <a:ext cx="5852463" cy="3068056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29</xdr:row>
      <xdr:rowOff>161924</xdr:rowOff>
    </xdr:from>
    <xdr:to>
      <xdr:col>24</xdr:col>
      <xdr:colOff>675584</xdr:colOff>
      <xdr:row>52</xdr:row>
      <xdr:rowOff>57803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D87EA8-67CF-4984-AD9F-7EB9271CD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77825" y="6095999"/>
          <a:ext cx="5885759" cy="4296429"/>
        </a:xfrm>
        <a:prstGeom prst="rect">
          <a:avLst/>
        </a:prstGeom>
      </xdr:spPr>
    </xdr:pic>
    <xdr:clientData/>
  </xdr:twoCellAnchor>
  <xdr:twoCellAnchor editAs="oneCell">
    <xdr:from>
      <xdr:col>17</xdr:col>
      <xdr:colOff>219074</xdr:colOff>
      <xdr:row>52</xdr:row>
      <xdr:rowOff>110140</xdr:rowOff>
    </xdr:from>
    <xdr:to>
      <xdr:col>24</xdr:col>
      <xdr:colOff>715287</xdr:colOff>
      <xdr:row>72</xdr:row>
      <xdr:rowOff>152137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7EA805C-260D-4966-8AF9-FB7E1D8F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73074" y="10444765"/>
          <a:ext cx="5830213" cy="3851997"/>
        </a:xfrm>
        <a:prstGeom prst="rect">
          <a:avLst/>
        </a:prstGeom>
      </xdr:spPr>
    </xdr:pic>
    <xdr:clientData/>
  </xdr:twoCellAnchor>
  <xdr:twoCellAnchor editAs="oneCell">
    <xdr:from>
      <xdr:col>31</xdr:col>
      <xdr:colOff>523875</xdr:colOff>
      <xdr:row>1</xdr:row>
      <xdr:rowOff>247650</xdr:rowOff>
    </xdr:from>
    <xdr:to>
      <xdr:col>39</xdr:col>
      <xdr:colOff>667747</xdr:colOff>
      <xdr:row>26</xdr:row>
      <xdr:rowOff>112874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4D82BFC-40B5-4694-B06C-905D68247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45875" y="447675"/>
          <a:ext cx="6239872" cy="5027774"/>
        </a:xfrm>
        <a:prstGeom prst="rect">
          <a:avLst/>
        </a:prstGeom>
      </xdr:spPr>
    </xdr:pic>
    <xdr:clientData/>
  </xdr:twoCellAnchor>
  <xdr:twoCellAnchor editAs="oneCell">
    <xdr:from>
      <xdr:col>31</xdr:col>
      <xdr:colOff>666750</xdr:colOff>
      <xdr:row>28</xdr:row>
      <xdr:rowOff>181607</xdr:rowOff>
    </xdr:from>
    <xdr:to>
      <xdr:col>39</xdr:col>
      <xdr:colOff>374866</xdr:colOff>
      <xdr:row>42</xdr:row>
      <xdr:rowOff>76200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809340C-5812-4202-B863-690184AE1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88750" y="5925182"/>
          <a:ext cx="5804116" cy="2561593"/>
        </a:xfrm>
        <a:prstGeom prst="rect">
          <a:avLst/>
        </a:prstGeom>
      </xdr:spPr>
    </xdr:pic>
    <xdr:clientData/>
  </xdr:twoCellAnchor>
  <xdr:twoCellAnchor>
    <xdr:from>
      <xdr:col>17</xdr:col>
      <xdr:colOff>427759</xdr:colOff>
      <xdr:row>7</xdr:row>
      <xdr:rowOff>237259</xdr:rowOff>
    </xdr:from>
    <xdr:to>
      <xdr:col>24</xdr:col>
      <xdr:colOff>303934</xdr:colOff>
      <xdr:row>7</xdr:row>
      <xdr:rowOff>361084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15F41B54-91B9-4936-A170-4E348F4413D2}"/>
            </a:ext>
          </a:extLst>
        </xdr:cNvPr>
        <xdr:cNvSpPr/>
      </xdr:nvSpPr>
      <xdr:spPr>
        <a:xfrm>
          <a:off x="13381759" y="1932709"/>
          <a:ext cx="5210175" cy="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428625</xdr:colOff>
      <xdr:row>24</xdr:row>
      <xdr:rowOff>45027</xdr:rowOff>
    </xdr:from>
    <xdr:to>
      <xdr:col>24</xdr:col>
      <xdr:colOff>304800</xdr:colOff>
      <xdr:row>24</xdr:row>
      <xdr:rowOff>159327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747BE649-68AF-435E-86BA-ED781E89B2B9}"/>
            </a:ext>
          </a:extLst>
        </xdr:cNvPr>
        <xdr:cNvSpPr/>
      </xdr:nvSpPr>
      <xdr:spPr>
        <a:xfrm>
          <a:off x="13382625" y="502660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514350</xdr:colOff>
      <xdr:row>41</xdr:row>
      <xdr:rowOff>11257</xdr:rowOff>
    </xdr:from>
    <xdr:to>
      <xdr:col>24</xdr:col>
      <xdr:colOff>390525</xdr:colOff>
      <xdr:row>41</xdr:row>
      <xdr:rowOff>125557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AA52A628-32B2-4041-B3BD-AB27A7EA357B}"/>
            </a:ext>
          </a:extLst>
        </xdr:cNvPr>
        <xdr:cNvSpPr/>
      </xdr:nvSpPr>
      <xdr:spPr>
        <a:xfrm>
          <a:off x="13468350" y="8231332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400050</xdr:colOff>
      <xdr:row>68</xdr:row>
      <xdr:rowOff>0</xdr:rowOff>
    </xdr:from>
    <xdr:to>
      <xdr:col>24</xdr:col>
      <xdr:colOff>523875</xdr:colOff>
      <xdr:row>69</xdr:row>
      <xdr:rowOff>19050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6B71E57-C523-4309-A30F-3D88E1604FED}"/>
            </a:ext>
          </a:extLst>
        </xdr:cNvPr>
        <xdr:cNvSpPr/>
      </xdr:nvSpPr>
      <xdr:spPr>
        <a:xfrm>
          <a:off x="14116050" y="13382625"/>
          <a:ext cx="4695825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33</xdr:col>
      <xdr:colOff>477115</xdr:colOff>
      <xdr:row>19</xdr:row>
      <xdr:rowOff>171449</xdr:rowOff>
    </xdr:from>
    <xdr:to>
      <xdr:col>39</xdr:col>
      <xdr:colOff>428625</xdr:colOff>
      <xdr:row>21</xdr:row>
      <xdr:rowOff>38100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9E68FF28-8E2D-418B-8EF9-FB8FD7BFE3F4}"/>
            </a:ext>
          </a:extLst>
        </xdr:cNvPr>
        <xdr:cNvSpPr/>
      </xdr:nvSpPr>
      <xdr:spPr>
        <a:xfrm>
          <a:off x="25623115" y="4200524"/>
          <a:ext cx="4523510" cy="247651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32</xdr:col>
      <xdr:colOff>123825</xdr:colOff>
      <xdr:row>31</xdr:row>
      <xdr:rowOff>171449</xdr:rowOff>
    </xdr:from>
    <xdr:to>
      <xdr:col>39</xdr:col>
      <xdr:colOff>590550</xdr:colOff>
      <xdr:row>34</xdr:row>
      <xdr:rowOff>66674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CAB798D5-B7F2-4F28-AD2A-74553F7DE88F}"/>
            </a:ext>
          </a:extLst>
        </xdr:cNvPr>
        <xdr:cNvSpPr/>
      </xdr:nvSpPr>
      <xdr:spPr>
        <a:xfrm>
          <a:off x="24507825" y="6486524"/>
          <a:ext cx="5800725" cy="466725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17</xdr:col>
      <xdr:colOff>268432</xdr:colOff>
      <xdr:row>73</xdr:row>
      <xdr:rowOff>69274</xdr:rowOff>
    </xdr:from>
    <xdr:to>
      <xdr:col>24</xdr:col>
      <xdr:colOff>502227</xdr:colOff>
      <xdr:row>81</xdr:row>
      <xdr:rowOff>102300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6BD5F53E-4EB7-4222-B0F8-2A1CDB853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22432" y="14404399"/>
          <a:ext cx="5567795" cy="1557026"/>
        </a:xfrm>
        <a:prstGeom prst="rect">
          <a:avLst/>
        </a:prstGeom>
      </xdr:spPr>
    </xdr:pic>
    <xdr:clientData/>
  </xdr:twoCellAnchor>
  <xdr:twoCellAnchor editAs="oneCell">
    <xdr:from>
      <xdr:col>17</xdr:col>
      <xdr:colOff>441613</xdr:colOff>
      <xdr:row>83</xdr:row>
      <xdr:rowOff>17319</xdr:rowOff>
    </xdr:from>
    <xdr:to>
      <xdr:col>24</xdr:col>
      <xdr:colOff>476250</xdr:colOff>
      <xdr:row>94</xdr:row>
      <xdr:rowOff>427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4A21321-24D0-4E72-8A49-C94E91CC9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95613" y="16257444"/>
          <a:ext cx="5368637" cy="2070988"/>
        </a:xfrm>
        <a:prstGeom prst="rect">
          <a:avLst/>
        </a:prstGeom>
      </xdr:spPr>
    </xdr:pic>
    <xdr:clientData/>
  </xdr:twoCellAnchor>
  <xdr:twoCellAnchor>
    <xdr:from>
      <xdr:col>17</xdr:col>
      <xdr:colOff>599210</xdr:colOff>
      <xdr:row>90</xdr:row>
      <xdr:rowOff>79664</xdr:rowOff>
    </xdr:from>
    <xdr:to>
      <xdr:col>24</xdr:col>
      <xdr:colOff>415636</xdr:colOff>
      <xdr:row>91</xdr:row>
      <xdr:rowOff>98714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D75B213-07A2-4670-B74A-4FA47CB083B1}"/>
            </a:ext>
          </a:extLst>
        </xdr:cNvPr>
        <xdr:cNvSpPr/>
      </xdr:nvSpPr>
      <xdr:spPr>
        <a:xfrm>
          <a:off x="13553210" y="17653289"/>
          <a:ext cx="5150426" cy="20955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400050</xdr:colOff>
      <xdr:row>79</xdr:row>
      <xdr:rowOff>173182</xdr:rowOff>
    </xdr:from>
    <xdr:to>
      <xdr:col>24</xdr:col>
      <xdr:colOff>320386</xdr:colOff>
      <xdr:row>80</xdr:row>
      <xdr:rowOff>98714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5AF2413-52AB-4914-BB1D-812FD968A003}"/>
            </a:ext>
          </a:extLst>
        </xdr:cNvPr>
        <xdr:cNvSpPr/>
      </xdr:nvSpPr>
      <xdr:spPr>
        <a:xfrm>
          <a:off x="13354050" y="15651307"/>
          <a:ext cx="5254336" cy="11603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17</xdr:col>
      <xdr:colOff>580157</xdr:colOff>
      <xdr:row>94</xdr:row>
      <xdr:rowOff>157810</xdr:rowOff>
    </xdr:from>
    <xdr:to>
      <xdr:col>24</xdr:col>
      <xdr:colOff>747834</xdr:colOff>
      <xdr:row>104</xdr:row>
      <xdr:rowOff>43296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6F67FEC-9081-4B8A-AF33-8049ADB37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34157" y="18493435"/>
          <a:ext cx="5501677" cy="1790486"/>
        </a:xfrm>
        <a:prstGeom prst="rect">
          <a:avLst/>
        </a:prstGeom>
      </xdr:spPr>
    </xdr:pic>
    <xdr:clientData/>
  </xdr:twoCellAnchor>
  <xdr:twoCellAnchor>
    <xdr:from>
      <xdr:col>17</xdr:col>
      <xdr:colOff>742951</xdr:colOff>
      <xdr:row>101</xdr:row>
      <xdr:rowOff>43295</xdr:rowOff>
    </xdr:from>
    <xdr:to>
      <xdr:col>24</xdr:col>
      <xdr:colOff>623455</xdr:colOff>
      <xdr:row>101</xdr:row>
      <xdr:rowOff>164522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4AD33FEB-282A-4947-BB85-BD0384B65638}"/>
            </a:ext>
          </a:extLst>
        </xdr:cNvPr>
        <xdr:cNvSpPr/>
      </xdr:nvSpPr>
      <xdr:spPr>
        <a:xfrm>
          <a:off x="13696951" y="19712420"/>
          <a:ext cx="5214504" cy="121227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33</xdr:col>
      <xdr:colOff>457200</xdr:colOff>
      <xdr:row>3</xdr:row>
      <xdr:rowOff>122958</xdr:rowOff>
    </xdr:from>
    <xdr:to>
      <xdr:col>39</xdr:col>
      <xdr:colOff>387927</xdr:colOff>
      <xdr:row>4</xdr:row>
      <xdr:rowOff>71870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D6EFD5E1-B662-40C7-A0D7-AFA717BD8999}"/>
            </a:ext>
          </a:extLst>
        </xdr:cNvPr>
        <xdr:cNvSpPr/>
      </xdr:nvSpPr>
      <xdr:spPr>
        <a:xfrm>
          <a:off x="25603200" y="1104033"/>
          <a:ext cx="4502727" cy="13941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7</xdr:col>
      <xdr:colOff>346362</xdr:colOff>
      <xdr:row>45</xdr:row>
      <xdr:rowOff>179242</xdr:rowOff>
    </xdr:from>
    <xdr:to>
      <xdr:col>10</xdr:col>
      <xdr:colOff>385341</xdr:colOff>
      <xdr:row>58</xdr:row>
      <xdr:rowOff>27721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2817783-78F7-4E53-8413-A97505D2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0362" y="9180367"/>
          <a:ext cx="2324979" cy="2324979"/>
        </a:xfrm>
        <a:prstGeom prst="rect">
          <a:avLst/>
        </a:prstGeom>
      </xdr:spPr>
    </xdr:pic>
    <xdr:clientData/>
  </xdr:twoCellAnchor>
  <xdr:twoCellAnchor editAs="oneCell">
    <xdr:from>
      <xdr:col>1</xdr:col>
      <xdr:colOff>316057</xdr:colOff>
      <xdr:row>45</xdr:row>
      <xdr:rowOff>43295</xdr:rowOff>
    </xdr:from>
    <xdr:to>
      <xdr:col>6</xdr:col>
      <xdr:colOff>67304</xdr:colOff>
      <xdr:row>81</xdr:row>
      <xdr:rowOff>181191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6033987-A102-4017-956F-24C9059A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8057" y="9044420"/>
          <a:ext cx="3561247" cy="6995896"/>
        </a:xfrm>
        <a:prstGeom prst="rect">
          <a:avLst/>
        </a:prstGeom>
      </xdr:spPr>
    </xdr:pic>
    <xdr:clientData/>
  </xdr:twoCellAnchor>
  <xdr:twoCellAnchor>
    <xdr:from>
      <xdr:col>33</xdr:col>
      <xdr:colOff>476250</xdr:colOff>
      <xdr:row>7</xdr:row>
      <xdr:rowOff>142008</xdr:rowOff>
    </xdr:from>
    <xdr:to>
      <xdr:col>39</xdr:col>
      <xdr:colOff>406977</xdr:colOff>
      <xdr:row>8</xdr:row>
      <xdr:rowOff>33770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17A56F7F-5A3F-4F95-8F31-99FA3DA925E9}"/>
            </a:ext>
          </a:extLst>
        </xdr:cNvPr>
        <xdr:cNvSpPr/>
      </xdr:nvSpPr>
      <xdr:spPr>
        <a:xfrm>
          <a:off x="25622250" y="1885083"/>
          <a:ext cx="4502727" cy="82262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466725</xdr:colOff>
      <xdr:row>12</xdr:row>
      <xdr:rowOff>23379</xdr:rowOff>
    </xdr:from>
    <xdr:to>
      <xdr:col>24</xdr:col>
      <xdr:colOff>342900</xdr:colOff>
      <xdr:row>12</xdr:row>
      <xdr:rowOff>137679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294C69B4-8CDD-4120-9CD3-5D3448A394B9}"/>
            </a:ext>
          </a:extLst>
        </xdr:cNvPr>
        <xdr:cNvSpPr/>
      </xdr:nvSpPr>
      <xdr:spPr>
        <a:xfrm>
          <a:off x="13420725" y="2718954"/>
          <a:ext cx="5210175" cy="114300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770660</xdr:colOff>
      <xdr:row>23</xdr:row>
      <xdr:rowOff>66675</xdr:rowOff>
    </xdr:from>
    <xdr:to>
      <xdr:col>3</xdr:col>
      <xdr:colOff>779488</xdr:colOff>
      <xdr:row>28</xdr:row>
      <xdr:rowOff>66327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C7471C-462C-4BE4-A52E-5A19993F0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3140" y="3975735"/>
          <a:ext cx="1593788" cy="837852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28</xdr:row>
      <xdr:rowOff>134949</xdr:rowOff>
    </xdr:from>
    <xdr:to>
      <xdr:col>3</xdr:col>
      <xdr:colOff>1194756</xdr:colOff>
      <xdr:row>30</xdr:row>
      <xdr:rowOff>64964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3EF001-2198-42C1-9FE4-126AEA17D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4430" y="4882209"/>
          <a:ext cx="2417766" cy="265295"/>
        </a:xfrm>
        <a:prstGeom prst="rect">
          <a:avLst/>
        </a:prstGeom>
      </xdr:spPr>
    </xdr:pic>
    <xdr:clientData/>
  </xdr:twoCellAnchor>
  <xdr:twoCellAnchor editAs="oneCell">
    <xdr:from>
      <xdr:col>3</xdr:col>
      <xdr:colOff>859973</xdr:colOff>
      <xdr:row>101</xdr:row>
      <xdr:rowOff>32658</xdr:rowOff>
    </xdr:from>
    <xdr:to>
      <xdr:col>10</xdr:col>
      <xdr:colOff>106643</xdr:colOff>
      <xdr:row>111</xdr:row>
      <xdr:rowOff>199185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575BB0C-763A-4BBB-9335-F98D912822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59740"/>
        <a:stretch>
          <a:fillRect/>
        </a:stretch>
      </xdr:blipFill>
      <xdr:spPr>
        <a:xfrm>
          <a:off x="3237413" y="15630798"/>
          <a:ext cx="6584768" cy="2056288"/>
        </a:xfrm>
        <a:prstGeom prst="rect">
          <a:avLst/>
        </a:prstGeom>
      </xdr:spPr>
    </xdr:pic>
    <xdr:clientData/>
  </xdr:twoCellAnchor>
  <xdr:twoCellAnchor editAs="oneCell">
    <xdr:from>
      <xdr:col>1</xdr:col>
      <xdr:colOff>119744</xdr:colOff>
      <xdr:row>116</xdr:row>
      <xdr:rowOff>141513</xdr:rowOff>
    </xdr:from>
    <xdr:to>
      <xdr:col>4</xdr:col>
      <xdr:colOff>402773</xdr:colOff>
      <xdr:row>121</xdr:row>
      <xdr:rowOff>58827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82E4A40-831C-48C4-8EE0-8ED60D991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2224" y="18757173"/>
          <a:ext cx="3361509" cy="755513"/>
        </a:xfrm>
        <a:prstGeom prst="rect">
          <a:avLst/>
        </a:prstGeom>
      </xdr:spPr>
    </xdr:pic>
    <xdr:clientData/>
  </xdr:twoCellAnchor>
  <xdr:twoCellAnchor editAs="oneCell">
    <xdr:from>
      <xdr:col>4</xdr:col>
      <xdr:colOff>696687</xdr:colOff>
      <xdr:row>119</xdr:row>
      <xdr:rowOff>76201</xdr:rowOff>
    </xdr:from>
    <xdr:to>
      <xdr:col>8</xdr:col>
      <xdr:colOff>761280</xdr:colOff>
      <xdr:row>124</xdr:row>
      <xdr:rowOff>35006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FEF254F-2A3C-43C7-9A99-29059DA95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7647" y="19194781"/>
          <a:ext cx="3610792" cy="797005"/>
        </a:xfrm>
        <a:prstGeom prst="rect">
          <a:avLst/>
        </a:prstGeom>
      </xdr:spPr>
    </xdr:pic>
    <xdr:clientData/>
  </xdr:twoCellAnchor>
  <xdr:twoCellAnchor editAs="oneCell">
    <xdr:from>
      <xdr:col>9</xdr:col>
      <xdr:colOff>293913</xdr:colOff>
      <xdr:row>120</xdr:row>
      <xdr:rowOff>16128</xdr:rowOff>
    </xdr:from>
    <xdr:to>
      <xdr:col>12</xdr:col>
      <xdr:colOff>843977</xdr:colOff>
      <xdr:row>124</xdr:row>
      <xdr:rowOff>108954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B4D711B-CF27-4BFE-AE77-49B12B8EA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45433" y="19302348"/>
          <a:ext cx="3697437" cy="763386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272143</xdr:colOff>
      <xdr:row>120</xdr:row>
      <xdr:rowOff>124984</xdr:rowOff>
    </xdr:from>
    <xdr:to>
      <xdr:col>12</xdr:col>
      <xdr:colOff>822207</xdr:colOff>
      <xdr:row>125</xdr:row>
      <xdr:rowOff>43639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F677000-32C2-475D-A7DA-942F8A28E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23663" y="19411204"/>
          <a:ext cx="3697437" cy="7568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550149</xdr:colOff>
      <xdr:row>34</xdr:row>
      <xdr:rowOff>156013</xdr:rowOff>
    </xdr:from>
    <xdr:to>
      <xdr:col>11</xdr:col>
      <xdr:colOff>500882</xdr:colOff>
      <xdr:row>54</xdr:row>
      <xdr:rowOff>147802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A74C4-6ACA-4812-A440-653AAE7E3642}"/>
            </a:ext>
            <a:ext uri="{147F2762-F138-4A5C-976F-8EAC2B608ADB}">
              <a16:predDERef xmlns:a16="http://schemas.microsoft.com/office/drawing/2014/main" pred="{75902775-4EA0-45AD-88D1-94C5CB22F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56283</xdr:colOff>
      <xdr:row>1</xdr:row>
      <xdr:rowOff>181841</xdr:rowOff>
    </xdr:from>
    <xdr:to>
      <xdr:col>9</xdr:col>
      <xdr:colOff>589510</xdr:colOff>
      <xdr:row>15</xdr:row>
      <xdr:rowOff>503239</xdr:rowOff>
    </xdr:to>
    <xdr:pic>
      <xdr:nvPicPr>
        <xdr:cNvPr id="14" name="Imagen 2">
          <a:extLst>
            <a:ext uri="{FF2B5EF4-FFF2-40B4-BE49-F238E27FC236}">
              <a16:creationId xmlns:a16="http://schemas.microsoft.com/office/drawing/2014/main" id="{252AE140-8790-470D-89E0-E375F1A58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2133" y="372341"/>
          <a:ext cx="2887807" cy="3803738"/>
        </a:xfrm>
        <a:prstGeom prst="rect">
          <a:avLst/>
        </a:prstGeom>
      </xdr:spPr>
    </xdr:pic>
    <xdr:clientData/>
  </xdr:twoCellAnchor>
  <xdr:twoCellAnchor>
    <xdr:from>
      <xdr:col>6</xdr:col>
      <xdr:colOff>155864</xdr:colOff>
      <xdr:row>13</xdr:row>
      <xdr:rowOff>96488</xdr:rowOff>
    </xdr:from>
    <xdr:to>
      <xdr:col>9</xdr:col>
      <xdr:colOff>545523</xdr:colOff>
      <xdr:row>14</xdr:row>
      <xdr:rowOff>1238</xdr:rowOff>
    </xdr:to>
    <xdr:sp macro="" textlink="">
      <xdr:nvSpPr>
        <xdr:cNvPr id="3" name="Rectángulo 3">
          <a:extLst>
            <a:ext uri="{FF2B5EF4-FFF2-40B4-BE49-F238E27FC236}">
              <a16:creationId xmlns:a16="http://schemas.microsoft.com/office/drawing/2014/main" id="{92D23309-B61E-4F63-8386-EEAEF9942E7E}"/>
            </a:ext>
          </a:extLst>
        </xdr:cNvPr>
        <xdr:cNvSpPr/>
      </xdr:nvSpPr>
      <xdr:spPr>
        <a:xfrm>
          <a:off x="5048250" y="3525488"/>
          <a:ext cx="2675659" cy="95250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710046</xdr:colOff>
      <xdr:row>15</xdr:row>
      <xdr:rowOff>415637</xdr:rowOff>
    </xdr:from>
    <xdr:to>
      <xdr:col>10</xdr:col>
      <xdr:colOff>233796</xdr:colOff>
      <xdr:row>21</xdr:row>
      <xdr:rowOff>208350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F70DA6-FD90-46D5-9F7C-42A734729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43896" y="4225637"/>
          <a:ext cx="3333750" cy="1507213"/>
        </a:xfrm>
        <a:prstGeom prst="rect">
          <a:avLst/>
        </a:prstGeom>
      </xdr:spPr>
    </xdr:pic>
    <xdr:clientData/>
  </xdr:twoCellAnchor>
  <xdr:twoCellAnchor editAs="oneCell">
    <xdr:from>
      <xdr:col>10</xdr:col>
      <xdr:colOff>3</xdr:colOff>
      <xdr:row>15</xdr:row>
      <xdr:rowOff>432954</xdr:rowOff>
    </xdr:from>
    <xdr:to>
      <xdr:col>14</xdr:col>
      <xdr:colOff>320387</xdr:colOff>
      <xdr:row>21</xdr:row>
      <xdr:rowOff>201063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2D69444-99D0-4F36-9741-E1BCE3E1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43853" y="4242954"/>
          <a:ext cx="3368384" cy="1482609"/>
        </a:xfrm>
        <a:prstGeom prst="rect">
          <a:avLst/>
        </a:prstGeom>
      </xdr:spPr>
    </xdr:pic>
    <xdr:clientData/>
  </xdr:twoCellAnchor>
  <xdr:twoCellAnchor>
    <xdr:from>
      <xdr:col>6</xdr:col>
      <xdr:colOff>79663</xdr:colOff>
      <xdr:row>18</xdr:row>
      <xdr:rowOff>62345</xdr:rowOff>
    </xdr:from>
    <xdr:to>
      <xdr:col>14</xdr:col>
      <xdr:colOff>213014</xdr:colOff>
      <xdr:row>18</xdr:row>
      <xdr:rowOff>152400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80BF876-6F22-4760-9DF0-AACD73F999BB}"/>
            </a:ext>
          </a:extLst>
        </xdr:cNvPr>
        <xdr:cNvSpPr/>
      </xdr:nvSpPr>
      <xdr:spPr>
        <a:xfrm>
          <a:off x="4975513" y="5015345"/>
          <a:ext cx="6229351" cy="90055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6</xdr:col>
      <xdr:colOff>43295</xdr:colOff>
      <xdr:row>21</xdr:row>
      <xdr:rowOff>337705</xdr:rowOff>
    </xdr:from>
    <xdr:to>
      <xdr:col>8</xdr:col>
      <xdr:colOff>428172</xdr:colOff>
      <xdr:row>25</xdr:row>
      <xdr:rowOff>200545</xdr:rowOff>
    </xdr:to>
    <xdr:pic>
      <xdr:nvPicPr>
        <xdr:cNvPr id="28" name="Imagen 7">
          <a:extLst>
            <a:ext uri="{FF2B5EF4-FFF2-40B4-BE49-F238E27FC236}">
              <a16:creationId xmlns:a16="http://schemas.microsoft.com/office/drawing/2014/main" id="{619A1DBD-729F-418C-95D1-13CFE7493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39145" y="5862205"/>
          <a:ext cx="1954597" cy="1143000"/>
        </a:xfrm>
        <a:prstGeom prst="rect">
          <a:avLst/>
        </a:prstGeom>
      </xdr:spPr>
    </xdr:pic>
    <xdr:clientData/>
  </xdr:twoCellAnchor>
  <xdr:twoCellAnchor>
    <xdr:from>
      <xdr:col>6</xdr:col>
      <xdr:colOff>167864</xdr:colOff>
      <xdr:row>25</xdr:row>
      <xdr:rowOff>10761</xdr:rowOff>
    </xdr:from>
    <xdr:to>
      <xdr:col>8</xdr:col>
      <xdr:colOff>197306</xdr:colOff>
      <xdr:row>25</xdr:row>
      <xdr:rowOff>118134</xdr:rowOff>
    </xdr:to>
    <xdr:sp macro="" textlink="">
      <xdr:nvSpPr>
        <xdr:cNvPr id="4" name="Rectángulo 8">
          <a:extLst>
            <a:ext uri="{FF2B5EF4-FFF2-40B4-BE49-F238E27FC236}">
              <a16:creationId xmlns:a16="http://schemas.microsoft.com/office/drawing/2014/main" id="{273248BD-AAF3-4C9C-BDBF-F540C20476B0}"/>
            </a:ext>
          </a:extLst>
        </xdr:cNvPr>
        <xdr:cNvSpPr/>
      </xdr:nvSpPr>
      <xdr:spPr>
        <a:xfrm>
          <a:off x="5060250" y="6868761"/>
          <a:ext cx="1553442" cy="107373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744682</xdr:colOff>
      <xdr:row>25</xdr:row>
      <xdr:rowOff>554182</xdr:rowOff>
    </xdr:from>
    <xdr:to>
      <xdr:col>7</xdr:col>
      <xdr:colOff>268578</xdr:colOff>
      <xdr:row>28</xdr:row>
      <xdr:rowOff>39893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0A0063D-B485-4DC3-8375-4261FED6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878532" y="7412182"/>
          <a:ext cx="1047896" cy="438211"/>
        </a:xfrm>
        <a:prstGeom prst="rect">
          <a:avLst/>
        </a:prstGeom>
      </xdr:spPr>
    </xdr:pic>
    <xdr:clientData/>
  </xdr:twoCellAnchor>
  <xdr:twoCellAnchor editAs="oneCell">
    <xdr:from>
      <xdr:col>7</xdr:col>
      <xdr:colOff>727363</xdr:colOff>
      <xdr:row>26</xdr:row>
      <xdr:rowOff>34636</xdr:rowOff>
    </xdr:from>
    <xdr:to>
      <xdr:col>9</xdr:col>
      <xdr:colOff>89838</xdr:colOff>
      <xdr:row>28</xdr:row>
      <xdr:rowOff>1732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4CA4324-18CB-480C-A9DE-6E53AE69F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85213" y="7464136"/>
          <a:ext cx="886475" cy="337705"/>
        </a:xfrm>
        <a:prstGeom prst="rect">
          <a:avLst/>
        </a:prstGeom>
      </xdr:spPr>
    </xdr:pic>
    <xdr:clientData/>
  </xdr:twoCellAnchor>
  <xdr:twoCellAnchor>
    <xdr:from>
      <xdr:col>6</xdr:col>
      <xdr:colOff>583129</xdr:colOff>
      <xdr:row>17</xdr:row>
      <xdr:rowOff>51211</xdr:rowOff>
    </xdr:from>
    <xdr:to>
      <xdr:col>7</xdr:col>
      <xdr:colOff>312965</xdr:colOff>
      <xdr:row>19</xdr:row>
      <xdr:rowOff>176893</xdr:rowOff>
    </xdr:to>
    <xdr:sp macro="" textlink="">
      <xdr:nvSpPr>
        <xdr:cNvPr id="45" name="Rectángulo 11">
          <a:extLst>
            <a:ext uri="{FF2B5EF4-FFF2-40B4-BE49-F238E27FC236}">
              <a16:creationId xmlns:a16="http://schemas.microsoft.com/office/drawing/2014/main" id="{604F5A03-EC83-4E4F-A1A9-4E84C06F3D4E}"/>
            </a:ext>
          </a:extLst>
        </xdr:cNvPr>
        <xdr:cNvSpPr/>
      </xdr:nvSpPr>
      <xdr:spPr>
        <a:xfrm>
          <a:off x="5481700" y="4813711"/>
          <a:ext cx="491836" cy="506682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674296</xdr:colOff>
      <xdr:row>17</xdr:row>
      <xdr:rowOff>33521</xdr:rowOff>
    </xdr:from>
    <xdr:to>
      <xdr:col>11</xdr:col>
      <xdr:colOff>404132</xdr:colOff>
      <xdr:row>20</xdr:row>
      <xdr:rowOff>13607</xdr:rowOff>
    </xdr:to>
    <xdr:sp macro="" textlink="">
      <xdr:nvSpPr>
        <xdr:cNvPr id="25" name="Rectángulo 12">
          <a:extLst>
            <a:ext uri="{FF2B5EF4-FFF2-40B4-BE49-F238E27FC236}">
              <a16:creationId xmlns:a16="http://schemas.microsoft.com/office/drawing/2014/main" id="{A8C36634-2D47-460A-9BA8-03C11D62CC78}"/>
            </a:ext>
          </a:extLst>
        </xdr:cNvPr>
        <xdr:cNvSpPr/>
      </xdr:nvSpPr>
      <xdr:spPr>
        <a:xfrm>
          <a:off x="8620867" y="4796021"/>
          <a:ext cx="491836" cy="551586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317696</xdr:colOff>
      <xdr:row>0</xdr:row>
      <xdr:rowOff>47771</xdr:rowOff>
    </xdr:from>
    <xdr:ext cx="2591093" cy="755735"/>
    <xdr:pic>
      <xdr:nvPicPr>
        <xdr:cNvPr id="2" name="Imagen 1">
          <a:extLst>
            <a:ext uri="{FF2B5EF4-FFF2-40B4-BE49-F238E27FC236}">
              <a16:creationId xmlns:a16="http://schemas.microsoft.com/office/drawing/2014/main" id="{D230C19B-D4B8-4F52-9F06-D3C19D224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696" y="47771"/>
          <a:ext cx="2591093" cy="755735"/>
        </a:xfrm>
        <a:prstGeom prst="rect">
          <a:avLst/>
        </a:prstGeom>
      </xdr:spPr>
    </xdr:pic>
    <xdr:clientData/>
  </xdr:oneCellAnchor>
  <xdr:oneCellAnchor>
    <xdr:from>
      <xdr:col>3</xdr:col>
      <xdr:colOff>313592</xdr:colOff>
      <xdr:row>4</xdr:row>
      <xdr:rowOff>168519</xdr:rowOff>
    </xdr:from>
    <xdr:ext cx="2918081" cy="1296866"/>
    <xdr:pic>
      <xdr:nvPicPr>
        <xdr:cNvPr id="3" name="Imagen 2">
          <a:extLst>
            <a:ext uri="{FF2B5EF4-FFF2-40B4-BE49-F238E27FC236}">
              <a16:creationId xmlns:a16="http://schemas.microsoft.com/office/drawing/2014/main" id="{B9C5F2A2-26F2-44C0-96E1-8026E36EEB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52" b="6073"/>
        <a:stretch/>
      </xdr:blipFill>
      <xdr:spPr bwMode="auto">
        <a:xfrm>
          <a:off x="2599592" y="930519"/>
          <a:ext cx="2918081" cy="1296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364192</xdr:colOff>
      <xdr:row>1</xdr:row>
      <xdr:rowOff>173692</xdr:rowOff>
    </xdr:from>
    <xdr:to>
      <xdr:col>6</xdr:col>
      <xdr:colOff>341780</xdr:colOff>
      <xdr:row>2</xdr:row>
      <xdr:rowOff>112059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7BBCDDB-E5F9-4D2C-8E1C-25DEB13434E8}"/>
            </a:ext>
          </a:extLst>
        </xdr:cNvPr>
        <xdr:cNvSpPr/>
      </xdr:nvSpPr>
      <xdr:spPr>
        <a:xfrm>
          <a:off x="2650192" y="364192"/>
          <a:ext cx="2263588" cy="128867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350693</xdr:colOff>
      <xdr:row>5</xdr:row>
      <xdr:rowOff>99580</xdr:rowOff>
    </xdr:from>
    <xdr:to>
      <xdr:col>7</xdr:col>
      <xdr:colOff>60614</xdr:colOff>
      <xdr:row>7</xdr:row>
      <xdr:rowOff>21648</xdr:rowOff>
    </xdr:to>
    <xdr:sp macro="" textlink="">
      <xdr:nvSpPr>
        <xdr:cNvPr id="15" name="Rectángulo 5">
          <a:extLst>
            <a:ext uri="{FF2B5EF4-FFF2-40B4-BE49-F238E27FC236}">
              <a16:creationId xmlns:a16="http://schemas.microsoft.com/office/drawing/2014/main" id="{99E748CF-9814-5121-6099-4F556F1949D3}"/>
            </a:ext>
          </a:extLst>
        </xdr:cNvPr>
        <xdr:cNvSpPr/>
      </xdr:nvSpPr>
      <xdr:spPr>
        <a:xfrm>
          <a:off x="2636693" y="1052080"/>
          <a:ext cx="2757921" cy="303068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13</xdr:col>
      <xdr:colOff>169332</xdr:colOff>
      <xdr:row>2</xdr:row>
      <xdr:rowOff>9408</xdr:rowOff>
    </xdr:from>
    <xdr:to>
      <xdr:col>18</xdr:col>
      <xdr:colOff>572360</xdr:colOff>
      <xdr:row>45</xdr:row>
      <xdr:rowOff>94850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11F1EBF-E892-C32F-9A53-592565CEF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19925" y="366889"/>
          <a:ext cx="4307102" cy="7804515"/>
        </a:xfrm>
        <a:prstGeom prst="rect">
          <a:avLst/>
        </a:prstGeom>
      </xdr:spPr>
    </xdr:pic>
    <xdr:clientData/>
  </xdr:twoCellAnchor>
  <xdr:twoCellAnchor>
    <xdr:from>
      <xdr:col>14</xdr:col>
      <xdr:colOff>137160</xdr:colOff>
      <xdr:row>6</xdr:row>
      <xdr:rowOff>144779</xdr:rowOff>
    </xdr:from>
    <xdr:to>
      <xdr:col>14</xdr:col>
      <xdr:colOff>487680</xdr:colOff>
      <xdr:row>8</xdr:row>
      <xdr:rowOff>76200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63D6414A-FADF-0284-B491-3A49F3CF2B28}"/>
            </a:ext>
          </a:extLst>
        </xdr:cNvPr>
        <xdr:cNvSpPr/>
      </xdr:nvSpPr>
      <xdr:spPr>
        <a:xfrm>
          <a:off x="11125200" y="1242059"/>
          <a:ext cx="350520" cy="2971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  <xdr:twoCellAnchor>
    <xdr:from>
      <xdr:col>17</xdr:col>
      <xdr:colOff>457200</xdr:colOff>
      <xdr:row>6</xdr:row>
      <xdr:rowOff>152399</xdr:rowOff>
    </xdr:from>
    <xdr:to>
      <xdr:col>18</xdr:col>
      <xdr:colOff>22860</xdr:colOff>
      <xdr:row>8</xdr:row>
      <xdr:rowOff>83820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DB89B50B-C1BB-4524-B9DA-150AB59DFD69}"/>
            </a:ext>
          </a:extLst>
        </xdr:cNvPr>
        <xdr:cNvSpPr/>
      </xdr:nvSpPr>
      <xdr:spPr>
        <a:xfrm>
          <a:off x="13799820" y="1249679"/>
          <a:ext cx="350520" cy="29718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317696</xdr:colOff>
      <xdr:row>0</xdr:row>
      <xdr:rowOff>47771</xdr:rowOff>
    </xdr:from>
    <xdr:ext cx="2591093" cy="755735"/>
    <xdr:pic>
      <xdr:nvPicPr>
        <xdr:cNvPr id="2" name="Imagen 1">
          <a:extLst>
            <a:ext uri="{FF2B5EF4-FFF2-40B4-BE49-F238E27FC236}">
              <a16:creationId xmlns:a16="http://schemas.microsoft.com/office/drawing/2014/main" id="{F4E64C2C-2EC4-4457-AF5A-897D51D4F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3696" y="47771"/>
          <a:ext cx="2591093" cy="755735"/>
        </a:xfrm>
        <a:prstGeom prst="rect">
          <a:avLst/>
        </a:prstGeom>
      </xdr:spPr>
    </xdr:pic>
    <xdr:clientData/>
  </xdr:oneCellAnchor>
  <xdr:oneCellAnchor>
    <xdr:from>
      <xdr:col>3</xdr:col>
      <xdr:colOff>313592</xdr:colOff>
      <xdr:row>4</xdr:row>
      <xdr:rowOff>168519</xdr:rowOff>
    </xdr:from>
    <xdr:ext cx="2918081" cy="1296866"/>
    <xdr:pic>
      <xdr:nvPicPr>
        <xdr:cNvPr id="3" name="Imagen 2">
          <a:extLst>
            <a:ext uri="{FF2B5EF4-FFF2-40B4-BE49-F238E27FC236}">
              <a16:creationId xmlns:a16="http://schemas.microsoft.com/office/drawing/2014/main" id="{D1BEA18E-8624-4ABB-94D4-0E677C394B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52" b="6073"/>
        <a:stretch/>
      </xdr:blipFill>
      <xdr:spPr bwMode="auto">
        <a:xfrm>
          <a:off x="2599592" y="930519"/>
          <a:ext cx="2918081" cy="1296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</xdr:col>
      <xdr:colOff>364192</xdr:colOff>
      <xdr:row>1</xdr:row>
      <xdr:rowOff>173692</xdr:rowOff>
    </xdr:from>
    <xdr:to>
      <xdr:col>6</xdr:col>
      <xdr:colOff>341780</xdr:colOff>
      <xdr:row>2</xdr:row>
      <xdr:rowOff>112059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33D23CF0-CF9E-41BA-9017-6330EA758651}"/>
            </a:ext>
          </a:extLst>
        </xdr:cNvPr>
        <xdr:cNvSpPr/>
      </xdr:nvSpPr>
      <xdr:spPr>
        <a:xfrm>
          <a:off x="2650192" y="364192"/>
          <a:ext cx="2263588" cy="128867"/>
        </a:xfrm>
        <a:prstGeom prst="rect">
          <a:avLst/>
        </a:prstGeom>
        <a:solidFill>
          <a:schemeClr val="accent2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350693</xdr:colOff>
      <xdr:row>5</xdr:row>
      <xdr:rowOff>99580</xdr:rowOff>
    </xdr:from>
    <xdr:to>
      <xdr:col>7</xdr:col>
      <xdr:colOff>60614</xdr:colOff>
      <xdr:row>7</xdr:row>
      <xdr:rowOff>21648</xdr:rowOff>
    </xdr:to>
    <xdr:sp macro="" textlink="">
      <xdr:nvSpPr>
        <xdr:cNvPr id="5" name="Rectángulo 5">
          <a:extLst>
            <a:ext uri="{FF2B5EF4-FFF2-40B4-BE49-F238E27FC236}">
              <a16:creationId xmlns:a16="http://schemas.microsoft.com/office/drawing/2014/main" id="{79927FF8-8D23-4C8F-97B9-8146F7356668}"/>
            </a:ext>
          </a:extLst>
        </xdr:cNvPr>
        <xdr:cNvSpPr/>
      </xdr:nvSpPr>
      <xdr:spPr>
        <a:xfrm>
          <a:off x="2636693" y="1052080"/>
          <a:ext cx="2757921" cy="303068"/>
        </a:xfrm>
        <a:prstGeom prst="rect">
          <a:avLst/>
        </a:prstGeom>
        <a:noFill/>
        <a:ln w="9525" cap="flat" cmpd="sng" algn="ctr">
          <a:solidFill>
            <a:schemeClr val="dk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13</xdr:col>
      <xdr:colOff>169332</xdr:colOff>
      <xdr:row>2</xdr:row>
      <xdr:rowOff>9408</xdr:rowOff>
    </xdr:from>
    <xdr:to>
      <xdr:col>18</xdr:col>
      <xdr:colOff>572360</xdr:colOff>
      <xdr:row>45</xdr:row>
      <xdr:rowOff>94850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D33CBEB-3489-4FF0-B157-71532012B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75332" y="390408"/>
          <a:ext cx="4213028" cy="8305517"/>
        </a:xfrm>
        <a:prstGeom prst="rect">
          <a:avLst/>
        </a:prstGeom>
      </xdr:spPr>
    </xdr:pic>
    <xdr:clientData/>
  </xdr:twoCellAnchor>
  <xdr:twoCellAnchor>
    <xdr:from>
      <xdr:col>14</xdr:col>
      <xdr:colOff>137160</xdr:colOff>
      <xdr:row>6</xdr:row>
      <xdr:rowOff>144779</xdr:rowOff>
    </xdr:from>
    <xdr:to>
      <xdr:col>14</xdr:col>
      <xdr:colOff>487680</xdr:colOff>
      <xdr:row>8</xdr:row>
      <xdr:rowOff>76200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F7C1A8A5-7571-4DEE-B8D8-16C65A789E34}"/>
            </a:ext>
          </a:extLst>
        </xdr:cNvPr>
        <xdr:cNvSpPr/>
      </xdr:nvSpPr>
      <xdr:spPr>
        <a:xfrm>
          <a:off x="10805160" y="1287779"/>
          <a:ext cx="350520" cy="3124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  <xdr:twoCellAnchor>
    <xdr:from>
      <xdr:col>17</xdr:col>
      <xdr:colOff>457200</xdr:colOff>
      <xdr:row>6</xdr:row>
      <xdr:rowOff>152399</xdr:rowOff>
    </xdr:from>
    <xdr:to>
      <xdr:col>18</xdr:col>
      <xdr:colOff>22860</xdr:colOff>
      <xdr:row>8</xdr:row>
      <xdr:rowOff>83820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B6D929FF-3421-440C-9670-93B683DF566B}"/>
            </a:ext>
          </a:extLst>
        </xdr:cNvPr>
        <xdr:cNvSpPr/>
      </xdr:nvSpPr>
      <xdr:spPr>
        <a:xfrm>
          <a:off x="13411200" y="1295399"/>
          <a:ext cx="327660" cy="3124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C1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ospinap_unal_edu_co/Documents/Avaluo%20de%20cargas%20proyecto%20dise&#241;o%20corregido.xlsx" TargetMode="External"/><Relationship Id="rId2" Type="http://schemas.openxmlformats.org/officeDocument/2006/relationships/externalLinkPath" Target="https://unaledu-my.sharepoint.com/personal/saospinap_unal_edu_co/Documents/Avaluo%20de%20cargas%20proyecto%20dise&#241;o%20corregido.xlsx" TargetMode="External"/><Relationship Id="rId1" Type="http://schemas.openxmlformats.org/officeDocument/2006/relationships/externalLinkPath" Target="/personal/saospinap_unal_edu_co/Documents/Avaluo%20de%20cargas%20proyecto%20dise&#241;o%20corregid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bolivart_unal_edu_co/Documents/Semestre%208/An&#225;lisis%20Estructural%20Aplicado/FINAL%20PROYECTO%20FINAL/AEA_Proyecto%20Versi&#243;n%20Final.xlsx" TargetMode="External"/><Relationship Id="rId2" Type="http://schemas.openxmlformats.org/officeDocument/2006/relationships/externalLinkPath" Target="https://unaledu-my.sharepoint.com/personal/sbolivart_unal_edu_co/Documents/Semestre%208/An&#225;lisis%20Estructural%20Aplicado/FINAL%20PROYECTO%20FINAL/AEA_Proyecto%20Versi&#243;n%20Final.xlsx" TargetMode="External"/><Relationship Id="rId1" Type="http://schemas.openxmlformats.org/officeDocument/2006/relationships/externalLinkPath" Target="/personal/sbolivart_unal_edu_co/Documents/Semestre%208/An&#225;lisis%20Estructural%20Aplicado/FINAL%20PROYECTO%20FINAL/AEA_Proyecto%20Versi&#243;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valuo de cargas piso 1"/>
      <sheetName val="Vigas rigidez"/>
      <sheetName val="Avaluo de cargas piso 2"/>
      <sheetName val="Pesos"/>
      <sheetName val="Espectro"/>
    </sheetNames>
    <sheetDataSet>
      <sheetData sheetId="0">
        <row r="12">
          <cell r="D12">
            <v>11.559999999999999</v>
          </cell>
        </row>
        <row r="13">
          <cell r="D13">
            <v>11.559999999999999</v>
          </cell>
        </row>
        <row r="14">
          <cell r="D14">
            <v>9.6199999999999992</v>
          </cell>
        </row>
        <row r="17">
          <cell r="D17">
            <v>9.6199999999999992</v>
          </cell>
        </row>
        <row r="18">
          <cell r="D18">
            <v>12.21</v>
          </cell>
        </row>
        <row r="19">
          <cell r="D19">
            <v>12.120000000000001</v>
          </cell>
        </row>
        <row r="20">
          <cell r="D20">
            <v>12.120000000000001</v>
          </cell>
        </row>
        <row r="21">
          <cell r="D21">
            <v>12.21</v>
          </cell>
        </row>
        <row r="48">
          <cell r="C48">
            <v>164.88</v>
          </cell>
        </row>
      </sheetData>
      <sheetData sheetId="1">
        <row r="25">
          <cell r="C25">
            <v>5.0999999999999996</v>
          </cell>
        </row>
        <row r="29">
          <cell r="C29">
            <v>5.0999999999999996</v>
          </cell>
        </row>
        <row r="56">
          <cell r="C56">
            <v>156.80999999999989</v>
          </cell>
        </row>
      </sheetData>
      <sheetData sheetId="2">
        <row r="44">
          <cell r="C44">
            <v>149.28</v>
          </cell>
        </row>
      </sheetData>
      <sheetData sheetId="3">
        <row r="4">
          <cell r="O4">
            <v>4495.4546</v>
          </cell>
        </row>
      </sheetData>
      <sheetData sheetId="4">
        <row r="10">
          <cell r="C10">
            <v>0.1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agramas"/>
      <sheetName val="Eval. Cargas_Sep. Viguetas"/>
      <sheetName val="Escalera"/>
      <sheetName val="Asig. cargas Proyecto"/>
      <sheetName val="Centroide"/>
      <sheetName val="FHE"/>
      <sheetName val="Estabilidad "/>
      <sheetName val="Derivas"/>
      <sheetName val="Irregularidades"/>
      <sheetName val="Rigidez"/>
      <sheetName val="Asig. cargas"/>
    </sheetNames>
    <sheetDataSet>
      <sheetData sheetId="0" refreshError="1"/>
      <sheetData sheetId="1">
        <row r="13">
          <cell r="AD13">
            <v>1.1399999999999999</v>
          </cell>
        </row>
      </sheetData>
      <sheetData sheetId="2" refreshError="1"/>
      <sheetData sheetId="3" refreshError="1"/>
      <sheetData sheetId="4"/>
      <sheetData sheetId="5">
        <row r="41">
          <cell r="D41">
            <v>0.54066705636041612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27T00:38:54.23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0 24575,'-1'4'0</inkml:trace>
</inkml: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E01-CFAF-4DBE-A81A-0482B6DBBBF5}">
  <dimension ref="B2:I18"/>
  <sheetViews>
    <sheetView topLeftCell="A4" workbookViewId="0">
      <selection activeCell="I16" sqref="I16"/>
    </sheetView>
  </sheetViews>
  <sheetFormatPr defaultColWidth="11.42578125" defaultRowHeight="15"/>
  <sheetData>
    <row r="2" spans="2:9">
      <c r="B2" s="306" t="s">
        <v>0</v>
      </c>
      <c r="C2" s="306"/>
      <c r="D2" s="5"/>
      <c r="E2" s="306" t="s">
        <v>1</v>
      </c>
      <c r="F2" s="306"/>
      <c r="G2" s="5"/>
      <c r="H2" s="306" t="s">
        <v>2</v>
      </c>
      <c r="I2" s="306"/>
    </row>
    <row r="3" spans="2:9">
      <c r="B3" s="1">
        <v>2.6</v>
      </c>
      <c r="C3" s="1">
        <f t="shared" ref="C3:C15" si="0">+C4+B3</f>
        <v>36.200000000000003</v>
      </c>
      <c r="D3" s="5"/>
      <c r="E3" s="1">
        <v>3.85</v>
      </c>
      <c r="F3" s="1">
        <f>+E3+F4</f>
        <v>15.5</v>
      </c>
      <c r="G3" s="5"/>
      <c r="H3" s="1">
        <v>3</v>
      </c>
      <c r="I3" s="1">
        <f t="shared" ref="I3:I8" si="1">+H3+I4</f>
        <v>15.5</v>
      </c>
    </row>
    <row r="4" spans="2:9">
      <c r="B4" s="1">
        <v>3.65</v>
      </c>
      <c r="C4" s="1">
        <f t="shared" si="0"/>
        <v>33.6</v>
      </c>
      <c r="D4" s="5"/>
      <c r="E4" s="1">
        <v>3.9</v>
      </c>
      <c r="F4" s="1">
        <f>+E4+F5</f>
        <v>11.65</v>
      </c>
      <c r="G4" s="5"/>
      <c r="H4" s="1">
        <v>3</v>
      </c>
      <c r="I4" s="1">
        <f t="shared" si="1"/>
        <v>12.5</v>
      </c>
    </row>
    <row r="5" spans="2:9">
      <c r="B5" s="1">
        <v>2.6</v>
      </c>
      <c r="C5" s="1">
        <f t="shared" si="0"/>
        <v>29.95</v>
      </c>
      <c r="D5" s="5"/>
      <c r="E5" s="1">
        <v>3.9</v>
      </c>
      <c r="F5" s="1">
        <f>+E5+F6</f>
        <v>7.75</v>
      </c>
      <c r="G5" s="5"/>
      <c r="H5" s="1">
        <v>3</v>
      </c>
      <c r="I5" s="1">
        <f t="shared" si="1"/>
        <v>9.5</v>
      </c>
    </row>
    <row r="6" spans="2:9">
      <c r="B6" s="1">
        <v>2.5</v>
      </c>
      <c r="C6" s="1">
        <f t="shared" si="0"/>
        <v>27.349999999999998</v>
      </c>
      <c r="D6" s="5"/>
      <c r="E6" s="1">
        <v>3.85</v>
      </c>
      <c r="F6" s="1">
        <f>+E6+F7</f>
        <v>3.85</v>
      </c>
      <c r="G6" s="5"/>
      <c r="H6" s="1">
        <v>3</v>
      </c>
      <c r="I6" s="1">
        <f t="shared" si="1"/>
        <v>6.5</v>
      </c>
    </row>
    <row r="7" spans="2:9">
      <c r="B7" s="1">
        <v>4</v>
      </c>
      <c r="C7" s="1">
        <f t="shared" si="0"/>
        <v>24.849999999999998</v>
      </c>
      <c r="D7" s="5"/>
      <c r="E7" s="1">
        <v>0</v>
      </c>
      <c r="F7" s="1">
        <f>+E7+F8</f>
        <v>0</v>
      </c>
      <c r="G7" s="5"/>
      <c r="H7" s="1">
        <v>3.5</v>
      </c>
      <c r="I7" s="1">
        <f t="shared" si="1"/>
        <v>3.5</v>
      </c>
    </row>
    <row r="8" spans="2:9">
      <c r="B8" s="1">
        <v>2.7</v>
      </c>
      <c r="C8" s="1">
        <f t="shared" si="0"/>
        <v>20.849999999999998</v>
      </c>
      <c r="D8" s="5"/>
      <c r="E8" s="5"/>
      <c r="F8" s="5"/>
      <c r="G8" s="5"/>
      <c r="H8" s="1">
        <v>0</v>
      </c>
      <c r="I8" s="1">
        <f t="shared" si="1"/>
        <v>0</v>
      </c>
    </row>
    <row r="9" spans="2:9">
      <c r="B9" s="1">
        <v>2.8</v>
      </c>
      <c r="C9" s="1">
        <f t="shared" si="0"/>
        <v>18.149999999999999</v>
      </c>
      <c r="D9" s="5"/>
      <c r="E9" s="5">
        <f>SUM(E3:E7)</f>
        <v>15.5</v>
      </c>
      <c r="F9" s="5"/>
      <c r="G9" s="5"/>
      <c r="H9" s="5"/>
      <c r="I9" s="5"/>
    </row>
    <row r="10" spans="2:9">
      <c r="B10" s="1">
        <v>4</v>
      </c>
      <c r="C10" s="1">
        <f t="shared" si="0"/>
        <v>15.35</v>
      </c>
      <c r="D10" s="5"/>
      <c r="E10" s="5"/>
      <c r="F10" s="5"/>
      <c r="G10" s="5"/>
      <c r="H10" s="5"/>
      <c r="I10" s="5"/>
    </row>
    <row r="11" spans="2:9">
      <c r="B11" s="1">
        <v>2.5</v>
      </c>
      <c r="C11" s="1">
        <f t="shared" si="0"/>
        <v>11.35</v>
      </c>
      <c r="D11" s="5"/>
      <c r="E11" s="5"/>
      <c r="F11" s="5"/>
      <c r="G11" s="5"/>
      <c r="H11" s="5"/>
      <c r="I11" s="5"/>
    </row>
    <row r="12" spans="2:9">
      <c r="B12" s="1">
        <v>2.6</v>
      </c>
      <c r="C12" s="1">
        <f t="shared" si="0"/>
        <v>8.85</v>
      </c>
      <c r="D12" s="5"/>
      <c r="E12" s="5"/>
      <c r="F12" s="5"/>
      <c r="G12" s="5"/>
      <c r="H12" s="5"/>
      <c r="I12" s="5"/>
    </row>
    <row r="13" spans="2:9">
      <c r="B13" s="1">
        <v>3.65</v>
      </c>
      <c r="C13" s="1">
        <f t="shared" si="0"/>
        <v>6.25</v>
      </c>
      <c r="D13" s="5"/>
      <c r="E13" s="5"/>
      <c r="F13" s="5"/>
      <c r="G13" s="5"/>
      <c r="H13" s="5"/>
      <c r="I13" s="5"/>
    </row>
    <row r="14" spans="2:9">
      <c r="B14" s="1">
        <v>2.6</v>
      </c>
      <c r="C14" s="1">
        <f t="shared" si="0"/>
        <v>2.6</v>
      </c>
      <c r="D14" s="5"/>
      <c r="E14" s="5"/>
      <c r="F14" s="5"/>
      <c r="G14" s="5"/>
      <c r="H14" s="5"/>
      <c r="I14" s="5"/>
    </row>
    <row r="15" spans="2:9">
      <c r="B15" s="1">
        <v>0</v>
      </c>
      <c r="C15" s="1">
        <f t="shared" si="0"/>
        <v>0</v>
      </c>
      <c r="D15" s="5"/>
      <c r="E15" s="5"/>
      <c r="F15" s="5"/>
      <c r="G15" s="5"/>
      <c r="H15" s="5"/>
      <c r="I15" s="5"/>
    </row>
    <row r="16" spans="2:9">
      <c r="B16" s="5"/>
      <c r="C16" s="5"/>
      <c r="D16" s="5"/>
      <c r="E16" s="5"/>
      <c r="F16" s="5"/>
      <c r="G16" s="5"/>
      <c r="H16" s="5"/>
      <c r="I16" s="5"/>
    </row>
    <row r="17" spans="2:9">
      <c r="B17" s="5"/>
      <c r="C17" s="5"/>
      <c r="D17" s="5"/>
      <c r="E17" s="5"/>
      <c r="F17" s="5"/>
      <c r="G17" s="5"/>
      <c r="H17" s="5"/>
      <c r="I17" s="5"/>
    </row>
    <row r="18" spans="2:9">
      <c r="B18" s="5">
        <f>SUM(B3:B14)</f>
        <v>36.200000000000003</v>
      </c>
      <c r="C18" s="5"/>
      <c r="D18" s="5"/>
      <c r="E18" s="5"/>
      <c r="F18" s="5"/>
      <c r="G18" s="5"/>
      <c r="H18" s="5"/>
      <c r="I18" s="5"/>
    </row>
  </sheetData>
  <mergeCells count="3">
    <mergeCell ref="B2:C2"/>
    <mergeCell ref="E2:F2"/>
    <mergeCell ref="H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47E5-6826-45DD-A297-30816CF08B5A}">
  <dimension ref="A14:R93"/>
  <sheetViews>
    <sheetView topLeftCell="A42" zoomScale="78" zoomScaleNormal="90" workbookViewId="0">
      <selection activeCell="E69" sqref="E69"/>
    </sheetView>
  </sheetViews>
  <sheetFormatPr defaultColWidth="11.42578125" defaultRowHeight="15"/>
  <cols>
    <col min="4" max="4" width="14.42578125" customWidth="1"/>
    <col min="5" max="5" width="19.28515625" bestFit="1" customWidth="1"/>
    <col min="8" max="8" width="11.5703125" customWidth="1"/>
  </cols>
  <sheetData>
    <row r="14" spans="1:12">
      <c r="A14" s="314" t="s">
        <v>3</v>
      </c>
      <c r="B14" s="314"/>
      <c r="C14" s="314"/>
    </row>
    <row r="16" spans="1:12">
      <c r="B16" s="307" t="s">
        <v>4</v>
      </c>
      <c r="C16" s="308"/>
      <c r="D16" s="308"/>
      <c r="E16" s="308"/>
      <c r="F16" s="308"/>
      <c r="G16" s="308"/>
      <c r="H16" s="308"/>
      <c r="I16" s="308"/>
      <c r="J16" s="308"/>
      <c r="K16" s="309"/>
      <c r="L16" s="306" t="s">
        <v>5</v>
      </c>
    </row>
    <row r="17" spans="2:14">
      <c r="B17" s="7" t="s">
        <v>6</v>
      </c>
      <c r="C17" s="7" t="s">
        <v>7</v>
      </c>
      <c r="D17" s="7" t="s">
        <v>8</v>
      </c>
      <c r="E17" s="7" t="s">
        <v>8</v>
      </c>
      <c r="F17" s="7" t="s">
        <v>8</v>
      </c>
      <c r="G17" s="7" t="s">
        <v>8</v>
      </c>
      <c r="H17" s="7" t="s">
        <v>8</v>
      </c>
      <c r="I17" s="7" t="s">
        <v>8</v>
      </c>
      <c r="J17" s="7" t="s">
        <v>8</v>
      </c>
      <c r="K17" s="7" t="s">
        <v>7</v>
      </c>
      <c r="L17" s="306"/>
    </row>
    <row r="18" spans="2:14">
      <c r="B18" s="7" t="s">
        <v>9</v>
      </c>
      <c r="C18" s="2">
        <v>3.25</v>
      </c>
      <c r="D18" s="2">
        <v>2.2000000000000002</v>
      </c>
      <c r="E18" s="2">
        <v>2.1</v>
      </c>
      <c r="F18" s="2">
        <v>3.6</v>
      </c>
      <c r="G18" s="2">
        <v>5.0999999999999996</v>
      </c>
      <c r="H18" s="2">
        <v>3.6</v>
      </c>
      <c r="I18" s="2">
        <v>2.1</v>
      </c>
      <c r="J18" s="2">
        <v>2.2000000000000002</v>
      </c>
      <c r="K18" s="2">
        <v>3.25</v>
      </c>
      <c r="L18" s="306"/>
    </row>
    <row r="19" spans="2:14">
      <c r="B19" s="7" t="s">
        <v>10</v>
      </c>
      <c r="C19" s="2">
        <f>+C18/18.5</f>
        <v>0.17567567567567569</v>
      </c>
      <c r="D19" s="2">
        <f>+D18/21</f>
        <v>0.10476190476190476</v>
      </c>
      <c r="E19" s="2">
        <f t="shared" ref="E19:J19" si="0">+E18/21</f>
        <v>0.1</v>
      </c>
      <c r="F19" s="2">
        <f t="shared" si="0"/>
        <v>0.17142857142857143</v>
      </c>
      <c r="G19" s="2">
        <f t="shared" si="0"/>
        <v>0.24285714285714283</v>
      </c>
      <c r="H19" s="2">
        <f t="shared" si="0"/>
        <v>0.17142857142857143</v>
      </c>
      <c r="I19" s="2">
        <f t="shared" si="0"/>
        <v>0.1</v>
      </c>
      <c r="J19" s="2">
        <f t="shared" si="0"/>
        <v>0.10476190476190476</v>
      </c>
      <c r="K19" s="2">
        <f>+K18/18.5</f>
        <v>0.17567567567567569</v>
      </c>
      <c r="L19" s="4">
        <f>MAX(C19:K19)</f>
        <v>0.24285714285714283</v>
      </c>
    </row>
    <row r="20" spans="2:14">
      <c r="B20" s="7" t="s">
        <v>11</v>
      </c>
      <c r="C20" s="2">
        <f>+C18/12</f>
        <v>0.27083333333333331</v>
      </c>
      <c r="D20" s="2">
        <f>+D18/14</f>
        <v>0.15714285714285717</v>
      </c>
      <c r="E20" s="2">
        <f t="shared" ref="E20:J20" si="1">+E18/14</f>
        <v>0.15</v>
      </c>
      <c r="F20" s="2">
        <f t="shared" si="1"/>
        <v>0.25714285714285717</v>
      </c>
      <c r="G20" s="2">
        <f t="shared" si="1"/>
        <v>0.36428571428571427</v>
      </c>
      <c r="H20" s="2">
        <f t="shared" si="1"/>
        <v>0.25714285714285717</v>
      </c>
      <c r="I20" s="2">
        <f t="shared" si="1"/>
        <v>0.15</v>
      </c>
      <c r="J20" s="2">
        <f t="shared" si="1"/>
        <v>0.15714285714285717</v>
      </c>
      <c r="K20" s="2">
        <f>+K18/12</f>
        <v>0.27083333333333331</v>
      </c>
      <c r="L20" s="4">
        <f>MAX(C20:K20)</f>
        <v>0.36428571428571427</v>
      </c>
    </row>
    <row r="22" spans="2:14">
      <c r="C22" s="2"/>
    </row>
    <row r="25" spans="2:14">
      <c r="B25" s="307" t="s">
        <v>12</v>
      </c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9"/>
      <c r="N25" s="306" t="s">
        <v>5</v>
      </c>
    </row>
    <row r="26" spans="2:14">
      <c r="B26" s="7" t="s">
        <v>6</v>
      </c>
      <c r="C26" s="7" t="s">
        <v>7</v>
      </c>
      <c r="D26" s="7" t="s">
        <v>8</v>
      </c>
      <c r="E26" s="7" t="s">
        <v>8</v>
      </c>
      <c r="F26" s="7" t="s">
        <v>8</v>
      </c>
      <c r="G26" s="7" t="s">
        <v>8</v>
      </c>
      <c r="H26" s="7" t="s">
        <v>8</v>
      </c>
      <c r="I26" s="7" t="s">
        <v>8</v>
      </c>
      <c r="J26" s="7" t="s">
        <v>8</v>
      </c>
      <c r="K26" s="7" t="s">
        <v>8</v>
      </c>
      <c r="L26" s="7" t="s">
        <v>8</v>
      </c>
      <c r="M26" s="7" t="s">
        <v>7</v>
      </c>
      <c r="N26" s="306"/>
    </row>
    <row r="27" spans="2:14">
      <c r="B27" s="7" t="s">
        <v>9</v>
      </c>
      <c r="C27" s="2">
        <v>2.2000000000000002</v>
      </c>
      <c r="D27" s="2">
        <v>3.25</v>
      </c>
      <c r="E27" s="2">
        <v>2.2000000000000002</v>
      </c>
      <c r="F27" s="2">
        <v>2.1</v>
      </c>
      <c r="G27" s="2">
        <v>3.6</v>
      </c>
      <c r="H27" s="2">
        <v>5.0999999999999996</v>
      </c>
      <c r="I27" s="2">
        <v>3.6</v>
      </c>
      <c r="J27" s="2">
        <v>2.1</v>
      </c>
      <c r="K27" s="2">
        <v>2.2000000000000002</v>
      </c>
      <c r="L27" s="2">
        <v>3.25</v>
      </c>
      <c r="M27" s="2">
        <v>2.2000000000000002</v>
      </c>
      <c r="N27" s="306"/>
    </row>
    <row r="28" spans="2:14">
      <c r="B28" s="7" t="s">
        <v>10</v>
      </c>
      <c r="C28" s="2">
        <f>+C27/(18.5)</f>
        <v>0.11891891891891893</v>
      </c>
      <c r="D28" s="2">
        <f>+D27/21</f>
        <v>0.15476190476190477</v>
      </c>
      <c r="E28" s="2">
        <f>+E27/21</f>
        <v>0.10476190476190476</v>
      </c>
      <c r="F28" s="2">
        <f t="shared" ref="F28" si="2">+F27/21</f>
        <v>0.1</v>
      </c>
      <c r="G28" s="2">
        <f t="shared" ref="G28" si="3">+G27/21</f>
        <v>0.17142857142857143</v>
      </c>
      <c r="H28" s="2">
        <f t="shared" ref="H28" si="4">+H27/21</f>
        <v>0.24285714285714283</v>
      </c>
      <c r="I28" s="2">
        <f t="shared" ref="I28" si="5">+I27/21</f>
        <v>0.17142857142857143</v>
      </c>
      <c r="J28" s="2">
        <f t="shared" ref="J28" si="6">+J27/21</f>
        <v>0.1</v>
      </c>
      <c r="K28" s="2">
        <f t="shared" ref="K28" si="7">+K27/21</f>
        <v>0.10476190476190476</v>
      </c>
      <c r="L28" s="2">
        <f>+L27/21</f>
        <v>0.15476190476190477</v>
      </c>
      <c r="M28" s="2">
        <f>+M27/18.5</f>
        <v>0.11891891891891893</v>
      </c>
      <c r="N28" s="3">
        <f>MAX(C28:M28)</f>
        <v>0.24285714285714283</v>
      </c>
    </row>
    <row r="29" spans="2:14">
      <c r="B29" s="7" t="s">
        <v>11</v>
      </c>
      <c r="C29" s="2">
        <f>+C27/12</f>
        <v>0.18333333333333335</v>
      </c>
      <c r="D29" s="2">
        <f>+D27/14</f>
        <v>0.23214285714285715</v>
      </c>
      <c r="E29" s="2">
        <f>+E27/14</f>
        <v>0.15714285714285717</v>
      </c>
      <c r="F29" s="2">
        <f t="shared" ref="F29:K29" si="8">+F27/14</f>
        <v>0.15</v>
      </c>
      <c r="G29" s="2">
        <f t="shared" si="8"/>
        <v>0.25714285714285717</v>
      </c>
      <c r="H29" s="2">
        <f t="shared" si="8"/>
        <v>0.36428571428571427</v>
      </c>
      <c r="I29" s="2">
        <f t="shared" si="8"/>
        <v>0.25714285714285717</v>
      </c>
      <c r="J29" s="2">
        <f t="shared" si="8"/>
        <v>0.15</v>
      </c>
      <c r="K29" s="2">
        <f t="shared" si="8"/>
        <v>0.15714285714285717</v>
      </c>
      <c r="L29" s="2">
        <f>+L27/14</f>
        <v>0.23214285714285715</v>
      </c>
      <c r="M29" s="2">
        <f>+M27/12</f>
        <v>0.18333333333333335</v>
      </c>
      <c r="N29" s="3">
        <f>MAX(C29:M29)</f>
        <v>0.36428571428571427</v>
      </c>
    </row>
    <row r="33" spans="1:16">
      <c r="B33" s="307" t="s">
        <v>13</v>
      </c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9"/>
      <c r="P33" s="306" t="s">
        <v>5</v>
      </c>
    </row>
    <row r="34" spans="1:16">
      <c r="B34" s="7" t="s">
        <v>6</v>
      </c>
      <c r="C34" s="7" t="s">
        <v>14</v>
      </c>
      <c r="D34" s="7" t="s">
        <v>8</v>
      </c>
      <c r="E34" s="7" t="s">
        <v>8</v>
      </c>
      <c r="F34" s="7" t="s">
        <v>8</v>
      </c>
      <c r="G34" s="7" t="s">
        <v>8</v>
      </c>
      <c r="H34" s="7" t="s">
        <v>8</v>
      </c>
      <c r="I34" s="7" t="s">
        <v>8</v>
      </c>
      <c r="J34" s="7" t="s">
        <v>8</v>
      </c>
      <c r="K34" s="7" t="s">
        <v>8</v>
      </c>
      <c r="L34" s="7" t="s">
        <v>8</v>
      </c>
      <c r="M34" s="7" t="s">
        <v>8</v>
      </c>
      <c r="N34" s="7" t="s">
        <v>8</v>
      </c>
      <c r="O34" s="7" t="s">
        <v>14</v>
      </c>
      <c r="P34" s="306"/>
    </row>
    <row r="35" spans="1:16">
      <c r="B35" s="7" t="s">
        <v>9</v>
      </c>
      <c r="C35" s="2">
        <v>1.5</v>
      </c>
      <c r="D35" s="2">
        <v>2.2000000000000002</v>
      </c>
      <c r="E35" s="2">
        <v>3.25</v>
      </c>
      <c r="F35" s="2">
        <v>2.2000000000000002</v>
      </c>
      <c r="G35" s="2">
        <v>2.1</v>
      </c>
      <c r="H35" s="2">
        <v>3.6</v>
      </c>
      <c r="I35" s="2">
        <v>5.0999999999999996</v>
      </c>
      <c r="J35" s="2">
        <v>3.6</v>
      </c>
      <c r="K35" s="2">
        <v>2.1</v>
      </c>
      <c r="L35" s="2">
        <v>2.2000000000000002</v>
      </c>
      <c r="M35" s="2">
        <v>3.25</v>
      </c>
      <c r="N35" s="2">
        <v>2.2000000000000002</v>
      </c>
      <c r="O35" s="2">
        <v>1.5</v>
      </c>
      <c r="P35" s="306"/>
    </row>
    <row r="36" spans="1:16">
      <c r="B36" s="7" t="s">
        <v>10</v>
      </c>
      <c r="C36" s="2">
        <f>+C35/8</f>
        <v>0.1875</v>
      </c>
      <c r="D36" s="2">
        <f>+D35/21</f>
        <v>0.10476190476190476</v>
      </c>
      <c r="E36" s="2">
        <f>+E35/21</f>
        <v>0.15476190476190477</v>
      </c>
      <c r="F36" s="2">
        <f>+F35/21</f>
        <v>0.10476190476190476</v>
      </c>
      <c r="G36" s="2">
        <f t="shared" ref="G36" si="9">+G35/21</f>
        <v>0.1</v>
      </c>
      <c r="H36" s="2">
        <f t="shared" ref="H36" si="10">+H35/21</f>
        <v>0.17142857142857143</v>
      </c>
      <c r="I36" s="2">
        <f t="shared" ref="I36" si="11">+I35/21</f>
        <v>0.24285714285714283</v>
      </c>
      <c r="J36" s="2">
        <f t="shared" ref="J36" si="12">+J35/21</f>
        <v>0.17142857142857143</v>
      </c>
      <c r="K36" s="2">
        <f t="shared" ref="K36" si="13">+K35/21</f>
        <v>0.1</v>
      </c>
      <c r="L36" s="2">
        <f t="shared" ref="L36" si="14">+L35/21</f>
        <v>0.10476190476190476</v>
      </c>
      <c r="M36" s="2">
        <f>+M35/21</f>
        <v>0.15476190476190477</v>
      </c>
      <c r="N36" s="2">
        <f>+N35/21</f>
        <v>0.10476190476190476</v>
      </c>
      <c r="O36" s="2">
        <f>+O35/8</f>
        <v>0.1875</v>
      </c>
      <c r="P36" s="4">
        <f>MAX(C36:O36)</f>
        <v>0.24285714285714283</v>
      </c>
    </row>
    <row r="37" spans="1:16">
      <c r="B37" s="7" t="s">
        <v>11</v>
      </c>
      <c r="C37" s="2">
        <f>+C35/5</f>
        <v>0.3</v>
      </c>
      <c r="D37" s="2">
        <f>+D35/14</f>
        <v>0.15714285714285717</v>
      </c>
      <c r="E37" s="2">
        <f>+E35/14</f>
        <v>0.23214285714285715</v>
      </c>
      <c r="F37" s="2">
        <f>+F35/14</f>
        <v>0.15714285714285717</v>
      </c>
      <c r="G37" s="2">
        <f t="shared" ref="G37:L37" si="15">+G35/14</f>
        <v>0.15</v>
      </c>
      <c r="H37" s="2">
        <f t="shared" si="15"/>
        <v>0.25714285714285717</v>
      </c>
      <c r="I37" s="2">
        <f t="shared" si="15"/>
        <v>0.36428571428571427</v>
      </c>
      <c r="J37" s="2">
        <f t="shared" si="15"/>
        <v>0.25714285714285717</v>
      </c>
      <c r="K37" s="2">
        <f t="shared" si="15"/>
        <v>0.15</v>
      </c>
      <c r="L37" s="2">
        <f t="shared" si="15"/>
        <v>0.15714285714285717</v>
      </c>
      <c r="M37" s="2">
        <f>+M35/14</f>
        <v>0.23214285714285715</v>
      </c>
      <c r="N37" s="2">
        <f>+N35/14</f>
        <v>0.15714285714285717</v>
      </c>
      <c r="O37" s="2">
        <f>+O35/8</f>
        <v>0.1875</v>
      </c>
      <c r="P37" s="4">
        <f>MAX(C37:O37)</f>
        <v>0.36428571428571427</v>
      </c>
    </row>
    <row r="41" spans="1:16">
      <c r="D41" s="5"/>
    </row>
    <row r="42" spans="1:16">
      <c r="A42" t="s">
        <v>15</v>
      </c>
      <c r="D42" s="307" t="s">
        <v>16</v>
      </c>
      <c r="E42" s="308"/>
      <c r="F42" s="308"/>
      <c r="G42" s="308"/>
      <c r="H42" s="309"/>
      <c r="I42" s="306" t="s">
        <v>5</v>
      </c>
    </row>
    <row r="43" spans="1:16">
      <c r="D43" s="7" t="s">
        <v>6</v>
      </c>
      <c r="E43" s="7" t="s">
        <v>7</v>
      </c>
      <c r="F43" s="7" t="s">
        <v>8</v>
      </c>
      <c r="G43" s="7" t="s">
        <v>8</v>
      </c>
      <c r="H43" s="7" t="s">
        <v>7</v>
      </c>
      <c r="I43" s="306"/>
    </row>
    <row r="44" spans="1:16">
      <c r="D44" s="7" t="s">
        <v>9</v>
      </c>
      <c r="E44" s="6">
        <v>3.25</v>
      </c>
      <c r="F44" s="6">
        <v>2.2000000000000002</v>
      </c>
      <c r="G44" s="6">
        <v>2.1</v>
      </c>
      <c r="H44" s="6">
        <v>3.6</v>
      </c>
      <c r="I44" s="306"/>
    </row>
    <row r="45" spans="1:16">
      <c r="D45" s="7" t="s">
        <v>10</v>
      </c>
      <c r="E45" s="6">
        <f>+E44/18.5</f>
        <v>0.17567567567567569</v>
      </c>
      <c r="F45" s="6">
        <f>+F44/21</f>
        <v>0.10476190476190476</v>
      </c>
      <c r="G45" s="6">
        <f>+G44/21</f>
        <v>0.1</v>
      </c>
      <c r="H45" s="6">
        <f>+H44/18.5</f>
        <v>0.19459459459459461</v>
      </c>
      <c r="I45" s="3">
        <f>+MAX(E45:H45)</f>
        <v>0.19459459459459461</v>
      </c>
    </row>
    <row r="46" spans="1:16">
      <c r="D46" s="7" t="s">
        <v>11</v>
      </c>
      <c r="E46" s="6">
        <f>+E44/12</f>
        <v>0.27083333333333331</v>
      </c>
      <c r="F46" s="6">
        <f>+F44/14</f>
        <v>0.15714285714285717</v>
      </c>
      <c r="G46" s="6">
        <f>+G44/14</f>
        <v>0.15</v>
      </c>
      <c r="H46" s="6">
        <f>+H44/12</f>
        <v>0.3</v>
      </c>
      <c r="I46" s="3">
        <f>+MAX(E46:H46)</f>
        <v>0.3</v>
      </c>
    </row>
    <row r="51" spans="4:18">
      <c r="D51" s="307" t="s">
        <v>17</v>
      </c>
      <c r="E51" s="308"/>
      <c r="F51" s="308"/>
      <c r="G51" s="308"/>
      <c r="H51" s="308"/>
      <c r="I51" s="308"/>
      <c r="J51" s="308"/>
      <c r="K51" s="308"/>
      <c r="L51" s="308"/>
      <c r="M51" s="308"/>
      <c r="N51" s="308"/>
      <c r="O51" s="308"/>
      <c r="P51" s="309"/>
      <c r="Q51" s="306" t="s">
        <v>5</v>
      </c>
    </row>
    <row r="52" spans="4:18">
      <c r="D52" s="7" t="s">
        <v>6</v>
      </c>
      <c r="E52" s="7" t="s">
        <v>7</v>
      </c>
      <c r="F52" s="7" t="s">
        <v>8</v>
      </c>
      <c r="G52" s="7" t="s">
        <v>8</v>
      </c>
      <c r="H52" s="7" t="s">
        <v>8</v>
      </c>
      <c r="I52" s="7" t="s">
        <v>8</v>
      </c>
      <c r="J52" s="7" t="s">
        <v>8</v>
      </c>
      <c r="K52" s="7" t="s">
        <v>8</v>
      </c>
      <c r="L52" s="7" t="s">
        <v>8</v>
      </c>
      <c r="M52" s="7" t="s">
        <v>8</v>
      </c>
      <c r="N52" s="7" t="s">
        <v>8</v>
      </c>
      <c r="O52" s="7" t="s">
        <v>8</v>
      </c>
      <c r="P52" s="7" t="s">
        <v>7</v>
      </c>
      <c r="Q52" s="306"/>
    </row>
    <row r="53" spans="4:18">
      <c r="D53" s="7" t="s">
        <v>9</v>
      </c>
      <c r="E53" s="1">
        <v>2.2000000000000002</v>
      </c>
      <c r="F53" s="2">
        <v>3.25</v>
      </c>
      <c r="G53" s="2">
        <v>2.2000000000000002</v>
      </c>
      <c r="H53" s="2">
        <v>2.1</v>
      </c>
      <c r="I53" s="2">
        <v>3.8</v>
      </c>
      <c r="J53" s="1">
        <v>2.4</v>
      </c>
      <c r="K53" s="2">
        <v>2.2999999999999998</v>
      </c>
      <c r="L53" s="1">
        <v>3.8</v>
      </c>
      <c r="M53" s="2">
        <v>2.1</v>
      </c>
      <c r="N53" s="1">
        <v>2.2000000000000002</v>
      </c>
      <c r="O53" s="2">
        <v>3.25</v>
      </c>
      <c r="P53" s="1">
        <v>2.2000000000000002</v>
      </c>
      <c r="Q53" s="306"/>
    </row>
    <row r="54" spans="4:18">
      <c r="D54" s="7" t="s">
        <v>10</v>
      </c>
      <c r="E54" s="6">
        <f>+E53/18.5</f>
        <v>0.11891891891891893</v>
      </c>
      <c r="F54" s="6">
        <f>+F53/21</f>
        <v>0.15476190476190477</v>
      </c>
      <c r="G54" s="6">
        <f>+G53/21</f>
        <v>0.10476190476190476</v>
      </c>
      <c r="H54" s="6">
        <f>+H53/21</f>
        <v>0.1</v>
      </c>
      <c r="I54" s="6">
        <f>+I53/21</f>
        <v>0.18095238095238095</v>
      </c>
      <c r="J54" s="6">
        <f t="shared" ref="J54:O54" si="16">+J53/21</f>
        <v>0.11428571428571428</v>
      </c>
      <c r="K54" s="6">
        <f t="shared" si="16"/>
        <v>0.10952380952380951</v>
      </c>
      <c r="L54" s="6">
        <f t="shared" si="16"/>
        <v>0.18095238095238095</v>
      </c>
      <c r="M54" s="6">
        <f t="shared" si="16"/>
        <v>0.1</v>
      </c>
      <c r="N54" s="6">
        <f t="shared" si="16"/>
        <v>0.10476190476190476</v>
      </c>
      <c r="O54" s="6">
        <f t="shared" si="16"/>
        <v>0.15476190476190477</v>
      </c>
      <c r="P54" s="6">
        <f>+P53/18.5</f>
        <v>0.11891891891891893</v>
      </c>
      <c r="Q54" s="3">
        <f>+MAX(E54:P54)</f>
        <v>0.18095238095238095</v>
      </c>
    </row>
    <row r="55" spans="4:18">
      <c r="D55" s="7" t="s">
        <v>11</v>
      </c>
      <c r="E55" s="6">
        <f>+E53/12</f>
        <v>0.18333333333333335</v>
      </c>
      <c r="F55" s="6">
        <f>+F53/14</f>
        <v>0.23214285714285715</v>
      </c>
      <c r="G55" s="6">
        <f t="shared" ref="G55:O55" si="17">+G53/14</f>
        <v>0.15714285714285717</v>
      </c>
      <c r="H55" s="6">
        <f t="shared" si="17"/>
        <v>0.15</v>
      </c>
      <c r="I55" s="6">
        <f t="shared" si="17"/>
        <v>0.27142857142857141</v>
      </c>
      <c r="J55" s="6">
        <f t="shared" si="17"/>
        <v>0.17142857142857143</v>
      </c>
      <c r="K55" s="6">
        <f t="shared" si="17"/>
        <v>0.16428571428571428</v>
      </c>
      <c r="L55" s="6">
        <f t="shared" si="17"/>
        <v>0.27142857142857141</v>
      </c>
      <c r="M55" s="6">
        <f t="shared" si="17"/>
        <v>0.15</v>
      </c>
      <c r="N55" s="6">
        <f t="shared" si="17"/>
        <v>0.15714285714285717</v>
      </c>
      <c r="O55" s="6">
        <f t="shared" si="17"/>
        <v>0.23214285714285715</v>
      </c>
      <c r="P55" s="6">
        <f>+P53/12</f>
        <v>0.18333333333333335</v>
      </c>
      <c r="Q55" s="3">
        <f>+MAX(E55:P55)</f>
        <v>0.27142857142857141</v>
      </c>
    </row>
    <row r="56" spans="4:18">
      <c r="D56" s="8"/>
    </row>
    <row r="59" spans="4:18">
      <c r="D59" s="307" t="s">
        <v>18</v>
      </c>
      <c r="E59" s="308"/>
      <c r="F59" s="308"/>
      <c r="G59" s="308"/>
      <c r="H59" s="308"/>
      <c r="I59" s="308"/>
      <c r="J59" s="308"/>
      <c r="K59" s="308"/>
      <c r="L59" s="308"/>
      <c r="M59" s="308"/>
      <c r="N59" s="308"/>
      <c r="O59" s="308"/>
      <c r="P59" s="308"/>
      <c r="Q59" s="309"/>
      <c r="R59" s="306" t="s">
        <v>5</v>
      </c>
    </row>
    <row r="60" spans="4:18">
      <c r="D60" s="7" t="s">
        <v>6</v>
      </c>
      <c r="E60" s="7" t="s">
        <v>14</v>
      </c>
      <c r="F60" s="7" t="s">
        <v>8</v>
      </c>
      <c r="G60" s="7" t="s">
        <v>8</v>
      </c>
      <c r="H60" s="7" t="s">
        <v>8</v>
      </c>
      <c r="I60" s="7" t="s">
        <v>8</v>
      </c>
      <c r="J60" s="7" t="s">
        <v>8</v>
      </c>
      <c r="K60" s="7" t="s">
        <v>8</v>
      </c>
      <c r="L60" s="7" t="s">
        <v>8</v>
      </c>
      <c r="M60" s="7" t="s">
        <v>8</v>
      </c>
      <c r="N60" s="7" t="s">
        <v>8</v>
      </c>
      <c r="O60" s="7" t="s">
        <v>8</v>
      </c>
      <c r="P60" s="7" t="s">
        <v>8</v>
      </c>
      <c r="Q60" s="7" t="s">
        <v>14</v>
      </c>
      <c r="R60" s="306"/>
    </row>
    <row r="61" spans="4:18">
      <c r="D61" s="7" t="s">
        <v>9</v>
      </c>
      <c r="E61" s="1">
        <v>1.5</v>
      </c>
      <c r="F61" s="1">
        <v>4.8</v>
      </c>
      <c r="G61" s="2">
        <v>5.15</v>
      </c>
      <c r="H61" s="2">
        <v>2.1</v>
      </c>
      <c r="I61" s="2">
        <v>3.6</v>
      </c>
      <c r="J61" s="2">
        <v>5.0999999999999996</v>
      </c>
      <c r="K61" s="1">
        <v>3.6</v>
      </c>
      <c r="L61" s="2">
        <v>2.1</v>
      </c>
      <c r="M61" s="1">
        <v>3.8</v>
      </c>
      <c r="N61" s="2">
        <v>2.1</v>
      </c>
      <c r="O61" s="1">
        <v>5.15</v>
      </c>
      <c r="P61" s="2">
        <v>4.8</v>
      </c>
      <c r="Q61" s="1">
        <v>1.5</v>
      </c>
      <c r="R61" s="306"/>
    </row>
    <row r="62" spans="4:18">
      <c r="D62" s="7" t="s">
        <v>10</v>
      </c>
      <c r="E62" s="6">
        <f>+E61/8</f>
        <v>0.1875</v>
      </c>
      <c r="F62" s="6">
        <f>+F61/21</f>
        <v>0.22857142857142856</v>
      </c>
      <c r="G62" s="6">
        <f>+G61/21</f>
        <v>0.24523809523809526</v>
      </c>
      <c r="H62" s="6">
        <f>+H61/21</f>
        <v>0.1</v>
      </c>
      <c r="I62" s="6">
        <f>+I61/21</f>
        <v>0.17142857142857143</v>
      </c>
      <c r="J62" s="6">
        <f>+J61/21</f>
        <v>0.24285714285714283</v>
      </c>
      <c r="K62" s="6">
        <f t="shared" ref="K62" si="18">+K61/21</f>
        <v>0.17142857142857143</v>
      </c>
      <c r="L62" s="6">
        <f t="shared" ref="L62" si="19">+L61/21</f>
        <v>0.1</v>
      </c>
      <c r="M62" s="6">
        <f t="shared" ref="M62" si="20">+M61/21</f>
        <v>0.18095238095238095</v>
      </c>
      <c r="N62" s="6">
        <f t="shared" ref="N62" si="21">+N61/21</f>
        <v>0.1</v>
      </c>
      <c r="O62" s="6">
        <f t="shared" ref="O62:P62" si="22">+O61/21</f>
        <v>0.24523809523809526</v>
      </c>
      <c r="P62" s="6">
        <f t="shared" si="22"/>
        <v>0.22857142857142856</v>
      </c>
      <c r="Q62" s="6">
        <f>+Q61/8</f>
        <v>0.1875</v>
      </c>
      <c r="R62" s="3">
        <f>+MAX(E62:Q62)</f>
        <v>0.24523809523809526</v>
      </c>
    </row>
    <row r="63" spans="4:18">
      <c r="D63" s="7" t="s">
        <v>11</v>
      </c>
      <c r="E63" s="6">
        <f>+E61/5</f>
        <v>0.3</v>
      </c>
      <c r="F63" s="6">
        <f t="shared" ref="F63:P63" si="23">+F61/14</f>
        <v>0.34285714285714286</v>
      </c>
      <c r="G63" s="6">
        <f t="shared" si="23"/>
        <v>0.36785714285714288</v>
      </c>
      <c r="H63" s="6">
        <f t="shared" si="23"/>
        <v>0.15</v>
      </c>
      <c r="I63" s="6">
        <f t="shared" si="23"/>
        <v>0.25714285714285717</v>
      </c>
      <c r="J63" s="6">
        <f t="shared" si="23"/>
        <v>0.36428571428571427</v>
      </c>
      <c r="K63" s="6">
        <f t="shared" si="23"/>
        <v>0.25714285714285717</v>
      </c>
      <c r="L63" s="6">
        <f t="shared" si="23"/>
        <v>0.15</v>
      </c>
      <c r="M63" s="6">
        <f t="shared" si="23"/>
        <v>0.27142857142857141</v>
      </c>
      <c r="N63" s="6">
        <f t="shared" si="23"/>
        <v>0.15</v>
      </c>
      <c r="O63" s="6">
        <f t="shared" si="23"/>
        <v>0.36785714285714288</v>
      </c>
      <c r="P63" s="6">
        <f t="shared" si="23"/>
        <v>0.34285714285714286</v>
      </c>
      <c r="Q63" s="6">
        <f>+Q61/5</f>
        <v>0.3</v>
      </c>
      <c r="R63" s="204">
        <f>+MAX(E63:Q63)</f>
        <v>0.36785714285714288</v>
      </c>
    </row>
    <row r="68" spans="4:9">
      <c r="D68" s="1" t="s">
        <v>19</v>
      </c>
      <c r="E68" s="1">
        <v>28</v>
      </c>
      <c r="F68" s="1" t="s">
        <v>20</v>
      </c>
    </row>
    <row r="69" spans="4:9" ht="45" customHeight="1">
      <c r="D69" s="311" t="s">
        <v>21</v>
      </c>
      <c r="E69" s="1">
        <f>4700*SQRT(E68)</f>
        <v>24870.062324007155</v>
      </c>
      <c r="F69" s="1"/>
      <c r="H69" s="312" t="s">
        <v>22</v>
      </c>
      <c r="I69">
        <v>6.5</v>
      </c>
    </row>
    <row r="70" spans="4:9">
      <c r="D70" s="311"/>
      <c r="E70" s="1">
        <f>E69/1000</f>
        <v>24.870062324007154</v>
      </c>
      <c r="F70" s="1" t="s">
        <v>23</v>
      </c>
      <c r="H70" s="313"/>
    </row>
    <row r="73" spans="4:9">
      <c r="E73" s="1" t="s">
        <v>24</v>
      </c>
      <c r="F73" s="1">
        <v>0.34</v>
      </c>
      <c r="G73" s="1" t="s">
        <v>25</v>
      </c>
    </row>
    <row r="74" spans="4:9">
      <c r="E74" s="1" t="s">
        <v>26</v>
      </c>
      <c r="F74" s="1">
        <v>0.15</v>
      </c>
      <c r="G74" s="1" t="s">
        <v>25</v>
      </c>
    </row>
    <row r="75" spans="4:9">
      <c r="E75" s="1" t="s">
        <v>27</v>
      </c>
      <c r="F75" s="1">
        <v>0.8</v>
      </c>
      <c r="G75" s="1" t="s">
        <v>25</v>
      </c>
    </row>
    <row r="76" spans="4:9">
      <c r="E76" s="1" t="s">
        <v>28</v>
      </c>
      <c r="F76" s="1">
        <f>F75-F74</f>
        <v>0.65</v>
      </c>
      <c r="G76" s="1" t="s">
        <v>25</v>
      </c>
    </row>
    <row r="77" spans="4:9">
      <c r="E77" s="1" t="s">
        <v>29</v>
      </c>
      <c r="F77" s="1">
        <f>F76/20</f>
        <v>3.2500000000000001E-2</v>
      </c>
      <c r="G77" s="1" t="s">
        <v>25</v>
      </c>
    </row>
    <row r="78" spans="4:9">
      <c r="E78" s="5"/>
      <c r="F78" s="5"/>
    </row>
    <row r="79" spans="4:9">
      <c r="E79" s="1" t="s">
        <v>30</v>
      </c>
      <c r="F79" s="1">
        <v>0.06</v>
      </c>
    </row>
    <row r="80" spans="4:9">
      <c r="E80" s="1" t="s">
        <v>31</v>
      </c>
      <c r="F80" s="1">
        <f>F73-F79</f>
        <v>0.28000000000000003</v>
      </c>
    </row>
    <row r="81" spans="5:9">
      <c r="E81" s="5"/>
      <c r="F81" s="5"/>
    </row>
    <row r="84" spans="5:9">
      <c r="E84" s="1" t="s">
        <v>32</v>
      </c>
      <c r="F84" s="6">
        <f>E70*F79</f>
        <v>1.4922037394404293</v>
      </c>
      <c r="G84" s="1" t="s">
        <v>33</v>
      </c>
    </row>
    <row r="85" spans="5:9">
      <c r="E85" s="1" t="s">
        <v>34</v>
      </c>
      <c r="F85" s="6">
        <f>E70*(F74*F80)/F75</f>
        <v>1.3056782720103757</v>
      </c>
      <c r="G85" s="1" t="s">
        <v>33</v>
      </c>
    </row>
    <row r="86" spans="5:9">
      <c r="E86" s="1" t="s">
        <v>35</v>
      </c>
      <c r="F86" s="117">
        <f>+I69*(2*F80+F76)*0.015/F75</f>
        <v>0.14746874999999998</v>
      </c>
      <c r="G86" s="1" t="s">
        <v>33</v>
      </c>
    </row>
    <row r="91" spans="5:9">
      <c r="E91" s="310" t="s">
        <v>36</v>
      </c>
      <c r="F91" s="310"/>
      <c r="H91" s="310" t="s">
        <v>37</v>
      </c>
      <c r="I91" s="310"/>
    </row>
    <row r="92" spans="5:9">
      <c r="E92" s="1" t="s">
        <v>38</v>
      </c>
      <c r="F92" s="1">
        <v>0.4</v>
      </c>
      <c r="H92" s="1" t="s">
        <v>38</v>
      </c>
      <c r="I92" s="1">
        <v>0.4</v>
      </c>
    </row>
    <row r="93" spans="5:9">
      <c r="E93" s="1" t="s">
        <v>39</v>
      </c>
      <c r="F93" s="1">
        <v>0.5</v>
      </c>
      <c r="H93" s="1" t="s">
        <v>39</v>
      </c>
      <c r="I93" s="1">
        <v>0.4</v>
      </c>
    </row>
  </sheetData>
  <mergeCells count="17">
    <mergeCell ref="E91:F91"/>
    <mergeCell ref="H91:I91"/>
    <mergeCell ref="D69:D70"/>
    <mergeCell ref="H69:H70"/>
    <mergeCell ref="A14:C14"/>
    <mergeCell ref="L16:L18"/>
    <mergeCell ref="N25:N27"/>
    <mergeCell ref="P33:P35"/>
    <mergeCell ref="I42:I44"/>
    <mergeCell ref="R59:R61"/>
    <mergeCell ref="B16:K16"/>
    <mergeCell ref="B25:M25"/>
    <mergeCell ref="B33:O33"/>
    <mergeCell ref="D42:H42"/>
    <mergeCell ref="D51:P51"/>
    <mergeCell ref="D59:Q59"/>
    <mergeCell ref="Q51:Q53"/>
  </mergeCells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1099-F9D9-4533-ADF0-FBE9BA77F56D}">
  <dimension ref="B3:E29"/>
  <sheetViews>
    <sheetView workbookViewId="0">
      <selection activeCell="I22" sqref="I22"/>
    </sheetView>
  </sheetViews>
  <sheetFormatPr defaultColWidth="11.42578125" defaultRowHeight="15"/>
  <cols>
    <col min="2" max="2" width="15.140625" bestFit="1" customWidth="1"/>
  </cols>
  <sheetData>
    <row r="3" spans="2:4">
      <c r="B3" s="118" t="s">
        <v>40</v>
      </c>
      <c r="C3" s="9">
        <v>0.35</v>
      </c>
      <c r="D3" s="10"/>
    </row>
    <row r="4" spans="2:4">
      <c r="B4" s="118" t="s">
        <v>41</v>
      </c>
      <c r="C4" s="11">
        <v>5.0999999999999996</v>
      </c>
      <c r="D4" s="12"/>
    </row>
    <row r="5" spans="2:4">
      <c r="B5" s="118" t="s">
        <v>42</v>
      </c>
      <c r="C5" s="11">
        <f>C4-$C$3</f>
        <v>4.75</v>
      </c>
      <c r="D5" s="12"/>
    </row>
    <row r="6" spans="2:4">
      <c r="B6" s="118" t="s">
        <v>43</v>
      </c>
      <c r="C6" s="9">
        <v>0.34</v>
      </c>
    </row>
    <row r="7" spans="2:4">
      <c r="B7" s="118" t="s">
        <v>44</v>
      </c>
      <c r="C7" s="13">
        <v>0.15</v>
      </c>
      <c r="D7" s="10">
        <f>C6/5</f>
        <v>6.8000000000000005E-2</v>
      </c>
    </row>
    <row r="9" spans="2:4">
      <c r="B9" s="10" t="s">
        <v>45</v>
      </c>
    </row>
    <row r="10" spans="2:4">
      <c r="B10" s="14"/>
      <c r="C10" s="10"/>
      <c r="D10" s="10"/>
    </row>
    <row r="11" spans="2:4">
      <c r="B11" s="10"/>
      <c r="C11" s="10"/>
      <c r="D11" s="10"/>
    </row>
    <row r="12" spans="2:4">
      <c r="B12" s="119" t="s">
        <v>46</v>
      </c>
      <c r="C12" s="119" t="s">
        <v>47</v>
      </c>
      <c r="D12" s="119" t="s">
        <v>48</v>
      </c>
    </row>
    <row r="13" spans="2:4">
      <c r="B13" s="120">
        <v>1</v>
      </c>
      <c r="C13" s="121">
        <f>($C$5-(B13*$C$7))/(B13+1)+$C$7</f>
        <v>2.4499999999999997</v>
      </c>
      <c r="D13" s="121">
        <f>C13-$C$7</f>
        <v>2.2999999999999998</v>
      </c>
    </row>
    <row r="14" spans="2:4">
      <c r="B14" s="120">
        <v>2</v>
      </c>
      <c r="C14" s="121">
        <f t="shared" ref="C14:C22" si="0">($C$5-(B14*$C$7))/(B14+1)+$C$7</f>
        <v>1.6333333333333333</v>
      </c>
      <c r="D14" s="121">
        <f t="shared" ref="D14:D22" si="1">C14-$C$7</f>
        <v>1.4833333333333334</v>
      </c>
    </row>
    <row r="15" spans="2:4">
      <c r="B15" s="1">
        <v>3</v>
      </c>
      <c r="C15" s="6">
        <f t="shared" si="0"/>
        <v>1.2249999999999999</v>
      </c>
      <c r="D15" s="6">
        <f t="shared" si="1"/>
        <v>1.075</v>
      </c>
    </row>
    <row r="16" spans="2:4">
      <c r="B16" s="1">
        <v>4</v>
      </c>
      <c r="C16" s="6">
        <f t="shared" si="0"/>
        <v>0.98000000000000009</v>
      </c>
      <c r="D16" s="6">
        <f t="shared" si="1"/>
        <v>0.83000000000000007</v>
      </c>
    </row>
    <row r="17" spans="2:5">
      <c r="B17" s="1">
        <v>5</v>
      </c>
      <c r="C17" s="6">
        <f t="shared" si="0"/>
        <v>0.81666666666666665</v>
      </c>
      <c r="D17" s="6">
        <f t="shared" si="1"/>
        <v>0.66666666666666663</v>
      </c>
    </row>
    <row r="18" spans="2:5">
      <c r="B18" s="120">
        <v>6</v>
      </c>
      <c r="C18" s="121">
        <f t="shared" si="0"/>
        <v>0.70000000000000007</v>
      </c>
      <c r="D18" s="121">
        <f t="shared" si="1"/>
        <v>0.55000000000000004</v>
      </c>
    </row>
    <row r="19" spans="2:5">
      <c r="B19" s="120">
        <v>7</v>
      </c>
      <c r="C19" s="121">
        <f t="shared" si="0"/>
        <v>0.61250000000000004</v>
      </c>
      <c r="D19" s="121">
        <f t="shared" si="1"/>
        <v>0.46250000000000002</v>
      </c>
    </row>
    <row r="20" spans="2:5">
      <c r="B20" s="120">
        <v>8</v>
      </c>
      <c r="C20" s="121">
        <f t="shared" si="0"/>
        <v>0.5444444444444444</v>
      </c>
      <c r="D20" s="121">
        <f t="shared" si="1"/>
        <v>0.39444444444444438</v>
      </c>
    </row>
    <row r="21" spans="2:5">
      <c r="B21" s="120">
        <v>9</v>
      </c>
      <c r="C21" s="121">
        <f t="shared" si="0"/>
        <v>0.49</v>
      </c>
      <c r="D21" s="121">
        <f t="shared" si="1"/>
        <v>0.33999999999999997</v>
      </c>
    </row>
    <row r="22" spans="2:5">
      <c r="B22" s="120">
        <v>10</v>
      </c>
      <c r="C22" s="121">
        <f t="shared" si="0"/>
        <v>0.44545454545454544</v>
      </c>
      <c r="D22" s="121">
        <f t="shared" si="1"/>
        <v>0.29545454545454541</v>
      </c>
    </row>
    <row r="24" spans="2:5" ht="15.75" thickBot="1"/>
    <row r="25" spans="2:5">
      <c r="B25" s="315" t="s">
        <v>49</v>
      </c>
      <c r="C25" s="316"/>
      <c r="E25" s="16" t="s">
        <v>50</v>
      </c>
    </row>
    <row r="26" spans="2:5" ht="15.75" thickBot="1">
      <c r="B26" s="317"/>
      <c r="C26" s="318"/>
      <c r="E26" s="15">
        <f>MROUND(C17,0.1)</f>
        <v>0.8</v>
      </c>
    </row>
    <row r="27" spans="2:5" ht="15.75" thickBot="1">
      <c r="B27" s="17" t="s">
        <v>51</v>
      </c>
      <c r="C27" s="18" t="s">
        <v>25</v>
      </c>
    </row>
    <row r="28" spans="2:5" ht="15.75" thickBot="1">
      <c r="B28" s="19">
        <f>MIN(2.5*C6*100,120)</f>
        <v>85.000000000000014</v>
      </c>
      <c r="C28" s="20">
        <f>B28/100</f>
        <v>0.85000000000000009</v>
      </c>
      <c r="E28" s="21" t="s">
        <v>52</v>
      </c>
    </row>
    <row r="29" spans="2:5" ht="15.75" thickBot="1">
      <c r="B29" s="10"/>
      <c r="C29" s="10"/>
      <c r="E29" s="15">
        <f>ROUNDUP(IF(D17/12&gt;0.05,D17/12,0.05),2)</f>
        <v>6.0000000000000005E-2</v>
      </c>
    </row>
  </sheetData>
  <mergeCells count="1">
    <mergeCell ref="B25:C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ECF2-6E74-44F8-A472-47C71EFE40C6}">
  <dimension ref="A1:AE47"/>
  <sheetViews>
    <sheetView tabSelected="1" zoomScale="101" workbookViewId="0">
      <selection activeCell="P17" sqref="P17"/>
    </sheetView>
  </sheetViews>
  <sheetFormatPr defaultColWidth="11.42578125" defaultRowHeight="15"/>
  <cols>
    <col min="1" max="1" width="6.7109375" style="10" customWidth="1"/>
    <col min="2" max="2" width="47.5703125" style="10" bestFit="1" customWidth="1"/>
    <col min="3" max="3" width="12.85546875" style="10" customWidth="1"/>
    <col min="4" max="4" width="5.85546875" style="10" customWidth="1"/>
    <col min="5" max="5" width="21.85546875" style="10" bestFit="1" customWidth="1"/>
    <col min="6" max="6" width="5.42578125" style="10" customWidth="1"/>
    <col min="7" max="7" width="8.85546875" style="10" bestFit="1" customWidth="1"/>
    <col min="8" max="8" width="6.28515625" style="10" bestFit="1" customWidth="1"/>
    <col min="9" max="10" width="2.28515625" style="10" customWidth="1"/>
    <col min="11" max="11" width="5.5703125" style="10" bestFit="1" customWidth="1"/>
    <col min="12" max="12" width="8.28515625" style="10" customWidth="1"/>
    <col min="13" max="13" width="5.140625" style="10" customWidth="1"/>
    <col min="14" max="14" width="9.140625" style="10" customWidth="1"/>
    <col min="15" max="15" width="10.85546875" style="10" bestFit="1" customWidth="1"/>
    <col min="16" max="16" width="9.5703125" style="10" customWidth="1"/>
    <col min="17" max="17" width="7.7109375" style="10" bestFit="1" customWidth="1"/>
    <col min="18" max="16384" width="11.42578125" style="10"/>
  </cols>
  <sheetData>
    <row r="1" spans="1:31">
      <c r="A1" s="297" t="s">
        <v>53</v>
      </c>
      <c r="B1" s="297"/>
      <c r="C1" s="297"/>
    </row>
    <row r="2" spans="1:31" ht="15.75" thickBot="1">
      <c r="A2" s="298" t="s">
        <v>54</v>
      </c>
      <c r="B2" s="298"/>
      <c r="C2" s="164"/>
      <c r="J2" s="10" t="s">
        <v>55</v>
      </c>
      <c r="M2" s="29">
        <f>Vtas!E26</f>
        <v>0.8</v>
      </c>
      <c r="N2" s="10" t="s">
        <v>25</v>
      </c>
    </row>
    <row r="3" spans="1:31" ht="15.75" thickBot="1">
      <c r="A3" s="299" t="s">
        <v>56</v>
      </c>
      <c r="B3" s="299"/>
      <c r="C3" s="299"/>
      <c r="D3" s="299"/>
      <c r="E3" s="300" t="s">
        <v>57</v>
      </c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</row>
    <row r="4" spans="1:31">
      <c r="A4" s="187"/>
      <c r="B4" s="188" t="s">
        <v>58</v>
      </c>
      <c r="C4" s="188"/>
      <c r="D4" s="189"/>
      <c r="E4" s="171"/>
      <c r="F4" s="171"/>
      <c r="G4" s="171"/>
      <c r="H4" s="184"/>
      <c r="I4" s="184"/>
      <c r="J4" s="184"/>
      <c r="K4" s="184"/>
      <c r="L4" s="184"/>
      <c r="M4" s="184"/>
      <c r="N4" s="184"/>
      <c r="O4" s="184"/>
      <c r="P4" s="183"/>
      <c r="Q4" s="182"/>
    </row>
    <row r="5" spans="1:31">
      <c r="A5" s="186"/>
      <c r="B5" s="190" t="s">
        <v>59</v>
      </c>
      <c r="C5" s="190"/>
      <c r="D5" s="185"/>
      <c r="E5" s="191"/>
      <c r="F5" s="191"/>
      <c r="G5" s="191"/>
      <c r="H5" s="192">
        <v>0.06</v>
      </c>
      <c r="I5" s="191" t="s">
        <v>25</v>
      </c>
      <c r="J5" s="191" t="s">
        <v>1</v>
      </c>
      <c r="K5" s="192">
        <v>2.4</v>
      </c>
      <c r="L5" s="191" t="s">
        <v>60</v>
      </c>
      <c r="M5" s="193" t="s">
        <v>61</v>
      </c>
      <c r="N5" s="194">
        <f>H5*K5</f>
        <v>0.14399999999999999</v>
      </c>
      <c r="O5" s="191" t="s">
        <v>62</v>
      </c>
      <c r="P5" s="180">
        <f t="shared" ref="P5:P14" si="0">N5*9.81</f>
        <v>1.4126399999999999</v>
      </c>
      <c r="Q5" s="172" t="s">
        <v>63</v>
      </c>
      <c r="R5" s="29">
        <f>SUM(P5:P15)</f>
        <v>7.0396559999999999</v>
      </c>
    </row>
    <row r="6" spans="1:31">
      <c r="A6" s="181"/>
      <c r="B6" s="190" t="s">
        <v>64</v>
      </c>
      <c r="C6" s="195"/>
      <c r="D6" s="185"/>
      <c r="E6" s="192">
        <v>0.15</v>
      </c>
      <c r="F6" s="191" t="s">
        <v>25</v>
      </c>
      <c r="G6" s="196" t="s">
        <v>1</v>
      </c>
      <c r="H6" s="192">
        <v>0.34</v>
      </c>
      <c r="I6" s="191" t="s">
        <v>25</v>
      </c>
      <c r="J6" s="191" t="s">
        <v>1</v>
      </c>
      <c r="K6" s="192">
        <v>2.4</v>
      </c>
      <c r="L6" s="191" t="s">
        <v>60</v>
      </c>
      <c r="M6" s="193" t="s">
        <v>61</v>
      </c>
      <c r="N6" s="194">
        <f>E6*H6*K6/M2</f>
        <v>0.153</v>
      </c>
      <c r="O6" s="191" t="s">
        <v>62</v>
      </c>
      <c r="P6" s="180">
        <f>N6*9.81</f>
        <v>1.5009300000000001</v>
      </c>
      <c r="Q6" s="172" t="s">
        <v>63</v>
      </c>
    </row>
    <row r="7" spans="1:31">
      <c r="A7" s="181"/>
      <c r="B7" s="190" t="s">
        <v>65</v>
      </c>
      <c r="C7" s="195"/>
      <c r="D7" s="185"/>
      <c r="E7" s="192"/>
      <c r="F7" s="191"/>
      <c r="G7" s="196"/>
      <c r="H7" s="192"/>
      <c r="I7" s="191"/>
      <c r="J7" s="191"/>
      <c r="K7" s="192">
        <v>0.01</v>
      </c>
      <c r="L7" s="191" t="s">
        <v>60</v>
      </c>
      <c r="M7" s="193" t="s">
        <v>61</v>
      </c>
      <c r="N7" s="194">
        <v>0.01</v>
      </c>
      <c r="O7" s="191" t="s">
        <v>62</v>
      </c>
      <c r="P7" s="180">
        <f t="shared" si="0"/>
        <v>9.8100000000000007E-2</v>
      </c>
      <c r="Q7" s="172" t="s">
        <v>63</v>
      </c>
    </row>
    <row r="8" spans="1:31">
      <c r="A8" s="181"/>
      <c r="B8" s="190" t="s">
        <v>66</v>
      </c>
      <c r="C8" s="195"/>
      <c r="D8" s="185"/>
      <c r="E8" s="191"/>
      <c r="F8" s="191"/>
      <c r="G8" s="191"/>
      <c r="H8" s="192">
        <v>0.03</v>
      </c>
      <c r="I8" s="191" t="s">
        <v>25</v>
      </c>
      <c r="J8" s="191" t="s">
        <v>1</v>
      </c>
      <c r="K8" s="192">
        <v>2.2999999999999998</v>
      </c>
      <c r="L8" s="191" t="s">
        <v>60</v>
      </c>
      <c r="M8" s="193" t="s">
        <v>61</v>
      </c>
      <c r="N8" s="191">
        <f>H8*K8</f>
        <v>6.8999999999999992E-2</v>
      </c>
      <c r="O8" s="191" t="s">
        <v>62</v>
      </c>
      <c r="P8" s="180">
        <f t="shared" si="0"/>
        <v>0.67688999999999999</v>
      </c>
      <c r="Q8" s="172" t="s">
        <v>63</v>
      </c>
      <c r="S8" s="10" t="s">
        <v>67</v>
      </c>
    </row>
    <row r="9" spans="1:31">
      <c r="A9" s="181"/>
      <c r="B9" s="190" t="s">
        <v>68</v>
      </c>
      <c r="C9" s="195"/>
      <c r="D9" s="185"/>
      <c r="E9" s="191"/>
      <c r="F9" s="191"/>
      <c r="G9" s="191"/>
      <c r="H9" s="191">
        <v>0.2</v>
      </c>
      <c r="I9" s="191" t="s">
        <v>60</v>
      </c>
      <c r="J9" s="191"/>
      <c r="K9" s="191"/>
      <c r="L9" s="191"/>
      <c r="M9" s="193" t="s">
        <v>61</v>
      </c>
      <c r="N9" s="191">
        <v>0.02</v>
      </c>
      <c r="O9" s="191" t="s">
        <v>62</v>
      </c>
      <c r="P9" s="180">
        <f t="shared" si="0"/>
        <v>0.19620000000000001</v>
      </c>
      <c r="Q9" s="172" t="s">
        <v>63</v>
      </c>
      <c r="S9" s="10" t="s">
        <v>69</v>
      </c>
    </row>
    <row r="10" spans="1:31">
      <c r="A10" s="181"/>
      <c r="B10" s="190" t="s">
        <v>70</v>
      </c>
      <c r="C10" s="195"/>
      <c r="D10" s="185"/>
      <c r="E10" s="191"/>
      <c r="F10" s="191"/>
      <c r="G10" s="191"/>
      <c r="H10" s="191">
        <v>2.5000000000000001E-2</v>
      </c>
      <c r="I10" s="191" t="s">
        <v>60</v>
      </c>
      <c r="J10" s="191"/>
      <c r="K10" s="191"/>
      <c r="L10" s="191"/>
      <c r="M10" s="193" t="s">
        <v>61</v>
      </c>
      <c r="N10" s="191">
        <v>2.5000000000000001E-2</v>
      </c>
      <c r="O10" s="191" t="s">
        <v>62</v>
      </c>
      <c r="P10" s="180">
        <f t="shared" si="0"/>
        <v>0.24525000000000002</v>
      </c>
      <c r="Q10" s="172" t="s">
        <v>63</v>
      </c>
      <c r="S10" s="10" t="s">
        <v>71</v>
      </c>
    </row>
    <row r="11" spans="1:31">
      <c r="A11" s="181"/>
      <c r="B11" s="195" t="s">
        <v>72</v>
      </c>
      <c r="C11" s="195"/>
      <c r="D11" s="185"/>
      <c r="E11" s="191"/>
      <c r="F11" s="191"/>
      <c r="G11" s="191"/>
      <c r="H11" s="191">
        <v>0.02</v>
      </c>
      <c r="I11" s="191" t="s">
        <v>60</v>
      </c>
      <c r="J11" s="191"/>
      <c r="K11" s="191"/>
      <c r="L11" s="191"/>
      <c r="M11" s="193" t="s">
        <v>61</v>
      </c>
      <c r="N11" s="191">
        <f>H11</f>
        <v>0.02</v>
      </c>
      <c r="O11" s="191" t="s">
        <v>62</v>
      </c>
      <c r="P11" s="180">
        <f t="shared" si="0"/>
        <v>0.19620000000000001</v>
      </c>
      <c r="Q11" s="172" t="s">
        <v>63</v>
      </c>
      <c r="S11" s="10" t="s">
        <v>73</v>
      </c>
    </row>
    <row r="12" spans="1:31">
      <c r="A12" s="181"/>
      <c r="B12" s="195" t="s">
        <v>74</v>
      </c>
      <c r="C12" s="195"/>
      <c r="D12" s="185"/>
      <c r="E12" s="191"/>
      <c r="F12" s="191"/>
      <c r="G12" s="191"/>
      <c r="H12" s="194">
        <v>1.4999999999999999E-2</v>
      </c>
      <c r="I12" s="191"/>
      <c r="J12" s="191" t="s">
        <v>63</v>
      </c>
      <c r="K12" s="191"/>
      <c r="L12" s="191"/>
      <c r="M12" s="193" t="s">
        <v>61</v>
      </c>
      <c r="N12" s="191">
        <v>1.5E-3</v>
      </c>
      <c r="O12" s="191" t="s">
        <v>62</v>
      </c>
      <c r="P12" s="180">
        <f t="shared" si="0"/>
        <v>1.4715000000000001E-2</v>
      </c>
      <c r="Q12" s="179" t="s">
        <v>63</v>
      </c>
    </row>
    <row r="13" spans="1:31">
      <c r="A13" s="181"/>
      <c r="B13" s="195" t="s">
        <v>75</v>
      </c>
      <c r="C13" s="195"/>
      <c r="D13" s="185"/>
      <c r="E13" s="191"/>
      <c r="F13" s="191"/>
      <c r="G13" s="191"/>
      <c r="H13" s="194">
        <v>1.8</v>
      </c>
      <c r="I13" s="191"/>
      <c r="J13" s="191" t="s">
        <v>63</v>
      </c>
      <c r="K13" s="191"/>
      <c r="L13" s="191"/>
      <c r="M13" s="193" t="s">
        <v>61</v>
      </c>
      <c r="N13" s="191">
        <v>0.18340000000000001</v>
      </c>
      <c r="O13" s="191" t="s">
        <v>62</v>
      </c>
      <c r="P13" s="180">
        <f t="shared" si="0"/>
        <v>1.7991540000000001</v>
      </c>
      <c r="Q13" s="179" t="s">
        <v>63</v>
      </c>
    </row>
    <row r="14" spans="1:31" ht="15.75" customHeight="1">
      <c r="A14" s="181"/>
      <c r="B14" s="195" t="s">
        <v>76</v>
      </c>
      <c r="C14" s="195"/>
      <c r="D14" s="185"/>
      <c r="E14" s="191"/>
      <c r="F14" s="191"/>
      <c r="G14" s="191"/>
      <c r="H14" s="194">
        <v>0.9</v>
      </c>
      <c r="I14" s="191"/>
      <c r="J14" s="191" t="s">
        <v>63</v>
      </c>
      <c r="K14" s="191"/>
      <c r="L14" s="191"/>
      <c r="M14" s="193"/>
      <c r="N14" s="191">
        <v>9.1700000000000004E-2</v>
      </c>
      <c r="O14" s="191" t="s">
        <v>62</v>
      </c>
      <c r="P14" s="180">
        <f t="shared" si="0"/>
        <v>0.89957700000000007</v>
      </c>
      <c r="Q14" s="179" t="s">
        <v>63</v>
      </c>
    </row>
    <row r="15" spans="1:31" ht="15.75" thickBot="1">
      <c r="A15" s="181"/>
      <c r="B15" s="195"/>
      <c r="C15" s="195"/>
      <c r="D15" s="185"/>
      <c r="F15" s="191"/>
      <c r="G15" s="191"/>
      <c r="H15" s="191"/>
      <c r="I15" s="191"/>
      <c r="J15" s="191"/>
      <c r="K15" s="191"/>
      <c r="L15" s="191"/>
      <c r="M15" s="193" t="s">
        <v>61</v>
      </c>
      <c r="N15" s="191"/>
      <c r="O15" s="191"/>
      <c r="P15" s="180"/>
      <c r="Q15" s="172" t="s">
        <v>63</v>
      </c>
    </row>
    <row r="16" spans="1:31">
      <c r="A16" s="181"/>
      <c r="B16" s="195"/>
      <c r="C16" s="195"/>
      <c r="D16" s="185"/>
      <c r="F16" s="191"/>
      <c r="G16" s="191"/>
      <c r="H16" s="191"/>
      <c r="I16" s="191"/>
      <c r="J16" s="191"/>
      <c r="K16" s="191"/>
      <c r="L16" s="191"/>
      <c r="M16" s="197" t="s">
        <v>61</v>
      </c>
      <c r="N16" s="173">
        <f>SUM(N5:N15)</f>
        <v>0.71760000000000013</v>
      </c>
      <c r="O16" s="174" t="s">
        <v>62</v>
      </c>
      <c r="P16" s="202">
        <f>N16*M2</f>
        <v>0.57408000000000015</v>
      </c>
      <c r="Q16" s="203" t="s">
        <v>77</v>
      </c>
      <c r="AE16" s="12"/>
    </row>
    <row r="17" spans="1:20" ht="15.75" thickBot="1">
      <c r="A17" s="198"/>
      <c r="B17" s="199"/>
      <c r="C17" s="199"/>
      <c r="D17" s="200"/>
      <c r="E17" s="201"/>
      <c r="F17" s="201"/>
      <c r="G17" s="289"/>
      <c r="H17" s="201"/>
      <c r="I17" s="201"/>
      <c r="J17" s="201"/>
      <c r="K17" s="201"/>
      <c r="L17" s="201"/>
      <c r="M17" s="201"/>
      <c r="N17" s="175">
        <f>N16*9.81</f>
        <v>7.0396560000000017</v>
      </c>
      <c r="O17" s="176" t="s">
        <v>63</v>
      </c>
      <c r="P17" s="177">
        <f>P16*9.81*2</f>
        <v>11.263449600000003</v>
      </c>
      <c r="Q17" s="178" t="s">
        <v>78</v>
      </c>
    </row>
    <row r="18" spans="1:20" ht="15.75" thickBot="1">
      <c r="A18" s="23"/>
      <c r="D18" s="24"/>
      <c r="O18" s="24"/>
      <c r="P18" s="29"/>
      <c r="R18" s="10">
        <f>586.5*N17</f>
        <v>4128.7582440000006</v>
      </c>
      <c r="S18" s="10">
        <v>585.34699999999998</v>
      </c>
    </row>
    <row r="19" spans="1:20" ht="15.75" thickBot="1">
      <c r="A19" s="301" t="s">
        <v>79</v>
      </c>
      <c r="B19" s="302"/>
      <c r="C19" s="302"/>
      <c r="D19" s="302"/>
      <c r="E19" s="300" t="s">
        <v>57</v>
      </c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4"/>
      <c r="Q19" s="305"/>
      <c r="S19" s="10">
        <v>580.125</v>
      </c>
    </row>
    <row r="20" spans="1:20">
      <c r="A20" s="23"/>
      <c r="B20" s="164" t="s">
        <v>80</v>
      </c>
      <c r="E20" s="30" t="s">
        <v>81</v>
      </c>
      <c r="P20" s="221"/>
      <c r="Q20" s="165"/>
      <c r="S20" s="10">
        <f>4.906*4</f>
        <v>19.623999999999999</v>
      </c>
    </row>
    <row r="21" spans="1:20">
      <c r="A21" s="23"/>
      <c r="B21" s="10" t="s">
        <v>82</v>
      </c>
      <c r="E21" s="23"/>
      <c r="H21" s="29">
        <v>0.06</v>
      </c>
      <c r="I21" s="10" t="s">
        <v>25</v>
      </c>
      <c r="J21" s="10" t="s">
        <v>1</v>
      </c>
      <c r="K21" s="166">
        <v>2.4</v>
      </c>
      <c r="L21" s="10" t="s">
        <v>60</v>
      </c>
      <c r="M21" s="167" t="s">
        <v>61</v>
      </c>
      <c r="N21" s="168">
        <f>H21*K21</f>
        <v>0.14399999999999999</v>
      </c>
      <c r="O21" s="10" t="s">
        <v>62</v>
      </c>
      <c r="P21" s="169">
        <f t="shared" ref="P21:P26" si="1">N21*9.81</f>
        <v>1.4126399999999999</v>
      </c>
      <c r="Q21" s="25" t="s">
        <v>63</v>
      </c>
      <c r="S21" s="10">
        <f>13.395*2</f>
        <v>26.79</v>
      </c>
    </row>
    <row r="22" spans="1:20">
      <c r="A22" s="23"/>
      <c r="B22" s="10" t="s">
        <v>64</v>
      </c>
      <c r="E22" s="23">
        <v>0.15</v>
      </c>
      <c r="F22" s="10" t="s">
        <v>25</v>
      </c>
      <c r="G22" s="26" t="s">
        <v>1</v>
      </c>
      <c r="H22" s="29">
        <f>H6</f>
        <v>0.34</v>
      </c>
      <c r="I22" s="10" t="s">
        <v>25</v>
      </c>
      <c r="J22" s="10" t="s">
        <v>1</v>
      </c>
      <c r="K22" s="166">
        <v>2.4</v>
      </c>
      <c r="L22" s="10" t="s">
        <v>60</v>
      </c>
      <c r="M22" s="167" t="s">
        <v>61</v>
      </c>
      <c r="N22" s="168">
        <f>E22*H22*K22/M2</f>
        <v>0.153</v>
      </c>
      <c r="O22" s="10" t="s">
        <v>62</v>
      </c>
      <c r="P22" s="169">
        <f t="shared" si="1"/>
        <v>1.5009300000000001</v>
      </c>
      <c r="Q22" s="25" t="s">
        <v>83</v>
      </c>
      <c r="S22" s="10">
        <f>+S19-S20-S21</f>
        <v>533.71100000000001</v>
      </c>
    </row>
    <row r="23" spans="1:20">
      <c r="A23" s="23"/>
      <c r="B23" s="10" t="s">
        <v>66</v>
      </c>
      <c r="E23" s="23"/>
      <c r="H23" s="29">
        <v>0.03</v>
      </c>
      <c r="I23" s="10" t="s">
        <v>25</v>
      </c>
      <c r="J23" s="10" t="s">
        <v>1</v>
      </c>
      <c r="K23" s="166">
        <v>2.2999999999999998</v>
      </c>
      <c r="L23" s="10" t="s">
        <v>60</v>
      </c>
      <c r="M23" s="167" t="s">
        <v>61</v>
      </c>
      <c r="N23" s="10">
        <f>H23*K23</f>
        <v>6.8999999999999992E-2</v>
      </c>
      <c r="O23" s="10" t="s">
        <v>62</v>
      </c>
      <c r="P23" s="169">
        <f t="shared" si="1"/>
        <v>0.67688999999999999</v>
      </c>
      <c r="Q23" s="25" t="s">
        <v>84</v>
      </c>
    </row>
    <row r="24" spans="1:20">
      <c r="A24" s="23"/>
      <c r="B24" s="10" t="s">
        <v>85</v>
      </c>
      <c r="E24" s="23"/>
      <c r="H24" s="10">
        <v>0.01</v>
      </c>
      <c r="I24" s="10" t="s">
        <v>60</v>
      </c>
      <c r="M24" s="167" t="s">
        <v>61</v>
      </c>
      <c r="N24" s="10">
        <f>H24</f>
        <v>0.01</v>
      </c>
      <c r="O24" s="10" t="s">
        <v>62</v>
      </c>
      <c r="P24" s="169">
        <f t="shared" si="1"/>
        <v>9.8100000000000007E-2</v>
      </c>
      <c r="Q24" s="25" t="s">
        <v>86</v>
      </c>
      <c r="R24" s="22" t="s">
        <v>87</v>
      </c>
      <c r="S24" s="22"/>
      <c r="T24" s="22"/>
    </row>
    <row r="25" spans="1:20">
      <c r="A25" s="23"/>
      <c r="B25" s="10" t="s">
        <v>70</v>
      </c>
      <c r="E25" s="23"/>
      <c r="H25" s="10">
        <v>0.05</v>
      </c>
      <c r="I25" s="10" t="s">
        <v>60</v>
      </c>
      <c r="M25" s="167" t="s">
        <v>61</v>
      </c>
      <c r="N25" s="10">
        <f>H25</f>
        <v>0.05</v>
      </c>
      <c r="O25" s="10" t="s">
        <v>62</v>
      </c>
      <c r="P25" s="169">
        <f t="shared" si="1"/>
        <v>0.49050000000000005</v>
      </c>
      <c r="Q25" s="25" t="s">
        <v>88</v>
      </c>
      <c r="R25" s="22" t="s">
        <v>89</v>
      </c>
      <c r="S25" s="22"/>
      <c r="T25" s="22"/>
    </row>
    <row r="26" spans="1:20" ht="15.75" thickBot="1">
      <c r="A26" s="23"/>
      <c r="B26" s="10" t="s">
        <v>72</v>
      </c>
      <c r="E26" s="23"/>
      <c r="H26" s="10">
        <v>0.02</v>
      </c>
      <c r="I26" s="10" t="s">
        <v>60</v>
      </c>
      <c r="M26" s="167" t="s">
        <v>61</v>
      </c>
      <c r="N26" s="10">
        <f>H26</f>
        <v>0.02</v>
      </c>
      <c r="O26" s="10" t="s">
        <v>62</v>
      </c>
      <c r="P26" s="169">
        <f t="shared" si="1"/>
        <v>0.19620000000000001</v>
      </c>
      <c r="Q26" s="25" t="s">
        <v>90</v>
      </c>
      <c r="R26" s="22" t="s">
        <v>91</v>
      </c>
    </row>
    <row r="27" spans="1:20">
      <c r="A27" s="23"/>
      <c r="E27" s="23"/>
      <c r="M27" s="219" t="s">
        <v>61</v>
      </c>
      <c r="N27" s="27">
        <f>SUM(N21:N26)</f>
        <v>0.44600000000000001</v>
      </c>
      <c r="O27" s="157" t="s">
        <v>62</v>
      </c>
      <c r="P27" s="222">
        <f>N27*M2</f>
        <v>0.35680000000000001</v>
      </c>
      <c r="Q27" s="220" t="s">
        <v>77</v>
      </c>
      <c r="R27" s="22" t="s">
        <v>73</v>
      </c>
    </row>
    <row r="28" spans="1:20" ht="15.75" thickBot="1">
      <c r="A28" s="32"/>
      <c r="B28" s="33"/>
      <c r="C28" s="33"/>
      <c r="D28" s="33"/>
      <c r="E28" s="32"/>
      <c r="F28" s="33"/>
      <c r="G28" s="33"/>
      <c r="H28" s="33"/>
      <c r="I28" s="33"/>
      <c r="J28" s="33"/>
      <c r="K28" s="33"/>
      <c r="L28" s="33"/>
      <c r="M28" s="33"/>
      <c r="N28" s="170">
        <f>N27*9.81</f>
        <v>4.3752599999999999</v>
      </c>
      <c r="O28" s="33" t="s">
        <v>92</v>
      </c>
      <c r="P28" s="158">
        <f>P27*9.81*2</f>
        <v>7.0004160000000004</v>
      </c>
      <c r="Q28" s="28" t="s">
        <v>78</v>
      </c>
    </row>
    <row r="29" spans="1:20">
      <c r="E29" s="23"/>
      <c r="O29" s="24"/>
      <c r="P29" s="29"/>
      <c r="R29" s="10">
        <f>N28*586.5</f>
        <v>2566.0899899999999</v>
      </c>
    </row>
    <row r="30" spans="1:20">
      <c r="E30" s="23"/>
      <c r="O30" s="24"/>
      <c r="P30" s="29"/>
    </row>
    <row r="31" spans="1:20">
      <c r="E31" s="23"/>
      <c r="O31" s="24"/>
      <c r="P31" s="29"/>
    </row>
    <row r="32" spans="1:20" ht="15.75" thickBot="1">
      <c r="E32" s="23"/>
      <c r="O32" s="24"/>
      <c r="P32" s="29"/>
    </row>
    <row r="33" spans="1:18">
      <c r="A33" s="255" t="s">
        <v>93</v>
      </c>
      <c r="B33" s="256"/>
      <c r="C33" s="256"/>
      <c r="D33" s="256"/>
      <c r="E33" s="257"/>
      <c r="F33" s="256"/>
      <c r="G33" s="256"/>
      <c r="H33" s="256"/>
      <c r="I33" s="256"/>
      <c r="J33" s="256"/>
      <c r="K33" s="256"/>
      <c r="L33" s="256"/>
      <c r="M33" s="256"/>
      <c r="N33" s="256"/>
      <c r="O33" s="165"/>
      <c r="P33" s="258"/>
      <c r="Q33" s="165"/>
    </row>
    <row r="34" spans="1:18" ht="15.75" thickBot="1">
      <c r="A34" s="30" t="s">
        <v>56</v>
      </c>
      <c r="E34" s="23"/>
      <c r="O34" s="24"/>
      <c r="P34" s="29"/>
      <c r="Q34" s="24"/>
    </row>
    <row r="35" spans="1:18">
      <c r="A35" s="23"/>
      <c r="B35" s="22" t="s">
        <v>94</v>
      </c>
      <c r="E35" s="23"/>
      <c r="H35" s="22">
        <v>0.18</v>
      </c>
      <c r="I35" s="22" t="s">
        <v>60</v>
      </c>
      <c r="M35" s="259" t="s">
        <v>61</v>
      </c>
      <c r="N35" s="270">
        <f>H35</f>
        <v>0.18</v>
      </c>
      <c r="O35" s="271" t="s">
        <v>62</v>
      </c>
      <c r="P35" s="272">
        <f>N35*M2</f>
        <v>0.14399999999999999</v>
      </c>
      <c r="Q35" s="273" t="s">
        <v>77</v>
      </c>
    </row>
    <row r="36" spans="1:18" ht="15.75" thickBot="1">
      <c r="A36" s="23"/>
      <c r="E36" s="23"/>
      <c r="N36" s="170">
        <f>N35*10</f>
        <v>1.7999999999999998</v>
      </c>
      <c r="O36" s="262" t="s">
        <v>92</v>
      </c>
      <c r="P36" s="263">
        <f>P35*2*9.81</f>
        <v>2.8252799999999998</v>
      </c>
      <c r="Q36" s="28" t="s">
        <v>78</v>
      </c>
      <c r="R36" s="10" t="s">
        <v>95</v>
      </c>
    </row>
    <row r="37" spans="1:18">
      <c r="A37" s="264" t="s">
        <v>96</v>
      </c>
      <c r="B37" s="256"/>
      <c r="C37" s="256"/>
      <c r="D37" s="165"/>
      <c r="E37" s="257"/>
      <c r="F37" s="256"/>
      <c r="G37" s="256"/>
      <c r="H37" s="256"/>
      <c r="I37" s="256"/>
      <c r="J37" s="256"/>
      <c r="K37" s="256"/>
      <c r="L37" s="256"/>
      <c r="M37" s="256"/>
      <c r="N37" s="257"/>
      <c r="O37" s="165"/>
      <c r="P37" s="258"/>
      <c r="Q37" s="165"/>
    </row>
    <row r="38" spans="1:18">
      <c r="A38" s="23"/>
      <c r="B38" s="10" t="s">
        <v>94</v>
      </c>
      <c r="D38" s="24"/>
      <c r="E38" s="23"/>
      <c r="H38" s="22"/>
      <c r="I38" s="22" t="s">
        <v>60</v>
      </c>
      <c r="J38" s="22"/>
      <c r="K38" s="265"/>
      <c r="M38" s="259" t="s">
        <v>61</v>
      </c>
      <c r="N38" s="274">
        <v>0.5</v>
      </c>
      <c r="O38" s="31" t="s">
        <v>62</v>
      </c>
      <c r="P38" s="260">
        <f>N38*M2</f>
        <v>0.4</v>
      </c>
      <c r="Q38" s="261" t="s">
        <v>77</v>
      </c>
    </row>
    <row r="39" spans="1:18" ht="15.75" thickBot="1">
      <c r="A39" s="32"/>
      <c r="B39" s="33"/>
      <c r="C39" s="33"/>
      <c r="D39" s="262"/>
      <c r="E39" s="32"/>
      <c r="F39" s="33"/>
      <c r="G39" s="33"/>
      <c r="H39" s="33"/>
      <c r="I39" s="33"/>
      <c r="J39" s="33"/>
      <c r="K39" s="33"/>
      <c r="L39" s="33"/>
      <c r="M39" s="33"/>
      <c r="N39" s="32">
        <f>N38*10</f>
        <v>5</v>
      </c>
      <c r="O39" s="262" t="s">
        <v>92</v>
      </c>
      <c r="P39" s="263">
        <f>P38*2*9.81</f>
        <v>7.8480000000000008</v>
      </c>
      <c r="Q39" s="28" t="s">
        <v>78</v>
      </c>
      <c r="R39" s="10" t="s">
        <v>95</v>
      </c>
    </row>
    <row r="40" spans="1:18">
      <c r="A40" s="257" t="s">
        <v>97</v>
      </c>
      <c r="B40" s="256"/>
      <c r="C40" s="256"/>
      <c r="D40" s="256"/>
      <c r="E40" s="257"/>
      <c r="F40" s="256"/>
      <c r="G40" s="256"/>
      <c r="H40" s="256"/>
      <c r="I40" s="256"/>
      <c r="J40" s="256"/>
      <c r="K40" s="256"/>
      <c r="L40" s="256"/>
      <c r="M40" s="256"/>
      <c r="N40" s="256"/>
      <c r="O40" s="165"/>
      <c r="P40" s="257"/>
      <c r="Q40" s="165"/>
    </row>
    <row r="41" spans="1:18" ht="15.75" thickBot="1">
      <c r="A41" s="23"/>
      <c r="B41" s="10" t="s">
        <v>94</v>
      </c>
      <c r="E41" s="23"/>
      <c r="H41" s="34">
        <v>0.5</v>
      </c>
      <c r="I41" s="34" t="s">
        <v>60</v>
      </c>
      <c r="J41" s="34"/>
      <c r="K41" s="35"/>
      <c r="N41" s="36">
        <f>H41</f>
        <v>0.5</v>
      </c>
      <c r="O41" s="37" t="s">
        <v>62</v>
      </c>
      <c r="P41" s="23"/>
      <c r="Q41" s="24"/>
    </row>
    <row r="42" spans="1:18">
      <c r="A42" s="23"/>
      <c r="E42" s="23"/>
      <c r="O42" s="24"/>
      <c r="P42" s="23"/>
      <c r="Q42" s="24"/>
    </row>
    <row r="43" spans="1:18" ht="15.75" thickBot="1">
      <c r="A43" s="32"/>
      <c r="B43" s="33"/>
      <c r="C43" s="33"/>
      <c r="D43" s="33"/>
      <c r="E43" s="32"/>
      <c r="F43" s="33"/>
      <c r="G43" s="33"/>
      <c r="H43" s="33"/>
      <c r="I43" s="33"/>
      <c r="J43" s="33"/>
      <c r="K43" s="33"/>
      <c r="L43" s="33"/>
      <c r="M43" s="33"/>
      <c r="N43" s="33">
        <f>+N41*10</f>
        <v>5</v>
      </c>
      <c r="O43" s="262" t="s">
        <v>92</v>
      </c>
      <c r="P43" s="32"/>
      <c r="Q43" s="262"/>
    </row>
    <row r="44" spans="1:18">
      <c r="A44" s="257" t="s">
        <v>98</v>
      </c>
      <c r="B44" s="256"/>
      <c r="C44" s="256"/>
      <c r="D44" s="256"/>
      <c r="E44" s="257">
        <v>3.5</v>
      </c>
      <c r="F44" s="256" t="s">
        <v>25</v>
      </c>
      <c r="G44" s="256" t="s">
        <v>1</v>
      </c>
      <c r="H44" s="256">
        <v>2.5</v>
      </c>
      <c r="I44" s="256" t="s">
        <v>63</v>
      </c>
      <c r="J44" s="256"/>
      <c r="K44" s="256"/>
      <c r="L44" s="256"/>
      <c r="M44" s="256" t="s">
        <v>61</v>
      </c>
      <c r="N44" s="266">
        <f>H44*E44</f>
        <v>8.75</v>
      </c>
      <c r="O44" s="267" t="s">
        <v>78</v>
      </c>
      <c r="P44" s="266">
        <f>N44/2</f>
        <v>4.375</v>
      </c>
      <c r="Q44" s="267" t="s">
        <v>78</v>
      </c>
    </row>
    <row r="45" spans="1:18">
      <c r="A45" s="23"/>
      <c r="E45" s="23"/>
      <c r="O45" s="24"/>
      <c r="P45" s="10" t="s">
        <v>99</v>
      </c>
      <c r="Q45" s="24"/>
    </row>
    <row r="46" spans="1:18">
      <c r="A46" s="23"/>
      <c r="E46" s="23"/>
      <c r="O46" s="24"/>
      <c r="Q46" s="24"/>
    </row>
    <row r="47" spans="1:18" ht="15.75" thickBot="1">
      <c r="A47" s="32"/>
      <c r="B47" s="33"/>
      <c r="C47" s="33"/>
      <c r="D47" s="33"/>
      <c r="E47" s="32">
        <v>3</v>
      </c>
      <c r="F47" s="33" t="s">
        <v>25</v>
      </c>
      <c r="G47" s="33" t="s">
        <v>1</v>
      </c>
      <c r="H47" s="33">
        <v>2.5</v>
      </c>
      <c r="I47" s="33" t="s">
        <v>63</v>
      </c>
      <c r="J47" s="33"/>
      <c r="K47" s="33"/>
      <c r="L47" s="33"/>
      <c r="M47" s="33" t="s">
        <v>61</v>
      </c>
      <c r="N47" s="268">
        <f>H47*E47</f>
        <v>7.5</v>
      </c>
      <c r="O47" s="269" t="s">
        <v>78</v>
      </c>
      <c r="P47" s="268">
        <f>N47/2</f>
        <v>3.75</v>
      </c>
      <c r="Q47" s="269" t="s">
        <v>78</v>
      </c>
    </row>
  </sheetData>
  <mergeCells count="6">
    <mergeCell ref="A1:C1"/>
    <mergeCell ref="A2:B2"/>
    <mergeCell ref="A3:D3"/>
    <mergeCell ref="E3:Q3"/>
    <mergeCell ref="A19:D19"/>
    <mergeCell ref="E19:Q1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B6FC-F90C-4E28-898C-4DD34855DF22}">
  <sheetPr>
    <tabColor theme="0"/>
  </sheetPr>
  <dimension ref="A1:X49"/>
  <sheetViews>
    <sheetView topLeftCell="A83" zoomScale="110" zoomScaleNormal="110" workbookViewId="0">
      <selection activeCell="G2" sqref="G2"/>
    </sheetView>
  </sheetViews>
  <sheetFormatPr defaultColWidth="11.42578125" defaultRowHeight="15"/>
  <sheetData>
    <row r="1" spans="1:24" ht="30.75" thickBot="1">
      <c r="B1" s="319" t="s">
        <v>100</v>
      </c>
      <c r="C1" s="320"/>
      <c r="D1" s="320"/>
      <c r="E1" s="320"/>
      <c r="F1" s="321"/>
      <c r="G1" s="122"/>
      <c r="I1" s="93" t="s">
        <v>101</v>
      </c>
      <c r="S1" s="322" t="s">
        <v>102</v>
      </c>
      <c r="T1" s="323"/>
      <c r="U1" s="8"/>
      <c r="V1" s="8"/>
      <c r="W1" s="8"/>
      <c r="X1" s="8"/>
    </row>
    <row r="2" spans="1:24" ht="45.75" thickBot="1">
      <c r="B2" s="123" t="s">
        <v>103</v>
      </c>
      <c r="C2" s="124" t="s">
        <v>104</v>
      </c>
      <c r="D2" s="124" t="s">
        <v>105</v>
      </c>
      <c r="E2" s="124" t="s">
        <v>106</v>
      </c>
      <c r="F2" s="125" t="s">
        <v>107</v>
      </c>
      <c r="I2" s="94">
        <v>1</v>
      </c>
      <c r="S2" s="84" t="s">
        <v>103</v>
      </c>
      <c r="T2" s="86" t="s">
        <v>108</v>
      </c>
    </row>
    <row r="3" spans="1:24" ht="15.75" thickBot="1">
      <c r="B3" s="324" t="s">
        <v>109</v>
      </c>
      <c r="C3" s="325"/>
      <c r="D3" s="123" t="s">
        <v>63</v>
      </c>
      <c r="E3" s="126">
        <v>3</v>
      </c>
      <c r="F3" s="127">
        <v>0.25</v>
      </c>
      <c r="S3" s="87" t="s">
        <v>109</v>
      </c>
      <c r="T3" s="88">
        <v>2.5</v>
      </c>
    </row>
    <row r="4" spans="1:24">
      <c r="A4" t="s">
        <v>110</v>
      </c>
      <c r="B4" s="128">
        <v>1</v>
      </c>
      <c r="C4" s="129">
        <v>3.85</v>
      </c>
      <c r="D4" s="130">
        <v>5</v>
      </c>
      <c r="E4" s="130">
        <f>$E$3*((D4))*3.5</f>
        <v>52.5</v>
      </c>
      <c r="F4" s="130">
        <f>$F$3*((D4))</f>
        <v>1.25</v>
      </c>
      <c r="S4" s="92">
        <v>1</v>
      </c>
      <c r="T4" s="91">
        <f>$T$3*((D4))</f>
        <v>12.5</v>
      </c>
    </row>
    <row r="5" spans="1:24">
      <c r="A5" t="s">
        <v>110</v>
      </c>
      <c r="B5" s="89">
        <v>2</v>
      </c>
      <c r="C5" s="90">
        <v>3.9</v>
      </c>
      <c r="D5" s="91">
        <v>5.07</v>
      </c>
      <c r="E5" s="130">
        <f>$E$3*((D5))*3.5</f>
        <v>53.234999999999999</v>
      </c>
      <c r="F5" s="91">
        <f t="shared" ref="F5:F47" si="0">$F$3*((D5))</f>
        <v>1.2675000000000001</v>
      </c>
      <c r="S5" s="92">
        <v>2</v>
      </c>
      <c r="T5" s="91">
        <f t="shared" ref="T5:T43" si="1">$T$3*((D5))</f>
        <v>12.675000000000001</v>
      </c>
    </row>
    <row r="6" spans="1:24">
      <c r="A6" t="s">
        <v>110</v>
      </c>
      <c r="B6" s="89">
        <v>3</v>
      </c>
      <c r="C6" s="90">
        <v>3.9</v>
      </c>
      <c r="D6" s="91">
        <v>5.07</v>
      </c>
      <c r="E6" s="130">
        <f>$E$3*((D6))*3.5</f>
        <v>53.234999999999999</v>
      </c>
      <c r="F6" s="91">
        <f t="shared" si="0"/>
        <v>1.2675000000000001</v>
      </c>
      <c r="S6" s="92">
        <v>3</v>
      </c>
      <c r="T6" s="91">
        <f t="shared" si="1"/>
        <v>12.675000000000001</v>
      </c>
    </row>
    <row r="7" spans="1:24">
      <c r="A7" t="s">
        <v>110</v>
      </c>
      <c r="B7" s="89">
        <v>4</v>
      </c>
      <c r="C7" s="90">
        <v>3.85</v>
      </c>
      <c r="D7" s="91">
        <v>5</v>
      </c>
      <c r="E7" s="130">
        <f>$E$3*((D7))*3.5</f>
        <v>52.5</v>
      </c>
      <c r="F7" s="91">
        <f t="shared" si="0"/>
        <v>1.25</v>
      </c>
      <c r="S7" s="92">
        <v>4</v>
      </c>
      <c r="T7" s="91">
        <f t="shared" si="1"/>
        <v>12.5</v>
      </c>
    </row>
    <row r="8" spans="1:24">
      <c r="B8" s="89">
        <v>5</v>
      </c>
      <c r="C8" s="90">
        <v>3.85</v>
      </c>
      <c r="D8" s="91">
        <f>5+7.02</f>
        <v>12.02</v>
      </c>
      <c r="E8" s="91"/>
      <c r="F8" s="91">
        <f t="shared" si="0"/>
        <v>3.0049999999999999</v>
      </c>
      <c r="S8" s="92">
        <v>5</v>
      </c>
      <c r="T8" s="91">
        <f t="shared" si="1"/>
        <v>30.049999999999997</v>
      </c>
    </row>
    <row r="9" spans="1:24">
      <c r="B9" s="89">
        <v>6</v>
      </c>
      <c r="C9" s="90">
        <v>3.64</v>
      </c>
      <c r="D9" s="91">
        <f>5.07+17.116</f>
        <v>22.186</v>
      </c>
      <c r="E9" s="91"/>
      <c r="F9" s="91">
        <f t="shared" si="0"/>
        <v>5.5465</v>
      </c>
      <c r="S9" s="92">
        <v>6</v>
      </c>
      <c r="T9" s="91">
        <f t="shared" si="1"/>
        <v>55.465000000000003</v>
      </c>
    </row>
    <row r="10" spans="1:24">
      <c r="B10" s="89">
        <v>7</v>
      </c>
      <c r="C10" s="90">
        <v>3.64</v>
      </c>
      <c r="D10" s="91">
        <f>D9</f>
        <v>22.186</v>
      </c>
      <c r="E10" s="91"/>
      <c r="F10" s="91">
        <f t="shared" si="0"/>
        <v>5.5465</v>
      </c>
      <c r="S10" s="92">
        <v>7</v>
      </c>
      <c r="T10" s="91">
        <f t="shared" si="1"/>
        <v>55.465000000000003</v>
      </c>
    </row>
    <row r="11" spans="1:24">
      <c r="B11" s="89">
        <v>8</v>
      </c>
      <c r="C11" s="90">
        <v>3.85</v>
      </c>
      <c r="D11" s="91">
        <f>D8</f>
        <v>12.02</v>
      </c>
      <c r="E11" s="91"/>
      <c r="F11" s="91">
        <f t="shared" si="0"/>
        <v>3.0049999999999999</v>
      </c>
      <c r="S11" s="92">
        <v>8</v>
      </c>
      <c r="T11" s="91">
        <f t="shared" si="1"/>
        <v>30.049999999999997</v>
      </c>
    </row>
    <row r="12" spans="1:24">
      <c r="B12" s="89">
        <v>9</v>
      </c>
      <c r="C12" s="90">
        <v>3.7</v>
      </c>
      <c r="D12" s="91">
        <f>6.75+4.81</f>
        <v>11.559999999999999</v>
      </c>
      <c r="E12" s="91"/>
      <c r="F12" s="91">
        <f t="shared" si="0"/>
        <v>2.8899999999999997</v>
      </c>
      <c r="S12" s="92">
        <v>9</v>
      </c>
      <c r="T12" s="91">
        <f t="shared" si="1"/>
        <v>28.9</v>
      </c>
    </row>
    <row r="13" spans="1:24">
      <c r="B13" s="89">
        <v>10</v>
      </c>
      <c r="C13" s="90">
        <v>3.7</v>
      </c>
      <c r="D13" s="91">
        <f>D12</f>
        <v>11.559999999999999</v>
      </c>
      <c r="E13" s="91"/>
      <c r="F13" s="91">
        <f t="shared" si="0"/>
        <v>2.8899999999999997</v>
      </c>
      <c r="S13" s="92">
        <v>10</v>
      </c>
      <c r="T13" s="91">
        <f t="shared" si="1"/>
        <v>28.9</v>
      </c>
    </row>
    <row r="14" spans="1:24">
      <c r="B14" s="89">
        <v>11</v>
      </c>
      <c r="C14" s="90">
        <v>3.7</v>
      </c>
      <c r="D14" s="91">
        <f>4.81*2</f>
        <v>9.6199999999999992</v>
      </c>
      <c r="E14" s="91"/>
      <c r="F14" s="91">
        <f t="shared" si="0"/>
        <v>2.4049999999999998</v>
      </c>
      <c r="S14" s="92">
        <v>11</v>
      </c>
      <c r="T14" s="91">
        <f t="shared" si="1"/>
        <v>24.049999999999997</v>
      </c>
    </row>
    <row r="15" spans="1:24">
      <c r="B15" s="89">
        <v>12</v>
      </c>
      <c r="C15" s="90">
        <v>3.73</v>
      </c>
      <c r="D15" s="91">
        <f>4.66+17.116</f>
        <v>21.776</v>
      </c>
      <c r="E15" s="91"/>
      <c r="F15" s="91">
        <f t="shared" si="0"/>
        <v>5.444</v>
      </c>
      <c r="S15" s="92">
        <v>12</v>
      </c>
      <c r="T15" s="91">
        <f t="shared" si="1"/>
        <v>54.44</v>
      </c>
    </row>
    <row r="16" spans="1:24">
      <c r="B16" s="89">
        <v>13</v>
      </c>
      <c r="C16" s="90">
        <v>3.73</v>
      </c>
      <c r="D16" s="91">
        <f>D15</f>
        <v>21.776</v>
      </c>
      <c r="E16" s="91"/>
      <c r="F16" s="91">
        <f t="shared" si="0"/>
        <v>5.444</v>
      </c>
      <c r="S16" s="92">
        <v>13</v>
      </c>
      <c r="T16" s="91">
        <f t="shared" si="1"/>
        <v>54.44</v>
      </c>
    </row>
    <row r="17" spans="2:20">
      <c r="B17" s="89">
        <v>14</v>
      </c>
      <c r="C17" s="90">
        <v>3.7</v>
      </c>
      <c r="D17" s="91">
        <f>D14</f>
        <v>9.6199999999999992</v>
      </c>
      <c r="E17" s="91"/>
      <c r="F17" s="91">
        <f t="shared" si="0"/>
        <v>2.4049999999999998</v>
      </c>
      <c r="S17" s="92">
        <v>14</v>
      </c>
      <c r="T17" s="91">
        <f t="shared" si="1"/>
        <v>24.049999999999997</v>
      </c>
    </row>
    <row r="18" spans="2:20">
      <c r="B18" s="89">
        <v>15</v>
      </c>
      <c r="C18" s="90">
        <v>3.7</v>
      </c>
      <c r="D18" s="91">
        <f>4.81+7.4</f>
        <v>12.21</v>
      </c>
      <c r="E18" s="91"/>
      <c r="F18" s="91">
        <f t="shared" si="0"/>
        <v>3.0525000000000002</v>
      </c>
      <c r="S18" s="92">
        <v>15</v>
      </c>
      <c r="T18" s="91">
        <f t="shared" si="1"/>
        <v>30.525000000000002</v>
      </c>
    </row>
    <row r="19" spans="2:20">
      <c r="B19" s="89">
        <v>16</v>
      </c>
      <c r="C19" s="90">
        <v>3.73</v>
      </c>
      <c r="D19" s="91">
        <f>4.66+7.46</f>
        <v>12.120000000000001</v>
      </c>
      <c r="E19" s="91"/>
      <c r="F19" s="91">
        <f t="shared" si="0"/>
        <v>3.0300000000000002</v>
      </c>
      <c r="S19" s="92">
        <v>16</v>
      </c>
      <c r="T19" s="91">
        <f t="shared" si="1"/>
        <v>30.300000000000004</v>
      </c>
    </row>
    <row r="20" spans="2:20">
      <c r="B20" s="89">
        <v>17</v>
      </c>
      <c r="C20" s="90">
        <v>3.73</v>
      </c>
      <c r="D20" s="91">
        <f>D19</f>
        <v>12.120000000000001</v>
      </c>
      <c r="E20" s="91"/>
      <c r="F20" s="91">
        <f t="shared" si="0"/>
        <v>3.0300000000000002</v>
      </c>
      <c r="S20" s="92">
        <v>17</v>
      </c>
      <c r="T20" s="91">
        <f t="shared" si="1"/>
        <v>30.300000000000004</v>
      </c>
    </row>
    <row r="21" spans="2:20">
      <c r="B21" s="89">
        <v>18</v>
      </c>
      <c r="C21" s="90">
        <v>3.7</v>
      </c>
      <c r="D21" s="91">
        <f>D18</f>
        <v>12.21</v>
      </c>
      <c r="E21" s="91"/>
      <c r="F21" s="91">
        <f t="shared" si="0"/>
        <v>3.0525000000000002</v>
      </c>
      <c r="S21" s="92">
        <v>18</v>
      </c>
      <c r="T21" s="91">
        <f t="shared" si="1"/>
        <v>30.525000000000002</v>
      </c>
    </row>
    <row r="22" spans="2:20">
      <c r="B22" s="89">
        <v>19</v>
      </c>
      <c r="C22" s="90">
        <v>2.5</v>
      </c>
      <c r="D22" s="91">
        <f>5+6.875</f>
        <v>11.875</v>
      </c>
      <c r="E22" s="91"/>
      <c r="F22" s="91">
        <f t="shared" si="0"/>
        <v>2.96875</v>
      </c>
      <c r="S22" s="92">
        <v>19</v>
      </c>
      <c r="T22" s="91">
        <f t="shared" si="1"/>
        <v>29.6875</v>
      </c>
    </row>
    <row r="23" spans="2:20">
      <c r="B23" s="89">
        <v>20</v>
      </c>
      <c r="C23" s="90">
        <v>4.92</v>
      </c>
      <c r="D23" s="91">
        <f>9.84+13.53</f>
        <v>23.369999999999997</v>
      </c>
      <c r="E23" s="91"/>
      <c r="F23" s="91">
        <f t="shared" si="0"/>
        <v>5.8424999999999994</v>
      </c>
      <c r="S23" s="92">
        <v>20</v>
      </c>
      <c r="T23" s="91">
        <f t="shared" si="1"/>
        <v>58.424999999999997</v>
      </c>
    </row>
    <row r="24" spans="2:20">
      <c r="B24" s="89">
        <v>21</v>
      </c>
      <c r="C24" s="90">
        <v>4.92</v>
      </c>
      <c r="D24" s="91">
        <f>D23</f>
        <v>23.369999999999997</v>
      </c>
      <c r="E24" s="91"/>
      <c r="F24" s="91">
        <f t="shared" si="0"/>
        <v>5.8424999999999994</v>
      </c>
      <c r="S24" s="92">
        <v>21</v>
      </c>
      <c r="T24" s="91">
        <f t="shared" si="1"/>
        <v>58.424999999999997</v>
      </c>
    </row>
    <row r="25" spans="2:20">
      <c r="B25" s="89">
        <v>22</v>
      </c>
      <c r="C25" s="90">
        <v>2.5</v>
      </c>
      <c r="D25" s="91">
        <f>5+6.875</f>
        <v>11.875</v>
      </c>
      <c r="E25" s="91"/>
      <c r="F25" s="91">
        <f t="shared" si="0"/>
        <v>2.96875</v>
      </c>
      <c r="S25" s="92">
        <v>22</v>
      </c>
      <c r="T25" s="91">
        <f t="shared" si="1"/>
        <v>29.6875</v>
      </c>
    </row>
    <row r="26" spans="2:20">
      <c r="B26" s="89">
        <v>23</v>
      </c>
      <c r="C26" s="90">
        <v>2.5</v>
      </c>
      <c r="D26" s="91">
        <f>6.875+5</f>
        <v>11.875</v>
      </c>
      <c r="E26" s="91"/>
      <c r="F26" s="91">
        <f t="shared" si="0"/>
        <v>2.96875</v>
      </c>
      <c r="S26" s="92">
        <v>23</v>
      </c>
      <c r="T26" s="91">
        <f t="shared" si="1"/>
        <v>29.6875</v>
      </c>
    </row>
    <row r="27" spans="2:20">
      <c r="B27" s="89">
        <v>24</v>
      </c>
      <c r="C27" s="90">
        <v>4.92</v>
      </c>
      <c r="D27" s="91">
        <f>13.53+9.84</f>
        <v>23.369999999999997</v>
      </c>
      <c r="E27" s="91"/>
      <c r="F27" s="91">
        <f t="shared" si="0"/>
        <v>5.8424999999999994</v>
      </c>
      <c r="S27" s="92">
        <v>24</v>
      </c>
      <c r="T27" s="91">
        <f t="shared" si="1"/>
        <v>58.424999999999997</v>
      </c>
    </row>
    <row r="28" spans="2:20">
      <c r="B28" s="89">
        <v>25</v>
      </c>
      <c r="C28" s="90">
        <v>4.92</v>
      </c>
      <c r="D28" s="91">
        <f>D27</f>
        <v>23.369999999999997</v>
      </c>
      <c r="E28" s="91"/>
      <c r="F28" s="91">
        <f t="shared" si="0"/>
        <v>5.8424999999999994</v>
      </c>
      <c r="S28" s="92">
        <v>25</v>
      </c>
      <c r="T28" s="91">
        <f t="shared" si="1"/>
        <v>58.424999999999997</v>
      </c>
    </row>
    <row r="29" spans="2:20">
      <c r="B29" s="89">
        <v>26</v>
      </c>
      <c r="C29" s="90">
        <v>2.5</v>
      </c>
      <c r="D29" s="91">
        <f>D26</f>
        <v>11.875</v>
      </c>
      <c r="E29" s="91"/>
      <c r="F29" s="91">
        <f t="shared" si="0"/>
        <v>2.96875</v>
      </c>
      <c r="S29" s="92">
        <v>26</v>
      </c>
      <c r="T29" s="91">
        <f t="shared" si="1"/>
        <v>29.6875</v>
      </c>
    </row>
    <row r="30" spans="2:20">
      <c r="B30" s="89">
        <v>27</v>
      </c>
      <c r="C30" s="90">
        <v>3.7</v>
      </c>
      <c r="D30" s="91">
        <f>7.4+4.625</f>
        <v>12.025</v>
      </c>
      <c r="E30" s="91"/>
      <c r="F30" s="91">
        <f t="shared" si="0"/>
        <v>3.0062500000000001</v>
      </c>
      <c r="S30" s="92">
        <v>27</v>
      </c>
      <c r="T30" s="91">
        <f t="shared" si="1"/>
        <v>30.0625</v>
      </c>
    </row>
    <row r="31" spans="2:20">
      <c r="B31" s="89">
        <v>28</v>
      </c>
      <c r="C31" s="90">
        <v>3.73</v>
      </c>
      <c r="D31" s="91">
        <f>7.46+4.66</f>
        <v>12.120000000000001</v>
      </c>
      <c r="E31" s="91"/>
      <c r="F31" s="91">
        <f t="shared" si="0"/>
        <v>3.0300000000000002</v>
      </c>
      <c r="S31" s="92">
        <v>28</v>
      </c>
      <c r="T31" s="91">
        <f t="shared" si="1"/>
        <v>30.300000000000004</v>
      </c>
    </row>
    <row r="32" spans="2:20">
      <c r="B32" s="89">
        <v>29</v>
      </c>
      <c r="C32" s="90">
        <v>3.73</v>
      </c>
      <c r="D32" s="91">
        <f>D31</f>
        <v>12.120000000000001</v>
      </c>
      <c r="E32" s="91"/>
      <c r="F32" s="91">
        <f t="shared" si="0"/>
        <v>3.0300000000000002</v>
      </c>
      <c r="S32" s="92">
        <v>29</v>
      </c>
      <c r="T32" s="91">
        <f t="shared" si="1"/>
        <v>30.300000000000004</v>
      </c>
    </row>
    <row r="33" spans="1:20">
      <c r="B33" s="89">
        <v>30</v>
      </c>
      <c r="C33" s="90">
        <v>3.7</v>
      </c>
      <c r="D33" s="91">
        <f>7.4+4.625</f>
        <v>12.025</v>
      </c>
      <c r="E33" s="91"/>
      <c r="F33" s="91">
        <f t="shared" si="0"/>
        <v>3.0062500000000001</v>
      </c>
      <c r="S33" s="92">
        <v>30</v>
      </c>
      <c r="T33" s="91">
        <f t="shared" si="1"/>
        <v>30.0625</v>
      </c>
    </row>
    <row r="34" spans="1:20">
      <c r="B34" s="89">
        <v>31</v>
      </c>
      <c r="C34" s="90">
        <v>3.7</v>
      </c>
      <c r="D34" s="91">
        <f>4.625+4.81</f>
        <v>9.4349999999999987</v>
      </c>
      <c r="E34" s="91"/>
      <c r="F34" s="91">
        <f t="shared" si="0"/>
        <v>2.3587499999999997</v>
      </c>
      <c r="S34" s="92">
        <v>31</v>
      </c>
      <c r="T34" s="91">
        <f t="shared" si="1"/>
        <v>23.587499999999999</v>
      </c>
    </row>
    <row r="35" spans="1:20">
      <c r="B35" s="89">
        <v>32</v>
      </c>
      <c r="C35" s="90">
        <v>3.73</v>
      </c>
      <c r="D35" s="91">
        <f>4.66+17.116</f>
        <v>21.776</v>
      </c>
      <c r="E35" s="91"/>
      <c r="F35" s="91">
        <f t="shared" si="0"/>
        <v>5.444</v>
      </c>
      <c r="S35" s="92">
        <v>32</v>
      </c>
      <c r="T35" s="91">
        <f t="shared" si="1"/>
        <v>54.44</v>
      </c>
    </row>
    <row r="36" spans="1:20">
      <c r="B36" s="89">
        <v>33</v>
      </c>
      <c r="C36" s="90">
        <v>3.73</v>
      </c>
      <c r="D36" s="91">
        <f>D35</f>
        <v>21.776</v>
      </c>
      <c r="E36" s="91"/>
      <c r="F36" s="91">
        <f t="shared" si="0"/>
        <v>5.444</v>
      </c>
      <c r="S36" s="92">
        <v>33</v>
      </c>
      <c r="T36" s="91">
        <f t="shared" si="1"/>
        <v>54.44</v>
      </c>
    </row>
    <row r="37" spans="1:20">
      <c r="B37" s="89">
        <v>34</v>
      </c>
      <c r="C37" s="90">
        <v>3.7</v>
      </c>
      <c r="D37" s="91">
        <f>D34</f>
        <v>9.4349999999999987</v>
      </c>
      <c r="E37" s="91"/>
      <c r="F37" s="91">
        <f t="shared" si="0"/>
        <v>2.3587499999999997</v>
      </c>
      <c r="S37" s="92">
        <v>34</v>
      </c>
      <c r="T37" s="91">
        <f t="shared" si="1"/>
        <v>23.587499999999999</v>
      </c>
    </row>
    <row r="38" spans="1:20">
      <c r="B38" s="89">
        <v>35</v>
      </c>
      <c r="C38" s="90">
        <v>3.7</v>
      </c>
      <c r="D38" s="91">
        <f>4.81+6.75</f>
        <v>11.559999999999999</v>
      </c>
      <c r="E38" s="91"/>
      <c r="F38" s="91">
        <f t="shared" si="0"/>
        <v>2.8899999999999997</v>
      </c>
      <c r="S38" s="92">
        <v>35</v>
      </c>
      <c r="T38" s="91">
        <f t="shared" si="1"/>
        <v>28.9</v>
      </c>
    </row>
    <row r="39" spans="1:20">
      <c r="B39" s="89">
        <v>36</v>
      </c>
      <c r="C39" s="90">
        <v>3.7</v>
      </c>
      <c r="D39" s="91">
        <f>D38</f>
        <v>11.559999999999999</v>
      </c>
      <c r="E39" s="91"/>
      <c r="F39" s="91">
        <f t="shared" si="0"/>
        <v>2.8899999999999997</v>
      </c>
      <c r="S39" s="92">
        <v>36</v>
      </c>
      <c r="T39" s="91">
        <f t="shared" si="1"/>
        <v>28.9</v>
      </c>
    </row>
    <row r="40" spans="1:20">
      <c r="B40" s="89">
        <v>37</v>
      </c>
      <c r="C40" s="90">
        <v>3.85</v>
      </c>
      <c r="D40" s="91">
        <f>7.026+5</f>
        <v>12.026</v>
      </c>
      <c r="E40" s="91"/>
      <c r="F40" s="91">
        <f t="shared" si="0"/>
        <v>3.0065</v>
      </c>
      <c r="S40" s="92">
        <v>37</v>
      </c>
      <c r="T40" s="91">
        <f t="shared" si="1"/>
        <v>30.064999999999998</v>
      </c>
    </row>
    <row r="41" spans="1:20">
      <c r="B41" s="89">
        <v>38</v>
      </c>
      <c r="C41" s="90">
        <v>3.64</v>
      </c>
      <c r="D41" s="91">
        <f>5.07+17.116</f>
        <v>22.186</v>
      </c>
      <c r="E41" s="91"/>
      <c r="F41" s="91">
        <f t="shared" si="0"/>
        <v>5.5465</v>
      </c>
      <c r="S41" s="92">
        <v>38</v>
      </c>
      <c r="T41" s="91">
        <f t="shared" si="1"/>
        <v>55.465000000000003</v>
      </c>
    </row>
    <row r="42" spans="1:20">
      <c r="B42" s="89">
        <v>39</v>
      </c>
      <c r="C42" s="90">
        <v>3.64</v>
      </c>
      <c r="D42" s="91">
        <f>D41</f>
        <v>22.186</v>
      </c>
      <c r="E42" s="91"/>
      <c r="F42" s="91">
        <f t="shared" si="0"/>
        <v>5.5465</v>
      </c>
      <c r="S42" s="92">
        <v>39</v>
      </c>
      <c r="T42" s="91">
        <f t="shared" si="1"/>
        <v>55.465000000000003</v>
      </c>
    </row>
    <row r="43" spans="1:20" ht="15.75" thickBot="1">
      <c r="B43" s="89">
        <v>40</v>
      </c>
      <c r="C43" s="90">
        <v>3.85</v>
      </c>
      <c r="D43" s="91">
        <f>D40</f>
        <v>12.026</v>
      </c>
      <c r="E43" s="91"/>
      <c r="F43" s="91">
        <f t="shared" si="0"/>
        <v>3.0065</v>
      </c>
      <c r="S43" s="95">
        <v>40</v>
      </c>
      <c r="T43" s="91">
        <f t="shared" si="1"/>
        <v>30.064999999999998</v>
      </c>
    </row>
    <row r="44" spans="1:20" ht="15.75" thickBot="1">
      <c r="A44" t="s">
        <v>110</v>
      </c>
      <c r="B44" s="89">
        <v>41</v>
      </c>
      <c r="C44" s="90">
        <v>3.85</v>
      </c>
      <c r="D44" s="91">
        <f>5</f>
        <v>5</v>
      </c>
      <c r="E44" s="130">
        <f>$E$3*((D44))*3.5</f>
        <v>52.5</v>
      </c>
      <c r="F44" s="91">
        <f t="shared" si="0"/>
        <v>1.25</v>
      </c>
      <c r="S44" s="97" t="s">
        <v>111</v>
      </c>
      <c r="T44" s="98">
        <f>SUM(T4:T43)</f>
        <v>1415.9</v>
      </c>
    </row>
    <row r="45" spans="1:20">
      <c r="A45" t="s">
        <v>110</v>
      </c>
      <c r="B45" s="89">
        <v>42</v>
      </c>
      <c r="C45" s="90">
        <v>3.9</v>
      </c>
      <c r="D45" s="91">
        <v>5.07</v>
      </c>
      <c r="E45" s="130">
        <f>$E$3*((D45))*3.5</f>
        <v>53.234999999999999</v>
      </c>
      <c r="F45" s="91">
        <f t="shared" si="0"/>
        <v>1.2675000000000001</v>
      </c>
    </row>
    <row r="46" spans="1:20">
      <c r="A46" t="s">
        <v>110</v>
      </c>
      <c r="B46" s="89">
        <v>43</v>
      </c>
      <c r="C46" s="90">
        <v>3.9</v>
      </c>
      <c r="D46" s="91">
        <v>5.07</v>
      </c>
      <c r="E46" s="130">
        <f>$E$3*((D46))*3.5</f>
        <v>53.234999999999999</v>
      </c>
      <c r="F46" s="91">
        <f t="shared" si="0"/>
        <v>1.2675000000000001</v>
      </c>
    </row>
    <row r="47" spans="1:20" ht="15.75" thickBot="1">
      <c r="A47" t="s">
        <v>110</v>
      </c>
      <c r="B47" s="99">
        <v>44</v>
      </c>
      <c r="C47" s="100">
        <v>3.85</v>
      </c>
      <c r="D47" s="96">
        <v>5</v>
      </c>
      <c r="E47" s="130">
        <f>$E$3*((D47))*3.5</f>
        <v>52.5</v>
      </c>
      <c r="F47" s="91">
        <f t="shared" si="0"/>
        <v>1.25</v>
      </c>
    </row>
    <row r="48" spans="1:20" ht="15.75" thickBot="1">
      <c r="B48" s="101" t="s">
        <v>112</v>
      </c>
      <c r="C48" s="102">
        <f>SUM(C4:C47)</f>
        <v>164.88</v>
      </c>
      <c r="D48" s="102">
        <f t="shared" ref="D48" si="2">SUM(D4:D47)</f>
        <v>586.50000000000011</v>
      </c>
      <c r="E48" s="102">
        <f>SUM(E4:E47)</f>
        <v>422.94000000000005</v>
      </c>
      <c r="F48" s="98">
        <f>SUM(F4:F47)</f>
        <v>146.62500000000003</v>
      </c>
    </row>
    <row r="49" spans="5:5">
      <c r="E49" s="152"/>
    </row>
  </sheetData>
  <mergeCells count="3">
    <mergeCell ref="B1:F1"/>
    <mergeCell ref="S1:T1"/>
    <mergeCell ref="B3:C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24B5-819B-4225-B22D-2827D515DEDB}">
  <sheetPr>
    <tabColor theme="0"/>
  </sheetPr>
  <dimension ref="A1:AD44"/>
  <sheetViews>
    <sheetView zoomScaleNormal="100" workbookViewId="0">
      <selection activeCell="B1" sqref="B1:P1"/>
    </sheetView>
  </sheetViews>
  <sheetFormatPr defaultColWidth="11.42578125" defaultRowHeight="15"/>
  <cols>
    <col min="13" max="13" width="13.7109375" customWidth="1"/>
  </cols>
  <sheetData>
    <row r="1" spans="1:30" ht="15.75" thickBot="1">
      <c r="B1" s="326" t="s">
        <v>100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Z1" s="328" t="s">
        <v>102</v>
      </c>
      <c r="AA1" s="329"/>
      <c r="AB1" s="329"/>
      <c r="AC1" s="329"/>
      <c r="AD1" s="330"/>
    </row>
    <row r="2" spans="1:30" ht="45.75" thickBot="1">
      <c r="B2" s="84" t="s">
        <v>103</v>
      </c>
      <c r="C2" s="85" t="s">
        <v>113</v>
      </c>
      <c r="D2" s="85" t="s">
        <v>114</v>
      </c>
      <c r="E2" s="85" t="s">
        <v>115</v>
      </c>
      <c r="F2" s="85" t="s">
        <v>116</v>
      </c>
      <c r="G2" s="85" t="s">
        <v>117</v>
      </c>
      <c r="H2" s="85" t="s">
        <v>118</v>
      </c>
      <c r="I2" s="85" t="s">
        <v>106</v>
      </c>
      <c r="J2" s="85" t="s">
        <v>107</v>
      </c>
      <c r="K2" s="85" t="s">
        <v>119</v>
      </c>
      <c r="L2" s="85" t="s">
        <v>34</v>
      </c>
      <c r="M2" s="85" t="s">
        <v>35</v>
      </c>
      <c r="N2" s="85" t="s">
        <v>120</v>
      </c>
      <c r="O2" s="85" t="s">
        <v>66</v>
      </c>
      <c r="P2" s="86" t="s">
        <v>72</v>
      </c>
      <c r="S2" s="93" t="s">
        <v>101</v>
      </c>
      <c r="Z2" s="103" t="s">
        <v>103</v>
      </c>
      <c r="AA2" s="104" t="s">
        <v>121</v>
      </c>
      <c r="AB2" s="104" t="s">
        <v>122</v>
      </c>
      <c r="AC2" s="104" t="s">
        <v>123</v>
      </c>
      <c r="AD2" s="105" t="s">
        <v>124</v>
      </c>
    </row>
    <row r="3" spans="1:30" ht="15.75" thickBot="1">
      <c r="B3" s="331" t="s">
        <v>109</v>
      </c>
      <c r="C3" s="332"/>
      <c r="D3" s="124" t="s">
        <v>63</v>
      </c>
      <c r="E3" s="126">
        <v>1.41</v>
      </c>
      <c r="F3" s="126">
        <v>0.2</v>
      </c>
      <c r="G3" s="126">
        <f>0.015*S3</f>
        <v>1.4999999999999999E-2</v>
      </c>
      <c r="H3" s="126">
        <v>0.9</v>
      </c>
      <c r="I3" s="126">
        <v>3</v>
      </c>
      <c r="J3" s="126">
        <v>0.25</v>
      </c>
      <c r="K3" s="126">
        <v>0.5</v>
      </c>
      <c r="L3" s="126">
        <v>1.5</v>
      </c>
      <c r="M3" s="126">
        <v>0.1</v>
      </c>
      <c r="N3" s="126">
        <v>1.8</v>
      </c>
      <c r="O3" s="126">
        <v>0.68</v>
      </c>
      <c r="P3" s="127">
        <v>0.2</v>
      </c>
      <c r="S3" s="94">
        <v>1</v>
      </c>
      <c r="Z3" s="106" t="s">
        <v>109</v>
      </c>
      <c r="AA3" s="107">
        <v>5</v>
      </c>
      <c r="AB3" s="107">
        <v>2</v>
      </c>
      <c r="AC3" s="107">
        <v>5</v>
      </c>
      <c r="AD3" s="108">
        <v>5</v>
      </c>
    </row>
    <row r="4" spans="1:30">
      <c r="A4" t="s">
        <v>125</v>
      </c>
      <c r="B4" s="210">
        <v>1</v>
      </c>
      <c r="C4" s="211">
        <v>3.85</v>
      </c>
      <c r="D4" s="211">
        <v>5</v>
      </c>
      <c r="E4" s="211">
        <f>$E$3*(D4)</f>
        <v>7.05</v>
      </c>
      <c r="F4" s="211">
        <f>$F$3*((D4))</f>
        <v>1</v>
      </c>
      <c r="G4" s="211"/>
      <c r="H4" s="9">
        <f>$H$3*3.5*C4</f>
        <v>12.1275</v>
      </c>
      <c r="I4" s="211">
        <f>$I$3*3.5*D4</f>
        <v>52.5</v>
      </c>
      <c r="J4" s="211">
        <f>$J$3*((D4))</f>
        <v>1.25</v>
      </c>
      <c r="K4" s="211">
        <f>$K$3*((D4))</f>
        <v>2.5</v>
      </c>
      <c r="L4" s="211">
        <f>$L$3*((D4))</f>
        <v>7.5</v>
      </c>
      <c r="M4" s="211">
        <f>$M$3*((D4))</f>
        <v>0.5</v>
      </c>
      <c r="N4" s="211">
        <f>$N$3*((D4))*3.5</f>
        <v>31.5</v>
      </c>
      <c r="O4" s="211">
        <f t="shared" ref="O4:O43" si="0">$O$3*((D4))</f>
        <v>3.4000000000000004</v>
      </c>
      <c r="P4" s="212">
        <f t="shared" ref="P4:P43" si="1">$P$3*((D4))</f>
        <v>1</v>
      </c>
      <c r="Z4" s="110">
        <v>1</v>
      </c>
      <c r="AA4" s="9"/>
      <c r="AB4" s="9"/>
      <c r="AC4" s="9">
        <f>$AC$3*((D4))</f>
        <v>25</v>
      </c>
      <c r="AD4" s="9">
        <f>$AD$3*((D4))</f>
        <v>25</v>
      </c>
    </row>
    <row r="5" spans="1:30">
      <c r="A5" t="s">
        <v>125</v>
      </c>
      <c r="B5" s="110">
        <v>2</v>
      </c>
      <c r="C5" s="9">
        <v>3.85</v>
      </c>
      <c r="D5" s="9">
        <v>5</v>
      </c>
      <c r="E5" s="9">
        <f t="shared" ref="E5:E43" si="2">$E$3*(D5)</f>
        <v>7.05</v>
      </c>
      <c r="F5" s="9">
        <f t="shared" ref="F5:F43" si="3">$F$3*((D5))</f>
        <v>1</v>
      </c>
      <c r="G5" s="211"/>
      <c r="H5" s="9">
        <f>$H$3*3.5*C5</f>
        <v>12.1275</v>
      </c>
      <c r="I5" s="9">
        <f>$I$3*3.5*D5</f>
        <v>52.5</v>
      </c>
      <c r="J5" s="9">
        <f t="shared" ref="J5:J43" si="4">$J$3*((D5))</f>
        <v>1.25</v>
      </c>
      <c r="K5" s="9">
        <f t="shared" ref="K5:K43" si="5">$K$3*((D5))</f>
        <v>2.5</v>
      </c>
      <c r="L5" s="9">
        <f t="shared" ref="L5:L43" si="6">$L$3*((D5))</f>
        <v>7.5</v>
      </c>
      <c r="M5" s="9">
        <f t="shared" ref="M5:M43" si="7">$M$3*((D5))</f>
        <v>0.5</v>
      </c>
      <c r="N5" s="9">
        <f t="shared" ref="N5:N43" si="8">$N$3*((D5))*3.5</f>
        <v>31.5</v>
      </c>
      <c r="O5" s="9">
        <f t="shared" si="0"/>
        <v>3.4000000000000004</v>
      </c>
      <c r="P5" s="108">
        <f t="shared" si="1"/>
        <v>1</v>
      </c>
      <c r="Z5" s="110">
        <v>2</v>
      </c>
      <c r="AA5" s="111"/>
      <c r="AB5" s="9"/>
      <c r="AC5" s="9">
        <f t="shared" ref="AC5:AC6" si="9">$AC$3*((D5))</f>
        <v>25</v>
      </c>
      <c r="AD5" s="9">
        <f t="shared" ref="AD5:AD43" si="10">$AD$3*((D5))</f>
        <v>25</v>
      </c>
    </row>
    <row r="6" spans="1:30">
      <c r="B6" s="110">
        <v>3</v>
      </c>
      <c r="C6" s="9">
        <v>3.85</v>
      </c>
      <c r="D6" s="9">
        <v>12.02</v>
      </c>
      <c r="E6" s="9">
        <f t="shared" si="2"/>
        <v>16.9482</v>
      </c>
      <c r="F6" s="9"/>
      <c r="G6" s="211">
        <f>$G$3*((D6))</f>
        <v>0.18029999999999999</v>
      </c>
      <c r="H6" s="9">
        <f t="shared" ref="H6:H38" si="11">$H$3*3.5*C6</f>
        <v>12.1275</v>
      </c>
      <c r="I6" s="9"/>
      <c r="J6" s="9">
        <f t="shared" si="4"/>
        <v>3.0049999999999999</v>
      </c>
      <c r="K6" s="9"/>
      <c r="L6" s="9">
        <f t="shared" si="6"/>
        <v>18.03</v>
      </c>
      <c r="M6" s="9">
        <f t="shared" si="7"/>
        <v>1.202</v>
      </c>
      <c r="N6" s="9">
        <f t="shared" si="8"/>
        <v>75.725999999999999</v>
      </c>
      <c r="O6" s="9">
        <f t="shared" si="0"/>
        <v>8.1736000000000004</v>
      </c>
      <c r="P6" s="108">
        <f t="shared" si="1"/>
        <v>2.4039999999999999</v>
      </c>
      <c r="Z6" s="110">
        <v>3</v>
      </c>
      <c r="AA6" s="111"/>
      <c r="AB6" s="9">
        <f>$AB$3*((D6))</f>
        <v>24.04</v>
      </c>
      <c r="AC6" s="9">
        <f t="shared" si="9"/>
        <v>60.099999999999994</v>
      </c>
      <c r="AD6" s="9">
        <f t="shared" si="10"/>
        <v>60.099999999999994</v>
      </c>
    </row>
    <row r="7" spans="1:30">
      <c r="B7" s="110">
        <v>4</v>
      </c>
      <c r="C7" s="9">
        <v>3.64</v>
      </c>
      <c r="D7" s="9">
        <f>5.07*2+16.93475</f>
        <v>27.074750000000002</v>
      </c>
      <c r="E7" s="9">
        <f t="shared" si="2"/>
        <v>38.175397500000003</v>
      </c>
      <c r="F7" s="9">
        <f t="shared" si="3"/>
        <v>5.414950000000001</v>
      </c>
      <c r="G7" s="211"/>
      <c r="H7" s="9">
        <f>$H$3*3.5*C7</f>
        <v>11.465999999999999</v>
      </c>
      <c r="I7" s="9"/>
      <c r="J7" s="9">
        <f t="shared" si="4"/>
        <v>6.7686875000000004</v>
      </c>
      <c r="K7" s="9">
        <f t="shared" si="5"/>
        <v>13.537375000000001</v>
      </c>
      <c r="L7" s="9">
        <f t="shared" si="6"/>
        <v>40.612125000000006</v>
      </c>
      <c r="M7" s="9">
        <f t="shared" si="7"/>
        <v>2.7074750000000005</v>
      </c>
      <c r="N7" s="9">
        <f t="shared" si="8"/>
        <v>170.57092500000002</v>
      </c>
      <c r="O7" s="9">
        <f t="shared" si="0"/>
        <v>18.410830000000001</v>
      </c>
      <c r="P7" s="108">
        <f t="shared" si="1"/>
        <v>5.414950000000001</v>
      </c>
      <c r="Z7" s="110">
        <v>4</v>
      </c>
      <c r="AA7" s="9">
        <f>$AA$3*((D7))</f>
        <v>135.37375</v>
      </c>
      <c r="AB7" s="9"/>
      <c r="AC7" s="9"/>
      <c r="AD7" s="9">
        <f t="shared" si="10"/>
        <v>135.37375</v>
      </c>
    </row>
    <row r="8" spans="1:30">
      <c r="B8" s="110">
        <v>5</v>
      </c>
      <c r="C8" s="9">
        <v>3.64</v>
      </c>
      <c r="D8" s="9">
        <f>D7</f>
        <v>27.074750000000002</v>
      </c>
      <c r="E8" s="9">
        <f t="shared" si="2"/>
        <v>38.175397500000003</v>
      </c>
      <c r="F8" s="9">
        <f t="shared" si="3"/>
        <v>5.414950000000001</v>
      </c>
      <c r="G8" s="211"/>
      <c r="H8" s="9">
        <f>$H$3*3.5*C8</f>
        <v>11.465999999999999</v>
      </c>
      <c r="I8" s="9"/>
      <c r="J8" s="9">
        <f t="shared" si="4"/>
        <v>6.7686875000000004</v>
      </c>
      <c r="K8" s="9">
        <f t="shared" si="5"/>
        <v>13.537375000000001</v>
      </c>
      <c r="L8" s="9">
        <f t="shared" si="6"/>
        <v>40.612125000000006</v>
      </c>
      <c r="M8" s="9">
        <f t="shared" si="7"/>
        <v>2.7074750000000005</v>
      </c>
      <c r="N8" s="9">
        <f t="shared" si="8"/>
        <v>170.57092500000002</v>
      </c>
      <c r="O8" s="9">
        <f t="shared" si="0"/>
        <v>18.410830000000001</v>
      </c>
      <c r="P8" s="108">
        <f t="shared" si="1"/>
        <v>5.414950000000001</v>
      </c>
      <c r="Z8" s="110">
        <v>5</v>
      </c>
      <c r="AA8" s="9">
        <f>$AA$3*((D8))</f>
        <v>135.37375</v>
      </c>
      <c r="AB8" s="9"/>
      <c r="AC8" s="9"/>
      <c r="AD8" s="9">
        <f t="shared" si="10"/>
        <v>135.37375</v>
      </c>
    </row>
    <row r="9" spans="1:30">
      <c r="B9" s="110">
        <v>6</v>
      </c>
      <c r="C9" s="9">
        <v>3.85</v>
      </c>
      <c r="D9" s="9">
        <f>D6</f>
        <v>12.02</v>
      </c>
      <c r="E9" s="9">
        <f t="shared" si="2"/>
        <v>16.9482</v>
      </c>
      <c r="F9" s="9"/>
      <c r="G9" s="211">
        <f>$G$3*((D9))</f>
        <v>0.18029999999999999</v>
      </c>
      <c r="H9" s="9">
        <f t="shared" si="11"/>
        <v>12.1275</v>
      </c>
      <c r="I9" s="9"/>
      <c r="J9" s="9">
        <f t="shared" si="4"/>
        <v>3.0049999999999999</v>
      </c>
      <c r="K9" s="9"/>
      <c r="L9" s="9">
        <f t="shared" si="6"/>
        <v>18.03</v>
      </c>
      <c r="M9" s="9">
        <f t="shared" si="7"/>
        <v>1.202</v>
      </c>
      <c r="N9" s="9">
        <f t="shared" si="8"/>
        <v>75.725999999999999</v>
      </c>
      <c r="O9" s="9">
        <f t="shared" si="0"/>
        <v>8.1736000000000004</v>
      </c>
      <c r="P9" s="108">
        <f t="shared" si="1"/>
        <v>2.4039999999999999</v>
      </c>
      <c r="Z9" s="110">
        <v>6</v>
      </c>
      <c r="AA9" s="9"/>
      <c r="AB9" s="9">
        <f>$AB$3*((D9))</f>
        <v>24.04</v>
      </c>
      <c r="AC9" s="9">
        <f t="shared" ref="AC9" si="12">$AC$3*((D9))</f>
        <v>60.099999999999994</v>
      </c>
      <c r="AD9" s="9">
        <f t="shared" si="10"/>
        <v>60.099999999999994</v>
      </c>
    </row>
    <row r="10" spans="1:30">
      <c r="B10" s="110">
        <v>7</v>
      </c>
      <c r="C10" s="9">
        <v>3.7</v>
      </c>
      <c r="D10" s="9">
        <f>'[1]Avaluo de cargas piso 1'!D12</f>
        <v>11.559999999999999</v>
      </c>
      <c r="E10" s="9">
        <f t="shared" si="2"/>
        <v>16.299599999999998</v>
      </c>
      <c r="F10" s="9"/>
      <c r="G10" s="211">
        <f>$G$3*((D10))</f>
        <v>0.17339999999999997</v>
      </c>
      <c r="H10" s="9">
        <f t="shared" si="11"/>
        <v>11.654999999999999</v>
      </c>
      <c r="I10" s="9"/>
      <c r="J10" s="9">
        <f t="shared" si="4"/>
        <v>2.8899999999999997</v>
      </c>
      <c r="K10" s="9"/>
      <c r="L10" s="9">
        <f t="shared" si="6"/>
        <v>17.339999999999996</v>
      </c>
      <c r="M10" s="9">
        <f t="shared" si="7"/>
        <v>1.1559999999999999</v>
      </c>
      <c r="N10" s="9">
        <f t="shared" si="8"/>
        <v>72.828000000000003</v>
      </c>
      <c r="O10" s="9">
        <f t="shared" si="0"/>
        <v>7.8607999999999993</v>
      </c>
      <c r="P10" s="108">
        <f t="shared" si="1"/>
        <v>2.3119999999999998</v>
      </c>
      <c r="Z10" s="110">
        <v>7</v>
      </c>
      <c r="AA10" s="9"/>
      <c r="AB10" s="9">
        <f t="shared" ref="AB10:AB38" si="13">$AB$3*((D10))</f>
        <v>23.119999999999997</v>
      </c>
      <c r="AC10" s="9"/>
      <c r="AD10" s="9">
        <f t="shared" si="10"/>
        <v>57.8</v>
      </c>
    </row>
    <row r="11" spans="1:30">
      <c r="B11" s="110">
        <v>8</v>
      </c>
      <c r="C11" s="9">
        <v>3.7</v>
      </c>
      <c r="D11" s="9">
        <f>'[1]Avaluo de cargas piso 1'!D13</f>
        <v>11.559999999999999</v>
      </c>
      <c r="E11" s="9">
        <f t="shared" si="2"/>
        <v>16.299599999999998</v>
      </c>
      <c r="F11" s="9"/>
      <c r="G11" s="211">
        <f>$G$3*((D11))</f>
        <v>0.17339999999999997</v>
      </c>
      <c r="H11" s="9">
        <f t="shared" si="11"/>
        <v>11.654999999999999</v>
      </c>
      <c r="I11" s="9"/>
      <c r="J11" s="9">
        <f t="shared" si="4"/>
        <v>2.8899999999999997</v>
      </c>
      <c r="K11" s="9"/>
      <c r="L11" s="9">
        <f t="shared" si="6"/>
        <v>17.339999999999996</v>
      </c>
      <c r="M11" s="9">
        <f t="shared" si="7"/>
        <v>1.1559999999999999</v>
      </c>
      <c r="N11" s="9">
        <f t="shared" si="8"/>
        <v>72.828000000000003</v>
      </c>
      <c r="O11" s="9">
        <f t="shared" si="0"/>
        <v>7.8607999999999993</v>
      </c>
      <c r="P11" s="108">
        <f t="shared" si="1"/>
        <v>2.3119999999999998</v>
      </c>
      <c r="Z11" s="110">
        <v>8</v>
      </c>
      <c r="AA11" s="9"/>
      <c r="AB11" s="9">
        <f t="shared" si="13"/>
        <v>23.119999999999997</v>
      </c>
      <c r="AC11" s="9"/>
      <c r="AD11" s="9">
        <f t="shared" si="10"/>
        <v>57.8</v>
      </c>
    </row>
    <row r="12" spans="1:30">
      <c r="B12" s="110">
        <v>9</v>
      </c>
      <c r="C12" s="9">
        <v>3.7</v>
      </c>
      <c r="D12" s="9">
        <f>'[1]Avaluo de cargas piso 1'!D14</f>
        <v>9.6199999999999992</v>
      </c>
      <c r="E12" s="9">
        <f t="shared" si="2"/>
        <v>13.564199999999998</v>
      </c>
      <c r="F12" s="9">
        <f t="shared" si="3"/>
        <v>1.9239999999999999</v>
      </c>
      <c r="G12" s="211"/>
      <c r="H12" s="9">
        <f t="shared" ref="H12:H19" si="14">$H$3*3.5*C12</f>
        <v>11.654999999999999</v>
      </c>
      <c r="I12" s="9"/>
      <c r="J12" s="9">
        <f t="shared" si="4"/>
        <v>2.4049999999999998</v>
      </c>
      <c r="K12" s="9"/>
      <c r="L12" s="9">
        <f t="shared" si="6"/>
        <v>14.43</v>
      </c>
      <c r="M12" s="9">
        <f t="shared" si="7"/>
        <v>0.96199999999999997</v>
      </c>
      <c r="N12" s="9">
        <f t="shared" si="8"/>
        <v>60.605999999999995</v>
      </c>
      <c r="O12" s="9">
        <f t="shared" si="0"/>
        <v>6.5415999999999999</v>
      </c>
      <c r="P12" s="108">
        <f t="shared" si="1"/>
        <v>1.9239999999999999</v>
      </c>
      <c r="Z12" s="110">
        <v>9</v>
      </c>
      <c r="AA12" s="9"/>
      <c r="AB12" s="9">
        <f t="shared" si="13"/>
        <v>19.239999999999998</v>
      </c>
      <c r="AC12" s="9"/>
      <c r="AD12" s="9">
        <f t="shared" si="10"/>
        <v>48.099999999999994</v>
      </c>
    </row>
    <row r="13" spans="1:30">
      <c r="B13" s="110">
        <v>10</v>
      </c>
      <c r="C13" s="9">
        <v>3.73</v>
      </c>
      <c r="D13" s="9">
        <f>4.66+16.93475</f>
        <v>21.594750000000001</v>
      </c>
      <c r="E13" s="9">
        <f t="shared" si="2"/>
        <v>30.448597500000002</v>
      </c>
      <c r="F13" s="9">
        <f t="shared" si="3"/>
        <v>4.3189500000000001</v>
      </c>
      <c r="G13" s="211"/>
      <c r="H13" s="9">
        <f t="shared" si="14"/>
        <v>11.749499999999999</v>
      </c>
      <c r="I13" s="9"/>
      <c r="J13" s="9">
        <f t="shared" si="4"/>
        <v>5.3986875000000003</v>
      </c>
      <c r="K13" s="9"/>
      <c r="L13" s="9">
        <f t="shared" si="6"/>
        <v>32.392125</v>
      </c>
      <c r="M13" s="9">
        <f t="shared" si="7"/>
        <v>2.159475</v>
      </c>
      <c r="N13" s="9">
        <f t="shared" si="8"/>
        <v>136.04692500000002</v>
      </c>
      <c r="O13" s="9">
        <f t="shared" si="0"/>
        <v>14.684430000000003</v>
      </c>
      <c r="P13" s="108">
        <f t="shared" si="1"/>
        <v>4.3189500000000001</v>
      </c>
      <c r="Z13" s="110">
        <v>10</v>
      </c>
      <c r="AA13" s="9"/>
      <c r="AB13" s="9">
        <f t="shared" si="13"/>
        <v>43.189500000000002</v>
      </c>
      <c r="AC13" s="9"/>
      <c r="AD13" s="9">
        <f t="shared" si="10"/>
        <v>107.97375000000001</v>
      </c>
    </row>
    <row r="14" spans="1:30">
      <c r="B14" s="110">
        <v>11</v>
      </c>
      <c r="C14" s="9">
        <v>3.73</v>
      </c>
      <c r="D14" s="9">
        <f>D13</f>
        <v>21.594750000000001</v>
      </c>
      <c r="E14" s="9">
        <f t="shared" si="2"/>
        <v>30.448597500000002</v>
      </c>
      <c r="F14" s="9">
        <f t="shared" si="3"/>
        <v>4.3189500000000001</v>
      </c>
      <c r="G14" s="211"/>
      <c r="H14" s="9">
        <f t="shared" si="14"/>
        <v>11.749499999999999</v>
      </c>
      <c r="I14" s="9"/>
      <c r="J14" s="9">
        <f t="shared" si="4"/>
        <v>5.3986875000000003</v>
      </c>
      <c r="K14" s="9"/>
      <c r="L14" s="9">
        <f t="shared" si="6"/>
        <v>32.392125</v>
      </c>
      <c r="M14" s="9">
        <f t="shared" si="7"/>
        <v>2.159475</v>
      </c>
      <c r="N14" s="9">
        <f t="shared" si="8"/>
        <v>136.04692500000002</v>
      </c>
      <c r="O14" s="9">
        <f t="shared" si="0"/>
        <v>14.684430000000003</v>
      </c>
      <c r="P14" s="108">
        <f t="shared" si="1"/>
        <v>4.3189500000000001</v>
      </c>
      <c r="Z14" s="110">
        <v>11</v>
      </c>
      <c r="AA14" s="9"/>
      <c r="AB14" s="9">
        <f t="shared" si="13"/>
        <v>43.189500000000002</v>
      </c>
      <c r="AC14" s="9"/>
      <c r="AD14" s="9">
        <f t="shared" si="10"/>
        <v>107.97375000000001</v>
      </c>
    </row>
    <row r="15" spans="1:30">
      <c r="B15" s="110">
        <v>12</v>
      </c>
      <c r="C15" s="9">
        <v>3.7</v>
      </c>
      <c r="D15" s="9">
        <f>'[1]Avaluo de cargas piso 1'!D17</f>
        <v>9.6199999999999992</v>
      </c>
      <c r="E15" s="9">
        <f t="shared" si="2"/>
        <v>13.564199999999998</v>
      </c>
      <c r="F15" s="9">
        <f t="shared" si="3"/>
        <v>1.9239999999999999</v>
      </c>
      <c r="G15" s="211"/>
      <c r="H15" s="9">
        <f t="shared" si="14"/>
        <v>11.654999999999999</v>
      </c>
      <c r="I15" s="9"/>
      <c r="J15" s="9">
        <f t="shared" si="4"/>
        <v>2.4049999999999998</v>
      </c>
      <c r="K15" s="9"/>
      <c r="L15" s="9">
        <f t="shared" si="6"/>
        <v>14.43</v>
      </c>
      <c r="M15" s="9">
        <f t="shared" si="7"/>
        <v>0.96199999999999997</v>
      </c>
      <c r="N15" s="9">
        <f t="shared" si="8"/>
        <v>60.605999999999995</v>
      </c>
      <c r="O15" s="9">
        <f t="shared" si="0"/>
        <v>6.5415999999999999</v>
      </c>
      <c r="P15" s="108">
        <f t="shared" si="1"/>
        <v>1.9239999999999999</v>
      </c>
      <c r="Z15" s="110">
        <v>12</v>
      </c>
      <c r="AA15" s="9"/>
      <c r="AB15" s="9">
        <f t="shared" si="13"/>
        <v>19.239999999999998</v>
      </c>
      <c r="AC15" s="9"/>
      <c r="AD15" s="9">
        <f t="shared" si="10"/>
        <v>48.099999999999994</v>
      </c>
    </row>
    <row r="16" spans="1:30">
      <c r="B16" s="110">
        <v>13</v>
      </c>
      <c r="C16" s="9">
        <v>3.7</v>
      </c>
      <c r="D16" s="9">
        <f>'[1]Avaluo de cargas piso 1'!D18</f>
        <v>12.21</v>
      </c>
      <c r="E16" s="9">
        <f t="shared" si="2"/>
        <v>17.216100000000001</v>
      </c>
      <c r="F16" s="9">
        <f t="shared" si="3"/>
        <v>2.4420000000000002</v>
      </c>
      <c r="G16" s="211"/>
      <c r="H16" s="9">
        <f t="shared" si="14"/>
        <v>11.654999999999999</v>
      </c>
      <c r="I16" s="9"/>
      <c r="J16" s="9">
        <f t="shared" si="4"/>
        <v>3.0525000000000002</v>
      </c>
      <c r="K16" s="9"/>
      <c r="L16" s="9">
        <f t="shared" si="6"/>
        <v>18.315000000000001</v>
      </c>
      <c r="M16" s="9">
        <f t="shared" si="7"/>
        <v>1.2210000000000001</v>
      </c>
      <c r="N16" s="9">
        <f t="shared" si="8"/>
        <v>76.923000000000002</v>
      </c>
      <c r="O16" s="9">
        <f t="shared" si="0"/>
        <v>8.3028000000000013</v>
      </c>
      <c r="P16" s="108">
        <f t="shared" si="1"/>
        <v>2.4420000000000002</v>
      </c>
      <c r="Z16" s="110">
        <v>13</v>
      </c>
      <c r="AA16" s="9"/>
      <c r="AB16" s="9">
        <f t="shared" si="13"/>
        <v>24.42</v>
      </c>
      <c r="AC16" s="9"/>
      <c r="AD16" s="9">
        <f t="shared" si="10"/>
        <v>61.050000000000004</v>
      </c>
    </row>
    <row r="17" spans="2:30">
      <c r="B17" s="110">
        <v>14</v>
      </c>
      <c r="C17" s="9">
        <v>3.73</v>
      </c>
      <c r="D17" s="9">
        <f>'[1]Avaluo de cargas piso 1'!D19</f>
        <v>12.120000000000001</v>
      </c>
      <c r="E17" s="9">
        <f t="shared" si="2"/>
        <v>17.089200000000002</v>
      </c>
      <c r="F17" s="9">
        <f t="shared" si="3"/>
        <v>2.4240000000000004</v>
      </c>
      <c r="G17" s="211"/>
      <c r="H17" s="9">
        <f t="shared" si="14"/>
        <v>11.749499999999999</v>
      </c>
      <c r="I17" s="9"/>
      <c r="J17" s="9">
        <f t="shared" si="4"/>
        <v>3.0300000000000002</v>
      </c>
      <c r="K17" s="9"/>
      <c r="L17" s="9">
        <f t="shared" si="6"/>
        <v>18.18</v>
      </c>
      <c r="M17" s="9">
        <f t="shared" si="7"/>
        <v>1.2120000000000002</v>
      </c>
      <c r="N17" s="9">
        <f t="shared" si="8"/>
        <v>76.356000000000009</v>
      </c>
      <c r="O17" s="9">
        <f t="shared" si="0"/>
        <v>8.2416000000000018</v>
      </c>
      <c r="P17" s="108">
        <f t="shared" si="1"/>
        <v>2.4240000000000004</v>
      </c>
      <c r="Z17" s="110">
        <v>14</v>
      </c>
      <c r="AA17" s="9"/>
      <c r="AB17" s="9">
        <f t="shared" si="13"/>
        <v>24.240000000000002</v>
      </c>
      <c r="AC17" s="9"/>
      <c r="AD17" s="9">
        <f t="shared" si="10"/>
        <v>60.600000000000009</v>
      </c>
    </row>
    <row r="18" spans="2:30">
      <c r="B18" s="110">
        <v>15</v>
      </c>
      <c r="C18" s="9">
        <v>3.73</v>
      </c>
      <c r="D18" s="9">
        <f>'[1]Avaluo de cargas piso 1'!D20</f>
        <v>12.120000000000001</v>
      </c>
      <c r="E18" s="9">
        <f t="shared" si="2"/>
        <v>17.089200000000002</v>
      </c>
      <c r="F18" s="9">
        <f t="shared" si="3"/>
        <v>2.4240000000000004</v>
      </c>
      <c r="G18" s="211"/>
      <c r="H18" s="9">
        <f t="shared" si="14"/>
        <v>11.749499999999999</v>
      </c>
      <c r="I18" s="9"/>
      <c r="J18" s="9">
        <f t="shared" si="4"/>
        <v>3.0300000000000002</v>
      </c>
      <c r="K18" s="9"/>
      <c r="L18" s="9">
        <f t="shared" si="6"/>
        <v>18.18</v>
      </c>
      <c r="M18" s="9">
        <f t="shared" si="7"/>
        <v>1.2120000000000002</v>
      </c>
      <c r="N18" s="9">
        <f t="shared" si="8"/>
        <v>76.356000000000009</v>
      </c>
      <c r="O18" s="9">
        <f t="shared" si="0"/>
        <v>8.2416000000000018</v>
      </c>
      <c r="P18" s="108">
        <f t="shared" si="1"/>
        <v>2.4240000000000004</v>
      </c>
      <c r="Z18" s="110">
        <v>15</v>
      </c>
      <c r="AA18" s="9"/>
      <c r="AB18" s="9">
        <f t="shared" si="13"/>
        <v>24.240000000000002</v>
      </c>
      <c r="AC18" s="9"/>
      <c r="AD18" s="9">
        <f t="shared" si="10"/>
        <v>60.600000000000009</v>
      </c>
    </row>
    <row r="19" spans="2:30">
      <c r="B19" s="110">
        <v>16</v>
      </c>
      <c r="C19" s="9">
        <v>3.7</v>
      </c>
      <c r="D19" s="9">
        <f>'[1]Avaluo de cargas piso 1'!D21</f>
        <v>12.21</v>
      </c>
      <c r="E19" s="9">
        <f t="shared" si="2"/>
        <v>17.216100000000001</v>
      </c>
      <c r="F19" s="9">
        <f t="shared" si="3"/>
        <v>2.4420000000000002</v>
      </c>
      <c r="G19" s="211"/>
      <c r="H19" s="9">
        <f t="shared" si="14"/>
        <v>11.654999999999999</v>
      </c>
      <c r="I19" s="9"/>
      <c r="J19" s="9">
        <f t="shared" si="4"/>
        <v>3.0525000000000002</v>
      </c>
      <c r="K19" s="9"/>
      <c r="L19" s="9">
        <f t="shared" si="6"/>
        <v>18.315000000000001</v>
      </c>
      <c r="M19" s="9">
        <f t="shared" si="7"/>
        <v>1.2210000000000001</v>
      </c>
      <c r="N19" s="9">
        <f t="shared" si="8"/>
        <v>76.923000000000002</v>
      </c>
      <c r="O19" s="9">
        <f t="shared" si="0"/>
        <v>8.3028000000000013</v>
      </c>
      <c r="P19" s="108">
        <f t="shared" si="1"/>
        <v>2.4420000000000002</v>
      </c>
      <c r="Z19" s="110">
        <v>16</v>
      </c>
      <c r="AA19" s="9"/>
      <c r="AB19" s="9">
        <f t="shared" si="13"/>
        <v>24.42</v>
      </c>
      <c r="AC19" s="9"/>
      <c r="AD19" s="9">
        <f t="shared" si="10"/>
        <v>61.050000000000004</v>
      </c>
    </row>
    <row r="20" spans="2:30">
      <c r="B20" s="110">
        <v>17</v>
      </c>
      <c r="C20" s="9">
        <v>2.5</v>
      </c>
      <c r="D20" s="9">
        <v>5</v>
      </c>
      <c r="E20" s="9">
        <f t="shared" si="2"/>
        <v>7.05</v>
      </c>
      <c r="F20" s="9">
        <f t="shared" si="3"/>
        <v>1</v>
      </c>
      <c r="G20" s="211"/>
      <c r="H20" s="9"/>
      <c r="I20" s="9"/>
      <c r="J20" s="9">
        <f t="shared" si="4"/>
        <v>1.25</v>
      </c>
      <c r="K20" s="9">
        <f t="shared" si="5"/>
        <v>2.5</v>
      </c>
      <c r="L20" s="9">
        <f t="shared" si="6"/>
        <v>7.5</v>
      </c>
      <c r="M20" s="9">
        <f t="shared" si="7"/>
        <v>0.5</v>
      </c>
      <c r="N20" s="9">
        <f t="shared" si="8"/>
        <v>31.5</v>
      </c>
      <c r="O20" s="9">
        <f t="shared" si="0"/>
        <v>3.4000000000000004</v>
      </c>
      <c r="P20" s="108">
        <f t="shared" si="1"/>
        <v>1</v>
      </c>
      <c r="Z20" s="110">
        <v>17</v>
      </c>
      <c r="AA20" s="9"/>
      <c r="AB20" s="9">
        <f t="shared" si="13"/>
        <v>10</v>
      </c>
      <c r="AC20" s="9"/>
      <c r="AD20" s="9">
        <f t="shared" si="10"/>
        <v>25</v>
      </c>
    </row>
    <row r="21" spans="2:30">
      <c r="B21" s="110">
        <v>18</v>
      </c>
      <c r="C21" s="9">
        <v>4.92</v>
      </c>
      <c r="D21" s="9">
        <f>9.84+13.53</f>
        <v>23.369999999999997</v>
      </c>
      <c r="E21" s="9">
        <f t="shared" si="2"/>
        <v>32.951699999999995</v>
      </c>
      <c r="F21" s="9">
        <f t="shared" si="3"/>
        <v>4.6739999999999995</v>
      </c>
      <c r="G21" s="211"/>
      <c r="H21" s="9">
        <f>$H$3*3.5*C21</f>
        <v>15.497999999999999</v>
      </c>
      <c r="I21" s="9"/>
      <c r="J21" s="9">
        <f t="shared" si="4"/>
        <v>5.8424999999999994</v>
      </c>
      <c r="K21" s="9"/>
      <c r="L21" s="9">
        <f t="shared" si="6"/>
        <v>35.054999999999993</v>
      </c>
      <c r="M21" s="9">
        <f t="shared" si="7"/>
        <v>2.3369999999999997</v>
      </c>
      <c r="N21" s="9">
        <f t="shared" si="8"/>
        <v>147.23099999999999</v>
      </c>
      <c r="O21" s="9">
        <f t="shared" si="0"/>
        <v>15.891599999999999</v>
      </c>
      <c r="P21" s="108">
        <f t="shared" si="1"/>
        <v>4.6739999999999995</v>
      </c>
      <c r="Z21" s="110">
        <v>18</v>
      </c>
      <c r="AA21" s="9"/>
      <c r="AB21" s="9">
        <f t="shared" si="13"/>
        <v>46.739999999999995</v>
      </c>
      <c r="AC21" s="9"/>
      <c r="AD21" s="9">
        <f t="shared" si="10"/>
        <v>116.85</v>
      </c>
    </row>
    <row r="22" spans="2:30">
      <c r="B22" s="110">
        <v>19</v>
      </c>
      <c r="C22" s="9">
        <v>4.92</v>
      </c>
      <c r="D22" s="9">
        <f>D21</f>
        <v>23.369999999999997</v>
      </c>
      <c r="E22" s="9">
        <f t="shared" si="2"/>
        <v>32.951699999999995</v>
      </c>
      <c r="F22" s="9">
        <f t="shared" si="3"/>
        <v>4.6739999999999995</v>
      </c>
      <c r="G22" s="211"/>
      <c r="H22" s="9">
        <f>$H$3*3.5*C22</f>
        <v>15.497999999999999</v>
      </c>
      <c r="I22" s="9"/>
      <c r="J22" s="9">
        <f t="shared" si="4"/>
        <v>5.8424999999999994</v>
      </c>
      <c r="K22" s="9"/>
      <c r="L22" s="9">
        <f t="shared" si="6"/>
        <v>35.054999999999993</v>
      </c>
      <c r="M22" s="9">
        <f t="shared" si="7"/>
        <v>2.3369999999999997</v>
      </c>
      <c r="N22" s="9">
        <f t="shared" si="8"/>
        <v>147.23099999999999</v>
      </c>
      <c r="O22" s="9">
        <f t="shared" si="0"/>
        <v>15.891599999999999</v>
      </c>
      <c r="P22" s="108">
        <f t="shared" si="1"/>
        <v>4.6739999999999995</v>
      </c>
      <c r="Z22" s="110">
        <v>19</v>
      </c>
      <c r="AA22" s="9"/>
      <c r="AB22" s="9">
        <f t="shared" si="13"/>
        <v>46.739999999999995</v>
      </c>
      <c r="AC22" s="9"/>
      <c r="AD22" s="9">
        <f t="shared" si="10"/>
        <v>116.85</v>
      </c>
    </row>
    <row r="23" spans="2:30">
      <c r="B23" s="110">
        <v>20</v>
      </c>
      <c r="C23" s="9">
        <v>2.5</v>
      </c>
      <c r="D23" s="9">
        <v>5</v>
      </c>
      <c r="E23" s="9">
        <f t="shared" si="2"/>
        <v>7.05</v>
      </c>
      <c r="F23" s="9">
        <f t="shared" si="3"/>
        <v>1</v>
      </c>
      <c r="G23" s="211"/>
      <c r="H23" s="9"/>
      <c r="I23" s="9"/>
      <c r="J23" s="9">
        <f t="shared" si="4"/>
        <v>1.25</v>
      </c>
      <c r="K23" s="9">
        <f t="shared" si="5"/>
        <v>2.5</v>
      </c>
      <c r="L23" s="9">
        <f t="shared" si="6"/>
        <v>7.5</v>
      </c>
      <c r="M23" s="9">
        <f t="shared" si="7"/>
        <v>0.5</v>
      </c>
      <c r="N23" s="9">
        <f t="shared" si="8"/>
        <v>31.5</v>
      </c>
      <c r="O23" s="9">
        <f t="shared" si="0"/>
        <v>3.4000000000000004</v>
      </c>
      <c r="P23" s="108">
        <f t="shared" si="1"/>
        <v>1</v>
      </c>
      <c r="Z23" s="110">
        <v>20</v>
      </c>
      <c r="AA23" s="9"/>
      <c r="AB23" s="9">
        <f t="shared" si="13"/>
        <v>10</v>
      </c>
      <c r="AC23" s="9"/>
      <c r="AD23" s="9">
        <f t="shared" si="10"/>
        <v>25</v>
      </c>
    </row>
    <row r="24" spans="2:30">
      <c r="B24" s="110">
        <v>21</v>
      </c>
      <c r="C24" s="9">
        <v>2.5</v>
      </c>
      <c r="D24" s="9">
        <f>D23</f>
        <v>5</v>
      </c>
      <c r="E24" s="9">
        <f t="shared" si="2"/>
        <v>7.05</v>
      </c>
      <c r="F24" s="9">
        <f t="shared" si="3"/>
        <v>1</v>
      </c>
      <c r="G24" s="211"/>
      <c r="H24" s="9"/>
      <c r="I24" s="9"/>
      <c r="J24" s="9">
        <f t="shared" si="4"/>
        <v>1.25</v>
      </c>
      <c r="K24" s="9">
        <f t="shared" si="5"/>
        <v>2.5</v>
      </c>
      <c r="L24" s="9">
        <f t="shared" si="6"/>
        <v>7.5</v>
      </c>
      <c r="M24" s="9">
        <f t="shared" si="7"/>
        <v>0.5</v>
      </c>
      <c r="N24" s="9">
        <f t="shared" si="8"/>
        <v>31.5</v>
      </c>
      <c r="O24" s="9">
        <f t="shared" si="0"/>
        <v>3.4000000000000004</v>
      </c>
      <c r="P24" s="108">
        <f t="shared" si="1"/>
        <v>1</v>
      </c>
      <c r="Z24" s="110">
        <v>21</v>
      </c>
      <c r="AA24" s="9"/>
      <c r="AB24" s="9">
        <f t="shared" si="13"/>
        <v>10</v>
      </c>
      <c r="AC24" s="9"/>
      <c r="AD24" s="9">
        <f t="shared" si="10"/>
        <v>25</v>
      </c>
    </row>
    <row r="25" spans="2:30">
      <c r="B25" s="110">
        <v>22</v>
      </c>
      <c r="C25" s="9">
        <v>4.92</v>
      </c>
      <c r="D25" s="9">
        <f>13.53+9.84</f>
        <v>23.369999999999997</v>
      </c>
      <c r="E25" s="9">
        <f t="shared" si="2"/>
        <v>32.951699999999995</v>
      </c>
      <c r="F25" s="9">
        <f t="shared" si="3"/>
        <v>4.6739999999999995</v>
      </c>
      <c r="G25" s="211"/>
      <c r="H25" s="9">
        <f>$H$3*3.5*C25</f>
        <v>15.497999999999999</v>
      </c>
      <c r="I25" s="9"/>
      <c r="J25" s="9">
        <f t="shared" si="4"/>
        <v>5.8424999999999994</v>
      </c>
      <c r="K25" s="9"/>
      <c r="L25" s="9">
        <f t="shared" si="6"/>
        <v>35.054999999999993</v>
      </c>
      <c r="M25" s="9">
        <f t="shared" si="7"/>
        <v>2.3369999999999997</v>
      </c>
      <c r="N25" s="9">
        <f t="shared" si="8"/>
        <v>147.23099999999999</v>
      </c>
      <c r="O25" s="9">
        <f t="shared" si="0"/>
        <v>15.891599999999999</v>
      </c>
      <c r="P25" s="108">
        <f t="shared" si="1"/>
        <v>4.6739999999999995</v>
      </c>
      <c r="Z25" s="110">
        <v>22</v>
      </c>
      <c r="AA25" s="9"/>
      <c r="AB25" s="9">
        <f t="shared" si="13"/>
        <v>46.739999999999995</v>
      </c>
      <c r="AC25" s="9"/>
      <c r="AD25" s="9">
        <f t="shared" si="10"/>
        <v>116.85</v>
      </c>
    </row>
    <row r="26" spans="2:30">
      <c r="B26" s="110">
        <v>23</v>
      </c>
      <c r="C26" s="9">
        <v>4.92</v>
      </c>
      <c r="D26" s="9">
        <f>D25</f>
        <v>23.369999999999997</v>
      </c>
      <c r="E26" s="9">
        <f t="shared" si="2"/>
        <v>32.951699999999995</v>
      </c>
      <c r="F26" s="9">
        <f t="shared" si="3"/>
        <v>4.6739999999999995</v>
      </c>
      <c r="G26" s="211"/>
      <c r="H26" s="9">
        <f>$H$3*3.5*C26</f>
        <v>15.497999999999999</v>
      </c>
      <c r="I26" s="9"/>
      <c r="J26" s="9">
        <f t="shared" si="4"/>
        <v>5.8424999999999994</v>
      </c>
      <c r="K26" s="9"/>
      <c r="L26" s="9">
        <f t="shared" si="6"/>
        <v>35.054999999999993</v>
      </c>
      <c r="M26" s="9">
        <f t="shared" si="7"/>
        <v>2.3369999999999997</v>
      </c>
      <c r="N26" s="9">
        <f t="shared" si="8"/>
        <v>147.23099999999999</v>
      </c>
      <c r="O26" s="9">
        <f t="shared" si="0"/>
        <v>15.891599999999999</v>
      </c>
      <c r="P26" s="108">
        <f t="shared" si="1"/>
        <v>4.6739999999999995</v>
      </c>
      <c r="Z26" s="110">
        <v>23</v>
      </c>
      <c r="AA26" s="9"/>
      <c r="AB26" s="9">
        <f t="shared" si="13"/>
        <v>46.739999999999995</v>
      </c>
      <c r="AC26" s="9"/>
      <c r="AD26" s="9">
        <f t="shared" si="10"/>
        <v>116.85</v>
      </c>
    </row>
    <row r="27" spans="2:30">
      <c r="B27" s="110">
        <v>24</v>
      </c>
      <c r="C27" s="9">
        <v>2.5</v>
      </c>
      <c r="D27" s="9">
        <v>5</v>
      </c>
      <c r="E27" s="9">
        <f t="shared" si="2"/>
        <v>7.05</v>
      </c>
      <c r="F27" s="9">
        <f t="shared" si="3"/>
        <v>1</v>
      </c>
      <c r="G27" s="211"/>
      <c r="H27" s="9"/>
      <c r="I27" s="9"/>
      <c r="J27" s="9">
        <f t="shared" si="4"/>
        <v>1.25</v>
      </c>
      <c r="K27" s="9">
        <f t="shared" si="5"/>
        <v>2.5</v>
      </c>
      <c r="L27" s="9">
        <f t="shared" si="6"/>
        <v>7.5</v>
      </c>
      <c r="M27" s="9">
        <f t="shared" si="7"/>
        <v>0.5</v>
      </c>
      <c r="N27" s="9">
        <f t="shared" si="8"/>
        <v>31.5</v>
      </c>
      <c r="O27" s="9">
        <f t="shared" si="0"/>
        <v>3.4000000000000004</v>
      </c>
      <c r="P27" s="108">
        <f t="shared" si="1"/>
        <v>1</v>
      </c>
      <c r="Z27" s="110">
        <v>24</v>
      </c>
      <c r="AA27" s="9"/>
      <c r="AB27" s="9">
        <f t="shared" si="13"/>
        <v>10</v>
      </c>
      <c r="AC27" s="9"/>
      <c r="AD27" s="9">
        <f t="shared" si="10"/>
        <v>25</v>
      </c>
    </row>
    <row r="28" spans="2:30">
      <c r="B28" s="110">
        <v>25</v>
      </c>
      <c r="C28" s="9">
        <v>3.7</v>
      </c>
      <c r="D28" s="9">
        <f>7.4+4.625</f>
        <v>12.025</v>
      </c>
      <c r="E28" s="9">
        <f t="shared" si="2"/>
        <v>16.955249999999999</v>
      </c>
      <c r="F28" s="9">
        <f t="shared" si="3"/>
        <v>2.4050000000000002</v>
      </c>
      <c r="G28" s="211"/>
      <c r="H28" s="9">
        <f>$H$3*3.5*C28</f>
        <v>11.654999999999999</v>
      </c>
      <c r="I28" s="9"/>
      <c r="J28" s="9">
        <f t="shared" si="4"/>
        <v>3.0062500000000001</v>
      </c>
      <c r="K28" s="9"/>
      <c r="L28" s="9">
        <f t="shared" si="6"/>
        <v>18.037500000000001</v>
      </c>
      <c r="M28" s="9">
        <f t="shared" si="7"/>
        <v>1.2025000000000001</v>
      </c>
      <c r="N28" s="9">
        <f t="shared" si="8"/>
        <v>75.757499999999993</v>
      </c>
      <c r="O28" s="9">
        <f t="shared" si="0"/>
        <v>8.1770000000000014</v>
      </c>
      <c r="P28" s="108">
        <f t="shared" si="1"/>
        <v>2.4050000000000002</v>
      </c>
      <c r="Z28" s="110">
        <v>25</v>
      </c>
      <c r="AA28" s="9"/>
      <c r="AB28" s="9">
        <f t="shared" si="13"/>
        <v>24.05</v>
      </c>
      <c r="AC28" s="9"/>
      <c r="AD28" s="9">
        <f t="shared" si="10"/>
        <v>60.125</v>
      </c>
    </row>
    <row r="29" spans="2:30">
      <c r="B29" s="110">
        <v>26</v>
      </c>
      <c r="C29" s="9">
        <v>3.73</v>
      </c>
      <c r="D29" s="9">
        <f>7.46+4.66</f>
        <v>12.120000000000001</v>
      </c>
      <c r="E29" s="9">
        <f t="shared" si="2"/>
        <v>17.089200000000002</v>
      </c>
      <c r="F29" s="9">
        <f t="shared" si="3"/>
        <v>2.4240000000000004</v>
      </c>
      <c r="G29" s="211"/>
      <c r="H29" s="9">
        <f>$H$3*3.5*C29</f>
        <v>11.749499999999999</v>
      </c>
      <c r="I29" s="9"/>
      <c r="J29" s="9">
        <f t="shared" si="4"/>
        <v>3.0300000000000002</v>
      </c>
      <c r="K29" s="9"/>
      <c r="L29" s="9">
        <f t="shared" si="6"/>
        <v>18.18</v>
      </c>
      <c r="M29" s="9">
        <f t="shared" si="7"/>
        <v>1.2120000000000002</v>
      </c>
      <c r="N29" s="9">
        <f t="shared" si="8"/>
        <v>76.356000000000009</v>
      </c>
      <c r="O29" s="9">
        <f t="shared" si="0"/>
        <v>8.2416000000000018</v>
      </c>
      <c r="P29" s="108">
        <f t="shared" si="1"/>
        <v>2.4240000000000004</v>
      </c>
      <c r="Z29" s="110">
        <v>26</v>
      </c>
      <c r="AA29" s="9"/>
      <c r="AB29" s="9">
        <f t="shared" si="13"/>
        <v>24.240000000000002</v>
      </c>
      <c r="AC29" s="9"/>
      <c r="AD29" s="9">
        <f t="shared" si="10"/>
        <v>60.600000000000009</v>
      </c>
    </row>
    <row r="30" spans="2:30">
      <c r="B30" s="110">
        <v>27</v>
      </c>
      <c r="C30" s="9">
        <v>3.73</v>
      </c>
      <c r="D30" s="9">
        <f>D29</f>
        <v>12.120000000000001</v>
      </c>
      <c r="E30" s="9">
        <f t="shared" si="2"/>
        <v>17.089200000000002</v>
      </c>
      <c r="F30" s="9">
        <f t="shared" si="3"/>
        <v>2.4240000000000004</v>
      </c>
      <c r="G30" s="211"/>
      <c r="H30" s="9">
        <f>$H$3*3.5*C30</f>
        <v>11.749499999999999</v>
      </c>
      <c r="I30" s="9"/>
      <c r="J30" s="9">
        <f t="shared" si="4"/>
        <v>3.0300000000000002</v>
      </c>
      <c r="K30" s="9"/>
      <c r="L30" s="9">
        <f t="shared" si="6"/>
        <v>18.18</v>
      </c>
      <c r="M30" s="9">
        <f t="shared" si="7"/>
        <v>1.2120000000000002</v>
      </c>
      <c r="N30" s="9">
        <f t="shared" si="8"/>
        <v>76.356000000000009</v>
      </c>
      <c r="O30" s="9">
        <f t="shared" si="0"/>
        <v>8.2416000000000018</v>
      </c>
      <c r="P30" s="108">
        <f t="shared" si="1"/>
        <v>2.4240000000000004</v>
      </c>
      <c r="Z30" s="110">
        <v>27</v>
      </c>
      <c r="AA30" s="9"/>
      <c r="AB30" s="9">
        <f t="shared" si="13"/>
        <v>24.240000000000002</v>
      </c>
      <c r="AC30" s="9"/>
      <c r="AD30" s="9">
        <f t="shared" si="10"/>
        <v>60.600000000000009</v>
      </c>
    </row>
    <row r="31" spans="2:30">
      <c r="B31" s="110">
        <v>28</v>
      </c>
      <c r="C31" s="9">
        <v>3.7</v>
      </c>
      <c r="D31" s="9">
        <f>7.4+4.625</f>
        <v>12.025</v>
      </c>
      <c r="E31" s="9">
        <f t="shared" si="2"/>
        <v>16.955249999999999</v>
      </c>
      <c r="F31" s="9">
        <f t="shared" si="3"/>
        <v>2.4050000000000002</v>
      </c>
      <c r="G31" s="211"/>
      <c r="H31" s="9">
        <f>$H$3*3.5*C31</f>
        <v>11.654999999999999</v>
      </c>
      <c r="I31" s="9"/>
      <c r="J31" s="9">
        <f t="shared" si="4"/>
        <v>3.0062500000000001</v>
      </c>
      <c r="K31" s="9"/>
      <c r="L31" s="9">
        <f t="shared" si="6"/>
        <v>18.037500000000001</v>
      </c>
      <c r="M31" s="9">
        <f t="shared" si="7"/>
        <v>1.2025000000000001</v>
      </c>
      <c r="N31" s="9">
        <f t="shared" si="8"/>
        <v>75.757499999999993</v>
      </c>
      <c r="O31" s="9">
        <f t="shared" si="0"/>
        <v>8.1770000000000014</v>
      </c>
      <c r="P31" s="108">
        <f t="shared" si="1"/>
        <v>2.4050000000000002</v>
      </c>
      <c r="Z31" s="110">
        <v>28</v>
      </c>
      <c r="AA31" s="9"/>
      <c r="AB31" s="9">
        <f t="shared" si="13"/>
        <v>24.05</v>
      </c>
      <c r="AC31" s="9"/>
      <c r="AD31" s="9">
        <f t="shared" si="10"/>
        <v>60.125</v>
      </c>
    </row>
    <row r="32" spans="2:30">
      <c r="B32" s="110">
        <v>29</v>
      </c>
      <c r="C32" s="9">
        <v>3.7</v>
      </c>
      <c r="D32" s="9">
        <f>4.625+4.81</f>
        <v>9.4349999999999987</v>
      </c>
      <c r="E32" s="9">
        <f t="shared" si="2"/>
        <v>13.303349999999998</v>
      </c>
      <c r="F32" s="9"/>
      <c r="G32" s="211">
        <f>$G$3*((D32))</f>
        <v>0.14152499999999998</v>
      </c>
      <c r="H32" s="9">
        <f t="shared" si="11"/>
        <v>11.654999999999999</v>
      </c>
      <c r="I32" s="9"/>
      <c r="J32" s="9">
        <f t="shared" si="4"/>
        <v>2.3587499999999997</v>
      </c>
      <c r="K32" s="9"/>
      <c r="L32" s="9">
        <f t="shared" si="6"/>
        <v>14.152499999999998</v>
      </c>
      <c r="M32" s="9">
        <f t="shared" si="7"/>
        <v>0.94349999999999989</v>
      </c>
      <c r="N32" s="9">
        <f t="shared" si="8"/>
        <v>59.440499999999986</v>
      </c>
      <c r="O32" s="9">
        <f t="shared" si="0"/>
        <v>6.4157999999999999</v>
      </c>
      <c r="P32" s="108">
        <f t="shared" si="1"/>
        <v>1.8869999999999998</v>
      </c>
      <c r="Z32" s="110">
        <v>29</v>
      </c>
      <c r="AA32" s="9"/>
      <c r="AB32" s="9">
        <f t="shared" si="13"/>
        <v>18.869999999999997</v>
      </c>
      <c r="AC32" s="9"/>
      <c r="AD32" s="9">
        <f t="shared" si="10"/>
        <v>47.174999999999997</v>
      </c>
    </row>
    <row r="33" spans="1:30">
      <c r="B33" s="110">
        <v>30</v>
      </c>
      <c r="C33" s="9">
        <v>3.73</v>
      </c>
      <c r="D33" s="9">
        <f>4.66+16.93475</f>
        <v>21.594750000000001</v>
      </c>
      <c r="E33" s="9">
        <f t="shared" si="2"/>
        <v>30.448597500000002</v>
      </c>
      <c r="F33" s="9">
        <f t="shared" si="3"/>
        <v>4.3189500000000001</v>
      </c>
      <c r="G33" s="211"/>
      <c r="H33" s="9">
        <f>$H$3*3.5*C33</f>
        <v>11.749499999999999</v>
      </c>
      <c r="I33" s="9"/>
      <c r="J33" s="9">
        <f t="shared" si="4"/>
        <v>5.3986875000000003</v>
      </c>
      <c r="K33" s="9"/>
      <c r="L33" s="9">
        <f t="shared" si="6"/>
        <v>32.392125</v>
      </c>
      <c r="M33" s="9">
        <f t="shared" si="7"/>
        <v>2.159475</v>
      </c>
      <c r="N33" s="9">
        <f t="shared" si="8"/>
        <v>136.04692500000002</v>
      </c>
      <c r="O33" s="9">
        <f t="shared" si="0"/>
        <v>14.684430000000003</v>
      </c>
      <c r="P33" s="108">
        <f t="shared" si="1"/>
        <v>4.3189500000000001</v>
      </c>
      <c r="Z33" s="110">
        <v>30</v>
      </c>
      <c r="AA33" s="9"/>
      <c r="AB33" s="9">
        <f t="shared" si="13"/>
        <v>43.189500000000002</v>
      </c>
      <c r="AC33" s="9"/>
      <c r="AD33" s="9">
        <f t="shared" si="10"/>
        <v>107.97375000000001</v>
      </c>
    </row>
    <row r="34" spans="1:30">
      <c r="B34" s="110">
        <v>31</v>
      </c>
      <c r="C34" s="9">
        <v>3.73</v>
      </c>
      <c r="D34" s="9">
        <f>D33</f>
        <v>21.594750000000001</v>
      </c>
      <c r="E34" s="9">
        <f t="shared" si="2"/>
        <v>30.448597500000002</v>
      </c>
      <c r="F34" s="9">
        <f t="shared" si="3"/>
        <v>4.3189500000000001</v>
      </c>
      <c r="G34" s="211"/>
      <c r="H34" s="9">
        <f>$H$3*3.5*C34</f>
        <v>11.749499999999999</v>
      </c>
      <c r="I34" s="9"/>
      <c r="J34" s="9">
        <f t="shared" si="4"/>
        <v>5.3986875000000003</v>
      </c>
      <c r="K34" s="9"/>
      <c r="L34" s="9">
        <f t="shared" si="6"/>
        <v>32.392125</v>
      </c>
      <c r="M34" s="9">
        <f t="shared" si="7"/>
        <v>2.159475</v>
      </c>
      <c r="N34" s="9">
        <f t="shared" si="8"/>
        <v>136.04692500000002</v>
      </c>
      <c r="O34" s="9">
        <f t="shared" si="0"/>
        <v>14.684430000000003</v>
      </c>
      <c r="P34" s="108">
        <f t="shared" si="1"/>
        <v>4.3189500000000001</v>
      </c>
      <c r="Z34" s="110">
        <v>31</v>
      </c>
      <c r="AA34" s="9"/>
      <c r="AB34" s="9">
        <f t="shared" si="13"/>
        <v>43.189500000000002</v>
      </c>
      <c r="AC34" s="9"/>
      <c r="AD34" s="9">
        <f t="shared" si="10"/>
        <v>107.97375000000001</v>
      </c>
    </row>
    <row r="35" spans="1:30">
      <c r="B35" s="110">
        <v>32</v>
      </c>
      <c r="C35" s="9">
        <v>3.7</v>
      </c>
      <c r="D35" s="9">
        <f>D32</f>
        <v>9.4349999999999987</v>
      </c>
      <c r="E35" s="9">
        <f t="shared" si="2"/>
        <v>13.303349999999998</v>
      </c>
      <c r="F35" s="9"/>
      <c r="G35" s="211">
        <f>$G$3*((D35))</f>
        <v>0.14152499999999998</v>
      </c>
      <c r="H35" s="9">
        <f t="shared" si="11"/>
        <v>11.654999999999999</v>
      </c>
      <c r="I35" s="9"/>
      <c r="J35" s="9">
        <f t="shared" si="4"/>
        <v>2.3587499999999997</v>
      </c>
      <c r="K35" s="9"/>
      <c r="L35" s="9">
        <f t="shared" si="6"/>
        <v>14.152499999999998</v>
      </c>
      <c r="M35" s="9">
        <f t="shared" si="7"/>
        <v>0.94349999999999989</v>
      </c>
      <c r="N35" s="9">
        <f t="shared" si="8"/>
        <v>59.440499999999986</v>
      </c>
      <c r="O35" s="9">
        <f t="shared" si="0"/>
        <v>6.4157999999999999</v>
      </c>
      <c r="P35" s="108">
        <f t="shared" si="1"/>
        <v>1.8869999999999998</v>
      </c>
      <c r="Z35" s="110">
        <v>32</v>
      </c>
      <c r="AA35" s="9"/>
      <c r="AB35" s="9">
        <f t="shared" si="13"/>
        <v>18.869999999999997</v>
      </c>
      <c r="AC35" s="9"/>
      <c r="AD35" s="9">
        <f t="shared" si="10"/>
        <v>47.174999999999997</v>
      </c>
    </row>
    <row r="36" spans="1:30">
      <c r="B36" s="110">
        <v>33</v>
      </c>
      <c r="C36" s="9">
        <v>3.7</v>
      </c>
      <c r="D36" s="9">
        <f>4.81+6.75</f>
        <v>11.559999999999999</v>
      </c>
      <c r="E36" s="9">
        <f t="shared" si="2"/>
        <v>16.299599999999998</v>
      </c>
      <c r="F36" s="9"/>
      <c r="G36" s="211">
        <f>$G$3*((D36))</f>
        <v>0.17339999999999997</v>
      </c>
      <c r="H36" s="9">
        <f t="shared" si="11"/>
        <v>11.654999999999999</v>
      </c>
      <c r="I36" s="9"/>
      <c r="J36" s="9">
        <f t="shared" si="4"/>
        <v>2.8899999999999997</v>
      </c>
      <c r="K36" s="9"/>
      <c r="L36" s="9">
        <f t="shared" si="6"/>
        <v>17.339999999999996</v>
      </c>
      <c r="M36" s="9">
        <f t="shared" si="7"/>
        <v>1.1559999999999999</v>
      </c>
      <c r="N36" s="9">
        <f t="shared" si="8"/>
        <v>72.828000000000003</v>
      </c>
      <c r="O36" s="9">
        <f t="shared" si="0"/>
        <v>7.8607999999999993</v>
      </c>
      <c r="P36" s="108">
        <f t="shared" si="1"/>
        <v>2.3119999999999998</v>
      </c>
      <c r="Z36" s="110">
        <v>33</v>
      </c>
      <c r="AA36" s="9"/>
      <c r="AB36" s="9">
        <f t="shared" si="13"/>
        <v>23.119999999999997</v>
      </c>
      <c r="AC36" s="9"/>
      <c r="AD36" s="9">
        <f t="shared" si="10"/>
        <v>57.8</v>
      </c>
    </row>
    <row r="37" spans="1:30">
      <c r="B37" s="110">
        <v>34</v>
      </c>
      <c r="C37" s="9">
        <v>3.7</v>
      </c>
      <c r="D37" s="9">
        <f>D36</f>
        <v>11.559999999999999</v>
      </c>
      <c r="E37" s="9">
        <f t="shared" si="2"/>
        <v>16.299599999999998</v>
      </c>
      <c r="F37" s="9">
        <f t="shared" si="3"/>
        <v>2.3119999999999998</v>
      </c>
      <c r="G37" s="211"/>
      <c r="H37" s="9">
        <f>$H$3*3.5*C37</f>
        <v>11.654999999999999</v>
      </c>
      <c r="I37" s="9"/>
      <c r="J37" s="9">
        <f t="shared" si="4"/>
        <v>2.8899999999999997</v>
      </c>
      <c r="K37" s="9"/>
      <c r="L37" s="9">
        <f t="shared" si="6"/>
        <v>17.339999999999996</v>
      </c>
      <c r="M37" s="9">
        <f t="shared" si="7"/>
        <v>1.1559999999999999</v>
      </c>
      <c r="N37" s="9">
        <f t="shared" si="8"/>
        <v>72.828000000000003</v>
      </c>
      <c r="O37" s="9">
        <f t="shared" si="0"/>
        <v>7.8607999999999993</v>
      </c>
      <c r="P37" s="108">
        <f t="shared" si="1"/>
        <v>2.3119999999999998</v>
      </c>
      <c r="Z37" s="110">
        <v>34</v>
      </c>
      <c r="AA37" s="9"/>
      <c r="AB37" s="9">
        <f t="shared" si="13"/>
        <v>23.119999999999997</v>
      </c>
      <c r="AC37" s="9"/>
      <c r="AD37" s="9">
        <f t="shared" si="10"/>
        <v>57.8</v>
      </c>
    </row>
    <row r="38" spans="1:30">
      <c r="B38" s="110">
        <v>35</v>
      </c>
      <c r="C38" s="9">
        <v>3.85</v>
      </c>
      <c r="D38" s="9">
        <f>7.026+5</f>
        <v>12.026</v>
      </c>
      <c r="E38" s="9">
        <f t="shared" si="2"/>
        <v>16.956659999999999</v>
      </c>
      <c r="F38" s="9"/>
      <c r="G38" s="211">
        <f>$G$3*((D38))</f>
        <v>0.18038999999999999</v>
      </c>
      <c r="H38" s="9">
        <f t="shared" si="11"/>
        <v>12.1275</v>
      </c>
      <c r="I38" s="9"/>
      <c r="J38" s="9">
        <f t="shared" si="4"/>
        <v>3.0065</v>
      </c>
      <c r="K38" s="9"/>
      <c r="L38" s="9">
        <f t="shared" si="6"/>
        <v>18.039000000000001</v>
      </c>
      <c r="M38" s="9">
        <f t="shared" si="7"/>
        <v>1.2026000000000001</v>
      </c>
      <c r="N38" s="9">
        <f t="shared" si="8"/>
        <v>75.763800000000003</v>
      </c>
      <c r="O38" s="9">
        <f t="shared" si="0"/>
        <v>8.1776800000000005</v>
      </c>
      <c r="P38" s="108">
        <f t="shared" si="1"/>
        <v>2.4052000000000002</v>
      </c>
      <c r="Z38" s="110">
        <v>35</v>
      </c>
      <c r="AA38" s="9"/>
      <c r="AB38" s="9">
        <f t="shared" si="13"/>
        <v>24.052</v>
      </c>
      <c r="AC38" s="9">
        <f t="shared" ref="AC38" si="15">$AC$3*((D38))</f>
        <v>60.129999999999995</v>
      </c>
      <c r="AD38" s="9">
        <f t="shared" si="10"/>
        <v>60.129999999999995</v>
      </c>
    </row>
    <row r="39" spans="1:30">
      <c r="B39" s="110">
        <v>36</v>
      </c>
      <c r="C39" s="9">
        <v>3.64</v>
      </c>
      <c r="D39" s="9">
        <f>5.07*2+16.93475</f>
        <v>27.074750000000002</v>
      </c>
      <c r="E39" s="9">
        <f t="shared" si="2"/>
        <v>38.175397500000003</v>
      </c>
      <c r="F39" s="9">
        <f t="shared" si="3"/>
        <v>5.414950000000001</v>
      </c>
      <c r="G39" s="211"/>
      <c r="H39" s="9">
        <f>$H$3*3.5*C39</f>
        <v>11.465999999999999</v>
      </c>
      <c r="I39" s="9"/>
      <c r="J39" s="9">
        <f t="shared" si="4"/>
        <v>6.7686875000000004</v>
      </c>
      <c r="K39" s="9">
        <f t="shared" si="5"/>
        <v>13.537375000000001</v>
      </c>
      <c r="L39" s="9">
        <f t="shared" si="6"/>
        <v>40.612125000000006</v>
      </c>
      <c r="M39" s="9">
        <f t="shared" si="7"/>
        <v>2.7074750000000005</v>
      </c>
      <c r="N39" s="9">
        <f t="shared" si="8"/>
        <v>170.57092500000002</v>
      </c>
      <c r="O39" s="9">
        <f t="shared" si="0"/>
        <v>18.410830000000001</v>
      </c>
      <c r="P39" s="108">
        <f t="shared" si="1"/>
        <v>5.414950000000001</v>
      </c>
      <c r="Z39" s="110">
        <v>36</v>
      </c>
      <c r="AA39" s="9">
        <f>$AA$3*((D39))</f>
        <v>135.37375</v>
      </c>
      <c r="AB39" s="9"/>
      <c r="AC39" s="9"/>
      <c r="AD39" s="9">
        <f t="shared" si="10"/>
        <v>135.37375</v>
      </c>
    </row>
    <row r="40" spans="1:30">
      <c r="B40" s="110">
        <v>37</v>
      </c>
      <c r="C40" s="9">
        <v>3.64</v>
      </c>
      <c r="D40" s="9">
        <f>D39</f>
        <v>27.074750000000002</v>
      </c>
      <c r="E40" s="9">
        <f t="shared" si="2"/>
        <v>38.175397500000003</v>
      </c>
      <c r="F40" s="9">
        <f t="shared" si="3"/>
        <v>5.414950000000001</v>
      </c>
      <c r="G40" s="211"/>
      <c r="H40" s="9">
        <f>$H$3*3.5*C40</f>
        <v>11.465999999999999</v>
      </c>
      <c r="I40" s="9"/>
      <c r="J40" s="9">
        <f t="shared" si="4"/>
        <v>6.7686875000000004</v>
      </c>
      <c r="K40" s="9">
        <f t="shared" si="5"/>
        <v>13.537375000000001</v>
      </c>
      <c r="L40" s="9">
        <f t="shared" si="6"/>
        <v>40.612125000000006</v>
      </c>
      <c r="M40" s="9">
        <f t="shared" si="7"/>
        <v>2.7074750000000005</v>
      </c>
      <c r="N40" s="9">
        <f t="shared" si="8"/>
        <v>170.57092500000002</v>
      </c>
      <c r="O40" s="9">
        <f t="shared" si="0"/>
        <v>18.410830000000001</v>
      </c>
      <c r="P40" s="108">
        <f t="shared" si="1"/>
        <v>5.414950000000001</v>
      </c>
      <c r="Z40" s="110">
        <v>37</v>
      </c>
      <c r="AA40" s="9">
        <f>$AA$3*((D40))</f>
        <v>135.37375</v>
      </c>
      <c r="AB40" s="9"/>
      <c r="AC40" s="9"/>
      <c r="AD40" s="9">
        <f t="shared" si="10"/>
        <v>135.37375</v>
      </c>
    </row>
    <row r="41" spans="1:30">
      <c r="B41" s="110">
        <v>38</v>
      </c>
      <c r="C41" s="9">
        <v>3.85</v>
      </c>
      <c r="D41" s="9">
        <f>D38</f>
        <v>12.026</v>
      </c>
      <c r="E41" s="9">
        <f t="shared" si="2"/>
        <v>16.956659999999999</v>
      </c>
      <c r="F41" s="9">
        <f t="shared" si="3"/>
        <v>2.4052000000000002</v>
      </c>
      <c r="G41" s="211"/>
      <c r="H41" s="9">
        <f>$H$3*3.5*C41</f>
        <v>12.1275</v>
      </c>
      <c r="I41" s="9"/>
      <c r="J41" s="9">
        <f t="shared" si="4"/>
        <v>3.0065</v>
      </c>
      <c r="K41" s="9"/>
      <c r="L41" s="9">
        <f t="shared" si="6"/>
        <v>18.039000000000001</v>
      </c>
      <c r="M41" s="9">
        <f t="shared" si="7"/>
        <v>1.2026000000000001</v>
      </c>
      <c r="N41" s="9">
        <f t="shared" si="8"/>
        <v>75.763800000000003</v>
      </c>
      <c r="O41" s="9">
        <f t="shared" si="0"/>
        <v>8.1776800000000005</v>
      </c>
      <c r="P41" s="108">
        <f t="shared" si="1"/>
        <v>2.4052000000000002</v>
      </c>
      <c r="Z41" s="110">
        <v>38</v>
      </c>
      <c r="AA41" s="9"/>
      <c r="AB41" s="9">
        <f t="shared" ref="AB41" si="16">$AB$3*((D41))</f>
        <v>24.052</v>
      </c>
      <c r="AC41" s="9">
        <f t="shared" ref="AC41:AC43" si="17">$AC$3*((D41))</f>
        <v>60.129999999999995</v>
      </c>
      <c r="AD41" s="9">
        <f t="shared" si="10"/>
        <v>60.129999999999995</v>
      </c>
    </row>
    <row r="42" spans="1:30">
      <c r="A42" t="s">
        <v>125</v>
      </c>
      <c r="B42" s="110">
        <v>39</v>
      </c>
      <c r="C42" s="9">
        <v>3.85</v>
      </c>
      <c r="D42" s="9">
        <v>5</v>
      </c>
      <c r="E42" s="9">
        <f t="shared" si="2"/>
        <v>7.05</v>
      </c>
      <c r="F42" s="9">
        <f t="shared" si="3"/>
        <v>1</v>
      </c>
      <c r="G42" s="211"/>
      <c r="H42" s="9">
        <f>$H$3*3.5*C42</f>
        <v>12.1275</v>
      </c>
      <c r="I42" s="9">
        <f>$I$3*3.5*D42</f>
        <v>52.5</v>
      </c>
      <c r="J42" s="9">
        <f t="shared" si="4"/>
        <v>1.25</v>
      </c>
      <c r="K42" s="9">
        <f t="shared" si="5"/>
        <v>2.5</v>
      </c>
      <c r="L42" s="9">
        <f t="shared" si="6"/>
        <v>7.5</v>
      </c>
      <c r="M42" s="9">
        <f t="shared" si="7"/>
        <v>0.5</v>
      </c>
      <c r="N42" s="9">
        <f t="shared" si="8"/>
        <v>31.5</v>
      </c>
      <c r="O42" s="9">
        <f t="shared" si="0"/>
        <v>3.4000000000000004</v>
      </c>
      <c r="P42" s="108">
        <f t="shared" si="1"/>
        <v>1</v>
      </c>
      <c r="Z42" s="110">
        <v>39</v>
      </c>
      <c r="AA42" s="9"/>
      <c r="AB42" s="9"/>
      <c r="AC42" s="9">
        <f t="shared" si="17"/>
        <v>25</v>
      </c>
      <c r="AD42" s="9">
        <f t="shared" si="10"/>
        <v>25</v>
      </c>
    </row>
    <row r="43" spans="1:30" ht="15.75" thickBot="1">
      <c r="A43" t="s">
        <v>125</v>
      </c>
      <c r="B43" s="110">
        <v>40</v>
      </c>
      <c r="C43" s="9">
        <v>3.85</v>
      </c>
      <c r="D43" s="9">
        <v>5</v>
      </c>
      <c r="E43" s="9">
        <f t="shared" si="2"/>
        <v>7.05</v>
      </c>
      <c r="F43" s="9">
        <f t="shared" si="3"/>
        <v>1</v>
      </c>
      <c r="G43" s="211"/>
      <c r="H43" s="9">
        <f>$H$3*3.5*C43</f>
        <v>12.1275</v>
      </c>
      <c r="I43" s="9">
        <f>$I$3*3.5*D43</f>
        <v>52.5</v>
      </c>
      <c r="J43" s="9">
        <f t="shared" si="4"/>
        <v>1.25</v>
      </c>
      <c r="K43" s="9">
        <f t="shared" si="5"/>
        <v>2.5</v>
      </c>
      <c r="L43" s="9">
        <f t="shared" si="6"/>
        <v>7.5</v>
      </c>
      <c r="M43" s="9">
        <f t="shared" si="7"/>
        <v>0.5</v>
      </c>
      <c r="N43" s="9">
        <f t="shared" si="8"/>
        <v>31.5</v>
      </c>
      <c r="O43" s="9">
        <f t="shared" si="0"/>
        <v>3.4000000000000004</v>
      </c>
      <c r="P43" s="108">
        <f t="shared" si="1"/>
        <v>1</v>
      </c>
      <c r="Z43" s="112">
        <v>40</v>
      </c>
      <c r="AA43" s="113"/>
      <c r="AB43" s="113"/>
      <c r="AC43" s="9">
        <f t="shared" si="17"/>
        <v>25</v>
      </c>
      <c r="AD43" s="9">
        <f t="shared" si="10"/>
        <v>25</v>
      </c>
    </row>
    <row r="44" spans="1:30" ht="15.75" thickBot="1">
      <c r="B44" s="131" t="s">
        <v>112</v>
      </c>
      <c r="C44" s="132">
        <f>SUM(C4:C43)</f>
        <v>149.28</v>
      </c>
      <c r="D44" s="132">
        <f t="shared" ref="D44:N44" si="18">SUM(D4:D43)</f>
        <v>557.54999999999995</v>
      </c>
      <c r="E44" s="132">
        <f t="shared" si="18"/>
        <v>786.14550000000031</v>
      </c>
      <c r="F44" s="132">
        <f t="shared" si="18"/>
        <v>93.586800000000011</v>
      </c>
      <c r="G44" s="132">
        <f t="shared" si="18"/>
        <v>1.3442399999999999</v>
      </c>
      <c r="H44" s="132">
        <f>SUM(H4:H43)</f>
        <v>438.73199999999991</v>
      </c>
      <c r="I44" s="132">
        <f t="shared" si="18"/>
        <v>210</v>
      </c>
      <c r="J44" s="132">
        <f t="shared" si="18"/>
        <v>139.38749999999999</v>
      </c>
      <c r="K44" s="132"/>
      <c r="L44" s="132">
        <f t="shared" si="18"/>
        <v>836.32499999999993</v>
      </c>
      <c r="M44" s="132">
        <f t="shared" si="18"/>
        <v>55.75500000000001</v>
      </c>
      <c r="N44" s="132">
        <f t="shared" si="18"/>
        <v>3512.5650000000014</v>
      </c>
      <c r="O44" s="132">
        <f>SUM(O4:O43)</f>
        <v>379.13400000000001</v>
      </c>
      <c r="P44" s="133">
        <f>SUM(P4:P43)</f>
        <v>111.51000000000002</v>
      </c>
      <c r="Z44" s="114" t="s">
        <v>112</v>
      </c>
      <c r="AA44" s="115">
        <f>SUM(AA4:AA43)</f>
        <v>541.495</v>
      </c>
      <c r="AB44" s="115">
        <f t="shared" ref="AB44:AD44" si="19">SUM(AB4:AB43)</f>
        <v>858.50199999999995</v>
      </c>
      <c r="AC44" s="115">
        <f t="shared" si="19"/>
        <v>340.46</v>
      </c>
      <c r="AD44" s="116">
        <f t="shared" si="19"/>
        <v>2787.7500000000005</v>
      </c>
    </row>
  </sheetData>
  <mergeCells count="3">
    <mergeCell ref="B1:P1"/>
    <mergeCell ref="Z1:AD1"/>
    <mergeCell ref="B3:C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0DDD-278D-4C5D-A5D2-1FD9B24D8800}">
  <dimension ref="B2:AM127"/>
  <sheetViews>
    <sheetView showGridLines="0" topLeftCell="G36" zoomScale="158" zoomScaleNormal="100" workbookViewId="0">
      <selection activeCell="J42" sqref="J42"/>
    </sheetView>
  </sheetViews>
  <sheetFormatPr defaultColWidth="11.5703125" defaultRowHeight="12.75"/>
  <cols>
    <col min="1" max="3" width="11.5703125" style="38"/>
    <col min="4" max="4" width="21.7109375" style="38" customWidth="1"/>
    <col min="5" max="5" width="13.28515625" style="38" bestFit="1" customWidth="1"/>
    <col min="6" max="6" width="16.7109375" style="38" bestFit="1" customWidth="1"/>
    <col min="7" max="7" width="12.140625" style="38" bestFit="1" customWidth="1"/>
    <col min="8" max="8" width="9.42578125" style="38" bestFit="1" customWidth="1"/>
    <col min="9" max="9" width="18.140625" style="38" bestFit="1" customWidth="1"/>
    <col min="10" max="10" width="15.85546875" style="38" bestFit="1" customWidth="1"/>
    <col min="11" max="11" width="13.85546875" style="38" bestFit="1" customWidth="1"/>
    <col min="12" max="12" width="15.85546875" style="38" bestFit="1" customWidth="1"/>
    <col min="13" max="13" width="13.28515625" style="38" customWidth="1"/>
    <col min="14" max="14" width="10.7109375" style="38" bestFit="1" customWidth="1"/>
    <col min="15" max="15" width="11.5703125" style="38"/>
    <col min="16" max="16" width="14.28515625" style="38" bestFit="1" customWidth="1"/>
    <col min="17" max="19" width="14.7109375" style="38" customWidth="1"/>
    <col min="20" max="20" width="13.7109375" style="38" bestFit="1" customWidth="1"/>
    <col min="21" max="21" width="16.7109375" style="38" bestFit="1" customWidth="1"/>
    <col min="22" max="26" width="14.7109375" style="38" customWidth="1"/>
    <col min="27" max="28" width="11.5703125" style="38"/>
    <col min="29" max="31" width="12.7109375" style="38" customWidth="1"/>
    <col min="32" max="32" width="10.42578125" style="38" customWidth="1"/>
    <col min="33" max="33" width="14.28515625" style="38" bestFit="1" customWidth="1"/>
    <col min="34" max="35" width="13.42578125" style="38" customWidth="1"/>
    <col min="36" max="39" width="12.7109375" style="38" customWidth="1"/>
    <col min="40" max="16384" width="11.5703125" style="38"/>
  </cols>
  <sheetData>
    <row r="2" spans="2:23" ht="13.5" thickBot="1"/>
    <row r="3" spans="2:23" ht="14.45" customHeight="1">
      <c r="B3" s="338" t="s">
        <v>126</v>
      </c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40"/>
    </row>
    <row r="4" spans="2:23" ht="14.45" customHeight="1" thickBot="1">
      <c r="B4" s="341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342"/>
      <c r="N4" s="343"/>
    </row>
    <row r="6" spans="2:23">
      <c r="B6" s="344" t="s">
        <v>127</v>
      </c>
      <c r="C6" s="344"/>
      <c r="D6" s="344"/>
      <c r="F6" s="235" t="s">
        <v>128</v>
      </c>
      <c r="G6" s="235" t="s">
        <v>129</v>
      </c>
      <c r="I6" s="235" t="s">
        <v>130</v>
      </c>
      <c r="J6" s="345">
        <f>+G11</f>
        <v>25</v>
      </c>
      <c r="K6" s="345"/>
      <c r="L6" s="235" t="s">
        <v>131</v>
      </c>
    </row>
    <row r="7" spans="2:23">
      <c r="B7" s="40">
        <v>62</v>
      </c>
      <c r="C7" s="40" t="s">
        <v>132</v>
      </c>
      <c r="D7" s="40">
        <v>64</v>
      </c>
      <c r="F7" s="40">
        <v>10</v>
      </c>
      <c r="G7" s="39">
        <f>+$C$10/F7</f>
        <v>35</v>
      </c>
      <c r="I7" s="235" t="s">
        <v>133</v>
      </c>
      <c r="J7" s="39">
        <v>25</v>
      </c>
      <c r="K7" s="39">
        <f>+D7-2*J6</f>
        <v>14</v>
      </c>
      <c r="L7" s="235" t="s">
        <v>131</v>
      </c>
    </row>
    <row r="8" spans="2:23">
      <c r="B8" s="40">
        <v>10</v>
      </c>
      <c r="C8" s="40" t="s">
        <v>134</v>
      </c>
      <c r="D8" s="40">
        <v>18</v>
      </c>
      <c r="F8" s="40">
        <v>11</v>
      </c>
      <c r="G8" s="39">
        <f t="shared" ref="G8:G30" si="0">+$C$10/F8</f>
        <v>31.818181818181817</v>
      </c>
      <c r="I8" s="235" t="s">
        <v>135</v>
      </c>
      <c r="J8" s="40">
        <v>14</v>
      </c>
    </row>
    <row r="9" spans="2:23">
      <c r="B9" s="346" t="s">
        <v>136</v>
      </c>
      <c r="C9" s="40">
        <v>3.5</v>
      </c>
      <c r="D9" s="40" t="s">
        <v>25</v>
      </c>
      <c r="F9" s="40">
        <v>12</v>
      </c>
      <c r="G9" s="39">
        <f t="shared" si="0"/>
        <v>29.166666666666668</v>
      </c>
      <c r="I9" s="235" t="s">
        <v>137</v>
      </c>
      <c r="J9" s="40">
        <v>1</v>
      </c>
    </row>
    <row r="10" spans="2:23">
      <c r="B10" s="347"/>
      <c r="C10" s="40">
        <f>+C9*100</f>
        <v>350</v>
      </c>
      <c r="D10" s="40" t="s">
        <v>51</v>
      </c>
      <c r="F10" s="40">
        <v>13</v>
      </c>
      <c r="G10" s="39">
        <f t="shared" si="0"/>
        <v>26.923076923076923</v>
      </c>
      <c r="I10" s="235" t="s">
        <v>138</v>
      </c>
      <c r="J10" s="40">
        <f>+C10-(J6*J8)</f>
        <v>0</v>
      </c>
      <c r="K10" s="235" t="s">
        <v>51</v>
      </c>
    </row>
    <row r="11" spans="2:23">
      <c r="B11" s="40" t="s">
        <v>133</v>
      </c>
      <c r="C11" s="40">
        <v>25</v>
      </c>
      <c r="D11" s="40" t="s">
        <v>51</v>
      </c>
      <c r="F11" s="40">
        <v>14</v>
      </c>
      <c r="G11" s="39">
        <f>+$C$10/F11</f>
        <v>25</v>
      </c>
    </row>
    <row r="12" spans="2:23">
      <c r="F12" s="40">
        <v>15</v>
      </c>
      <c r="G12" s="39">
        <f t="shared" si="0"/>
        <v>23.333333333333332</v>
      </c>
      <c r="I12" s="344" t="s">
        <v>139</v>
      </c>
      <c r="J12" s="40">
        <f>+J8-1</f>
        <v>13</v>
      </c>
      <c r="K12" s="40" t="s">
        <v>140</v>
      </c>
    </row>
    <row r="13" spans="2:23" ht="13.5" thickBot="1">
      <c r="F13" s="40">
        <v>16</v>
      </c>
      <c r="G13" s="39">
        <f t="shared" si="0"/>
        <v>21.875</v>
      </c>
      <c r="I13" s="344"/>
      <c r="J13" s="40">
        <f>+J8</f>
        <v>14</v>
      </c>
      <c r="K13" s="40" t="s">
        <v>141</v>
      </c>
      <c r="W13" s="38">
        <f>+O13*10</f>
        <v>0</v>
      </c>
    </row>
    <row r="14" spans="2:23">
      <c r="B14" s="349" t="e" vm="1">
        <v>#VALUE!</v>
      </c>
      <c r="C14" s="350"/>
      <c r="D14" s="351"/>
      <c r="F14" s="40">
        <v>17</v>
      </c>
      <c r="G14" s="39">
        <f t="shared" si="0"/>
        <v>20.588235294117649</v>
      </c>
    </row>
    <row r="15" spans="2:23">
      <c r="B15" s="352"/>
      <c r="C15" s="337"/>
      <c r="D15" s="353"/>
      <c r="F15" s="40">
        <v>18</v>
      </c>
      <c r="G15" s="39">
        <f>+$C$10/F15</f>
        <v>19.444444444444443</v>
      </c>
      <c r="I15" s="357" t="s">
        <v>142</v>
      </c>
      <c r="J15" s="357"/>
      <c r="K15" s="40">
        <f>(J13-2)/2</f>
        <v>6</v>
      </c>
    </row>
    <row r="16" spans="2:23">
      <c r="B16" s="352"/>
      <c r="C16" s="337"/>
      <c r="D16" s="353"/>
      <c r="F16" s="40">
        <v>19</v>
      </c>
      <c r="G16" s="39">
        <f t="shared" si="0"/>
        <v>18.421052631578949</v>
      </c>
      <c r="I16" s="344" t="s">
        <v>143</v>
      </c>
      <c r="J16" s="344"/>
      <c r="K16" s="40">
        <v>100</v>
      </c>
      <c r="L16" s="237" t="s">
        <v>51</v>
      </c>
    </row>
    <row r="17" spans="2:15">
      <c r="B17" s="352"/>
      <c r="C17" s="337"/>
      <c r="D17" s="353"/>
      <c r="F17" s="40">
        <v>20</v>
      </c>
      <c r="G17" s="39">
        <f t="shared" si="0"/>
        <v>17.5</v>
      </c>
    </row>
    <row r="18" spans="2:15">
      <c r="B18" s="352"/>
      <c r="C18" s="337"/>
      <c r="D18" s="353"/>
      <c r="F18" s="40">
        <v>21</v>
      </c>
      <c r="G18" s="39">
        <f t="shared" si="0"/>
        <v>16.666666666666668</v>
      </c>
      <c r="L18" s="238" t="s">
        <v>51</v>
      </c>
      <c r="M18" s="238" t="s">
        <v>25</v>
      </c>
    </row>
    <row r="19" spans="2:15">
      <c r="B19" s="352"/>
      <c r="C19" s="337"/>
      <c r="D19" s="353"/>
      <c r="F19" s="40">
        <v>22</v>
      </c>
      <c r="G19" s="39">
        <f t="shared" si="0"/>
        <v>15.909090909090908</v>
      </c>
      <c r="I19" s="357" t="s">
        <v>144</v>
      </c>
      <c r="J19" s="357"/>
      <c r="K19" s="39">
        <f>+J7</f>
        <v>25</v>
      </c>
      <c r="L19" s="39">
        <f>+K19*$K$15+$K$16</f>
        <v>250</v>
      </c>
      <c r="M19" s="39">
        <f>+L19/100</f>
        <v>2.5</v>
      </c>
      <c r="O19" s="38">
        <v>1</v>
      </c>
    </row>
    <row r="20" spans="2:15">
      <c r="B20" s="352"/>
      <c r="C20" s="337"/>
      <c r="D20" s="353"/>
      <c r="F20" s="40">
        <v>23</v>
      </c>
      <c r="G20" s="39">
        <f t="shared" si="0"/>
        <v>15.217391304347826</v>
      </c>
      <c r="I20" s="357"/>
      <c r="J20" s="357"/>
      <c r="K20" s="39"/>
      <c r="L20" s="39"/>
      <c r="M20" s="39"/>
    </row>
    <row r="21" spans="2:15">
      <c r="B21" s="352"/>
      <c r="C21" s="337"/>
      <c r="D21" s="353"/>
      <c r="F21" s="40">
        <v>24</v>
      </c>
      <c r="G21" s="39">
        <f t="shared" si="0"/>
        <v>14.583333333333334</v>
      </c>
    </row>
    <row r="22" spans="2:15">
      <c r="B22" s="352"/>
      <c r="C22" s="337"/>
      <c r="D22" s="353"/>
      <c r="F22" s="235">
        <v>25</v>
      </c>
      <c r="G22" s="239">
        <f t="shared" si="0"/>
        <v>14</v>
      </c>
    </row>
    <row r="23" spans="2:15" ht="13.5" thickBot="1">
      <c r="B23" s="354"/>
      <c r="C23" s="355"/>
      <c r="D23" s="356"/>
      <c r="F23" s="40">
        <v>26</v>
      </c>
      <c r="G23" s="39">
        <f t="shared" si="0"/>
        <v>13.461538461538462</v>
      </c>
    </row>
    <row r="24" spans="2:15">
      <c r="B24" s="41"/>
      <c r="C24" s="42"/>
      <c r="D24" s="43"/>
      <c r="F24" s="40">
        <v>27</v>
      </c>
      <c r="G24" s="39">
        <f t="shared" si="0"/>
        <v>12.962962962962964</v>
      </c>
    </row>
    <row r="25" spans="2:15">
      <c r="B25" s="44"/>
      <c r="D25" s="45"/>
      <c r="F25" s="40">
        <v>28</v>
      </c>
      <c r="G25" s="39">
        <f t="shared" si="0"/>
        <v>12.5</v>
      </c>
    </row>
    <row r="26" spans="2:15">
      <c r="B26" s="44"/>
      <c r="D26" s="45"/>
      <c r="F26" s="40">
        <v>29</v>
      </c>
      <c r="G26" s="39">
        <f t="shared" si="0"/>
        <v>12.068965517241379</v>
      </c>
    </row>
    <row r="27" spans="2:15">
      <c r="B27" s="44"/>
      <c r="D27" s="45"/>
      <c r="F27" s="40">
        <v>30</v>
      </c>
      <c r="G27" s="39">
        <f t="shared" si="0"/>
        <v>11.666666666666666</v>
      </c>
    </row>
    <row r="28" spans="2:15">
      <c r="B28" s="44"/>
      <c r="D28" s="45"/>
      <c r="F28" s="40">
        <v>31</v>
      </c>
      <c r="G28" s="39">
        <f t="shared" si="0"/>
        <v>11.290322580645162</v>
      </c>
    </row>
    <row r="29" spans="2:15">
      <c r="B29" s="44"/>
      <c r="D29" s="45"/>
      <c r="F29" s="40">
        <v>32</v>
      </c>
      <c r="G29" s="39">
        <f t="shared" si="0"/>
        <v>10.9375</v>
      </c>
    </row>
    <row r="30" spans="2:15">
      <c r="B30" s="44"/>
      <c r="D30" s="45"/>
      <c r="F30" s="40">
        <v>33</v>
      </c>
      <c r="G30" s="39">
        <f t="shared" si="0"/>
        <v>10.606060606060606</v>
      </c>
    </row>
    <row r="31" spans="2:15" ht="13.5" thickBot="1">
      <c r="B31" s="46"/>
      <c r="C31" s="47"/>
      <c r="D31" s="48"/>
      <c r="F31" s="40">
        <v>34</v>
      </c>
      <c r="G31" s="39">
        <f>+$C$10/F31</f>
        <v>10.294117647058824</v>
      </c>
    </row>
    <row r="32" spans="2:15" ht="13.5" thickBot="1"/>
    <row r="33" spans="2:17">
      <c r="B33" s="358" t="s">
        <v>145</v>
      </c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60"/>
    </row>
    <row r="34" spans="2:17" ht="13.5" thickBot="1">
      <c r="B34" s="361"/>
      <c r="C34" s="362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3"/>
    </row>
    <row r="35" spans="2:17" ht="13.5" thickBot="1"/>
    <row r="36" spans="2:17">
      <c r="B36" s="349" t="e" vm="2">
        <v>#VALUE!</v>
      </c>
      <c r="C36" s="350"/>
      <c r="D36" s="351"/>
      <c r="G36" s="40" t="s">
        <v>25</v>
      </c>
      <c r="I36" s="364" t="s">
        <v>146</v>
      </c>
      <c r="J36" s="365"/>
      <c r="L36" s="364" t="s">
        <v>147</v>
      </c>
      <c r="M36" s="365"/>
    </row>
    <row r="37" spans="2:17" ht="13.5" thickBot="1">
      <c r="B37" s="352"/>
      <c r="C37" s="337"/>
      <c r="D37" s="353"/>
      <c r="F37" s="240" t="s">
        <v>148</v>
      </c>
      <c r="G37" s="39">
        <v>3</v>
      </c>
      <c r="I37" s="75" t="s">
        <v>149</v>
      </c>
      <c r="J37" s="250" t="s">
        <v>150</v>
      </c>
      <c r="L37" s="75" t="s">
        <v>149</v>
      </c>
      <c r="M37" s="250" t="s">
        <v>150</v>
      </c>
      <c r="P37" s="38" t="s">
        <v>151</v>
      </c>
      <c r="Q37" s="38" t="s">
        <v>152</v>
      </c>
    </row>
    <row r="38" spans="2:17">
      <c r="B38" s="352"/>
      <c r="C38" s="337"/>
      <c r="D38" s="353"/>
      <c r="F38" s="240" t="s">
        <v>153</v>
      </c>
      <c r="G38" s="39">
        <f>M19</f>
        <v>2.5</v>
      </c>
      <c r="I38" s="241" t="s">
        <v>154</v>
      </c>
      <c r="J38" s="242">
        <f>+(G43*G42)/COS(RADIANS(G41))</f>
        <v>4.2426406871192848</v>
      </c>
      <c r="L38" s="241" t="s">
        <v>154</v>
      </c>
      <c r="M38" s="242">
        <f>+G43*G42</f>
        <v>3</v>
      </c>
      <c r="O38" s="38">
        <v>1</v>
      </c>
    </row>
    <row r="39" spans="2:17">
      <c r="B39" s="352"/>
      <c r="C39" s="337"/>
      <c r="D39" s="353"/>
      <c r="F39" s="240" t="s">
        <v>155</v>
      </c>
      <c r="G39" s="39">
        <f>+J6/100</f>
        <v>0.25</v>
      </c>
      <c r="I39" s="235" t="s">
        <v>156</v>
      </c>
      <c r="J39" s="39">
        <f>+(G43*(G40*G39))/(2*G40)</f>
        <v>3</v>
      </c>
      <c r="L39" s="235" t="s">
        <v>157</v>
      </c>
      <c r="M39" s="39">
        <f>0.02*20</f>
        <v>0.4</v>
      </c>
      <c r="O39" s="213" t="s">
        <v>158</v>
      </c>
    </row>
    <row r="40" spans="2:17">
      <c r="B40" s="352"/>
      <c r="C40" s="337"/>
      <c r="D40" s="353"/>
      <c r="E40" s="50"/>
      <c r="F40" s="240" t="s">
        <v>159</v>
      </c>
      <c r="G40" s="39">
        <f>+J7/100</f>
        <v>0.25</v>
      </c>
      <c r="I40" s="235" t="s">
        <v>157</v>
      </c>
      <c r="J40" s="40">
        <f>0.02*20</f>
        <v>0.4</v>
      </c>
      <c r="L40" s="235" t="s">
        <v>160</v>
      </c>
      <c r="M40" s="39">
        <v>0.8</v>
      </c>
    </row>
    <row r="41" spans="2:17" ht="15">
      <c r="B41" s="352"/>
      <c r="C41" s="337"/>
      <c r="D41" s="353"/>
      <c r="E41" s="50"/>
      <c r="F41" s="240" t="s">
        <v>161</v>
      </c>
      <c r="G41" s="39">
        <f>DEGREES(ATAN(G39/G40))</f>
        <v>45</v>
      </c>
      <c r="I41" s="235" t="s">
        <v>160</v>
      </c>
      <c r="J41" s="39">
        <f>+(0.8*(G40+G39))/G40</f>
        <v>1.6</v>
      </c>
      <c r="L41" s="235" t="s">
        <v>162</v>
      </c>
      <c r="M41" s="39">
        <f>+SUM(M38:M40)</f>
        <v>4.2</v>
      </c>
      <c r="O41" s="51"/>
    </row>
    <row r="42" spans="2:17">
      <c r="B42" s="352"/>
      <c r="C42" s="337"/>
      <c r="D42" s="353"/>
      <c r="E42" s="50"/>
      <c r="F42" s="240" t="s">
        <v>163</v>
      </c>
      <c r="G42" s="39">
        <f>+G38/20</f>
        <v>0.125</v>
      </c>
      <c r="I42" s="235" t="s">
        <v>162</v>
      </c>
      <c r="J42" s="39">
        <f>+SUM(J38:J41)</f>
        <v>9.2426406871192857</v>
      </c>
      <c r="L42" s="235" t="s">
        <v>164</v>
      </c>
      <c r="M42" s="40">
        <f>3</f>
        <v>3</v>
      </c>
    </row>
    <row r="43" spans="2:17">
      <c r="B43" s="352"/>
      <c r="C43" s="337"/>
      <c r="D43" s="353"/>
      <c r="E43" s="50"/>
      <c r="F43" s="235" t="s">
        <v>165</v>
      </c>
      <c r="G43" s="40">
        <v>24</v>
      </c>
      <c r="I43" s="235" t="s">
        <v>164</v>
      </c>
      <c r="J43" s="40">
        <f>3</f>
        <v>3</v>
      </c>
    </row>
    <row r="44" spans="2:17">
      <c r="B44" s="352"/>
      <c r="C44" s="337"/>
      <c r="D44" s="353"/>
      <c r="E44" s="50"/>
      <c r="M44" s="50">
        <f>+M41+M42</f>
        <v>7.2</v>
      </c>
    </row>
    <row r="45" spans="2:17">
      <c r="B45" s="352"/>
      <c r="C45" s="337"/>
      <c r="D45" s="353"/>
      <c r="E45" s="50"/>
      <c r="J45" s="50">
        <f>+J42+J43</f>
        <v>12.242640687119286</v>
      </c>
    </row>
    <row r="46" spans="2:17">
      <c r="B46" s="352"/>
      <c r="C46" s="337"/>
      <c r="D46" s="353"/>
      <c r="E46" s="50"/>
      <c r="L46" s="50">
        <f>+J42+M41</f>
        <v>13.442640687119287</v>
      </c>
    </row>
    <row r="47" spans="2:17" ht="13.5" thickBot="1">
      <c r="B47" s="354"/>
      <c r="C47" s="355"/>
      <c r="D47" s="356"/>
      <c r="E47" s="50"/>
    </row>
    <row r="48" spans="2:17">
      <c r="E48" s="50"/>
    </row>
    <row r="49" spans="2:39" ht="13.5" thickBot="1">
      <c r="E49" s="50"/>
    </row>
    <row r="50" spans="2:39" s="52" customFormat="1" ht="19.5">
      <c r="B50" s="358" t="s">
        <v>166</v>
      </c>
      <c r="C50" s="359"/>
      <c r="D50" s="359"/>
      <c r="E50" s="359"/>
      <c r="F50" s="359"/>
      <c r="G50" s="359"/>
      <c r="H50" s="359"/>
      <c r="I50" s="359"/>
      <c r="J50" s="359"/>
      <c r="K50" s="359"/>
      <c r="L50" s="359"/>
      <c r="M50" s="359"/>
      <c r="N50" s="360"/>
      <c r="Q50" s="333"/>
      <c r="R50" s="333"/>
      <c r="S50" s="333"/>
      <c r="T50" s="333"/>
      <c r="U50" s="333"/>
      <c r="V50" s="333"/>
      <c r="W50" s="333"/>
      <c r="X50" s="333"/>
      <c r="Y50" s="333"/>
      <c r="Z50" s="333"/>
      <c r="AC50" s="333"/>
      <c r="AD50" s="333"/>
      <c r="AE50" s="333"/>
      <c r="AF50" s="333"/>
      <c r="AG50" s="333"/>
      <c r="AH50" s="333"/>
      <c r="AI50" s="333"/>
      <c r="AJ50" s="333"/>
      <c r="AK50" s="333"/>
      <c r="AL50" s="333"/>
      <c r="AM50" s="333"/>
    </row>
    <row r="51" spans="2:39" s="52" customFormat="1" ht="20.25" thickBot="1">
      <c r="B51" s="361"/>
      <c r="C51" s="362"/>
      <c r="D51" s="362"/>
      <c r="E51" s="362"/>
      <c r="F51" s="362"/>
      <c r="G51" s="362"/>
      <c r="H51" s="362"/>
      <c r="I51" s="362"/>
      <c r="J51" s="362"/>
      <c r="K51" s="362"/>
      <c r="L51" s="362"/>
      <c r="M51" s="362"/>
      <c r="N51" s="366"/>
      <c r="Q51" s="333"/>
      <c r="R51" s="333"/>
      <c r="S51" s="333"/>
      <c r="T51" s="333"/>
      <c r="U51" s="333"/>
      <c r="V51" s="333"/>
      <c r="W51" s="333"/>
      <c r="X51" s="333"/>
      <c r="Y51" s="333"/>
      <c r="Z51" s="333"/>
      <c r="AC51" s="333"/>
      <c r="AD51" s="333"/>
      <c r="AE51" s="333"/>
      <c r="AF51" s="333"/>
      <c r="AG51" s="333"/>
      <c r="AH51" s="333"/>
      <c r="AI51" s="333"/>
      <c r="AJ51" s="333"/>
      <c r="AK51" s="333"/>
      <c r="AL51" s="333"/>
      <c r="AM51" s="333"/>
    </row>
    <row r="52" spans="2:39">
      <c r="E52" s="50"/>
    </row>
    <row r="53" spans="2:39" ht="13.15" customHeight="1">
      <c r="E53" s="50"/>
      <c r="F53" s="348" t="s">
        <v>167</v>
      </c>
      <c r="G53" s="348"/>
      <c r="H53" s="348"/>
      <c r="K53" s="367" t="s">
        <v>168</v>
      </c>
      <c r="L53" s="337"/>
      <c r="M53" s="337"/>
      <c r="N53" s="337"/>
      <c r="Q53" s="334"/>
      <c r="R53" s="334"/>
    </row>
    <row r="54" spans="2:39">
      <c r="H54" s="236"/>
      <c r="R54" s="50"/>
    </row>
    <row r="55" spans="2:39">
      <c r="G55" s="243" t="s">
        <v>169</v>
      </c>
      <c r="H55" s="239" t="s">
        <v>137</v>
      </c>
      <c r="L55" s="239" t="s">
        <v>137</v>
      </c>
      <c r="M55" s="239" t="s">
        <v>169</v>
      </c>
      <c r="N55" s="239"/>
      <c r="R55" s="50"/>
    </row>
    <row r="56" spans="2:39">
      <c r="F56" s="235" t="s">
        <v>170</v>
      </c>
      <c r="G56" s="244">
        <f>+J42</f>
        <v>9.2426406871192857</v>
      </c>
      <c r="H56" s="39">
        <f>+M41</f>
        <v>4.2</v>
      </c>
      <c r="K56" s="240" t="s">
        <v>170</v>
      </c>
      <c r="L56" s="39">
        <f>+M41</f>
        <v>4.2</v>
      </c>
      <c r="M56" s="39">
        <f>+J42</f>
        <v>9.2426406871192857</v>
      </c>
      <c r="N56" s="39">
        <v>5.2200000000000006</v>
      </c>
      <c r="Q56" s="334"/>
      <c r="R56" s="334"/>
    </row>
    <row r="57" spans="2:39">
      <c r="F57" s="235" t="s">
        <v>171</v>
      </c>
      <c r="G57" s="245">
        <v>1.5</v>
      </c>
      <c r="H57" s="40">
        <v>1</v>
      </c>
      <c r="K57" s="240" t="s">
        <v>171</v>
      </c>
      <c r="L57" s="40">
        <v>1</v>
      </c>
      <c r="M57" s="40">
        <v>1.5</v>
      </c>
      <c r="N57" s="40">
        <v>1.4</v>
      </c>
    </row>
    <row r="58" spans="2:39">
      <c r="F58" s="235" t="s">
        <v>172</v>
      </c>
      <c r="G58" s="251">
        <f>G56*G57+H56*H57-H58</f>
        <v>10.544772721475249</v>
      </c>
      <c r="H58" s="39">
        <f>(G56*G57*(G57/2)+H56*H57*(G57+H57-H57/2))/(G57+H57)</f>
        <v>7.5191883092036793</v>
      </c>
      <c r="K58" s="240" t="s">
        <v>172</v>
      </c>
      <c r="L58" s="39">
        <f>(M56*M57*(M57/2)+L56*L57*(M57+L57-L57/2))/(M57+L57)</f>
        <v>7.5191883092036793</v>
      </c>
      <c r="M58" s="39">
        <f>M56*M57+L56*L57-L58</f>
        <v>10.544772721475249</v>
      </c>
      <c r="N58" s="39">
        <f>(N56*N57*(N57/2)+M56*M57*(N57+M57-M57/2))/(N57+M57)</f>
        <v>12.042453867572309</v>
      </c>
    </row>
    <row r="59" spans="2:39">
      <c r="F59" s="235" t="s">
        <v>173</v>
      </c>
      <c r="G59" s="244">
        <f>+J43</f>
        <v>3</v>
      </c>
      <c r="H59" s="39">
        <f>+M42</f>
        <v>3</v>
      </c>
      <c r="K59" s="240" t="s">
        <v>173</v>
      </c>
      <c r="L59" s="39">
        <f>+M42</f>
        <v>3</v>
      </c>
      <c r="M59" s="39">
        <f>+J43</f>
        <v>3</v>
      </c>
      <c r="N59" s="40">
        <f>+M42</f>
        <v>3</v>
      </c>
    </row>
    <row r="60" spans="2:39">
      <c r="F60" s="235" t="s">
        <v>174</v>
      </c>
      <c r="G60" s="245">
        <f>G59*G38/2</f>
        <v>3.75</v>
      </c>
      <c r="H60" s="40">
        <f>H59*G38/2</f>
        <v>3.75</v>
      </c>
      <c r="K60" s="240" t="s">
        <v>174</v>
      </c>
      <c r="L60" s="40">
        <f>H59*G38/2</f>
        <v>3.75</v>
      </c>
      <c r="M60" s="40">
        <f>G59*G38/2</f>
        <v>3.75</v>
      </c>
      <c r="N60" s="252">
        <f>H59*G38/2</f>
        <v>3.75</v>
      </c>
    </row>
    <row r="61" spans="2:39">
      <c r="F61" s="235" t="s">
        <v>175</v>
      </c>
      <c r="G61" s="246">
        <f>+G58+G60</f>
        <v>14.294772721475249</v>
      </c>
      <c r="H61" s="39">
        <f>+H58+H60</f>
        <v>11.269188309203679</v>
      </c>
      <c r="K61" s="240" t="s">
        <v>175</v>
      </c>
      <c r="L61" s="39">
        <f>+L58+L60</f>
        <v>11.269188309203679</v>
      </c>
      <c r="M61" s="247">
        <f>+M58+M60</f>
        <v>14.294772721475249</v>
      </c>
      <c r="N61" s="39">
        <f>+N58+N60</f>
        <v>15.792453867572309</v>
      </c>
    </row>
    <row r="62" spans="2:39">
      <c r="G62" s="247">
        <f>G56+G59</f>
        <v>12.242640687119286</v>
      </c>
      <c r="H62" s="39">
        <f>+H59+H56</f>
        <v>7.2</v>
      </c>
    </row>
    <row r="63" spans="2:39">
      <c r="H63" s="50"/>
    </row>
    <row r="64" spans="2:39">
      <c r="F64" s="235" t="s">
        <v>1</v>
      </c>
      <c r="G64" s="247">
        <f>G61/J45</f>
        <v>1.1676216828380048</v>
      </c>
      <c r="H64" s="39" t="s">
        <v>25</v>
      </c>
      <c r="K64" s="38" t="s">
        <v>176</v>
      </c>
      <c r="P64" s="38" t="s">
        <v>177</v>
      </c>
    </row>
    <row r="65" spans="2:32">
      <c r="F65" s="235" t="s">
        <v>178</v>
      </c>
      <c r="G65" s="247">
        <f>(G61*G64)-((J45*G64^2)/2)</f>
        <v>8.3454432904178706</v>
      </c>
      <c r="H65" s="39" t="s">
        <v>179</v>
      </c>
      <c r="J65" s="38" t="s">
        <v>180</v>
      </c>
      <c r="K65" s="50">
        <f>+G56+L56+M56</f>
        <v>22.685281374238571</v>
      </c>
      <c r="L65" s="40">
        <f>+K65/K69</f>
        <v>7.1445204630380976</v>
      </c>
      <c r="M65" s="247" t="s">
        <v>181</v>
      </c>
      <c r="N65" s="50"/>
      <c r="O65" s="38" t="s">
        <v>180</v>
      </c>
      <c r="P65" s="38">
        <v>25.874250871019171</v>
      </c>
      <c r="Q65" s="38">
        <v>8.1488570392476607</v>
      </c>
      <c r="R65" s="38" t="s">
        <v>181</v>
      </c>
    </row>
    <row r="66" spans="2:32">
      <c r="G66" s="248"/>
      <c r="H66" s="50"/>
      <c r="J66" s="38" t="s">
        <v>182</v>
      </c>
      <c r="K66" s="50">
        <f>+G59+H59+L59+M59</f>
        <v>12</v>
      </c>
      <c r="L66" s="40">
        <f>K66/K69</f>
        <v>3.7792894935752077</v>
      </c>
      <c r="M66" s="247" t="s">
        <v>181</v>
      </c>
      <c r="N66" s="50"/>
      <c r="O66" s="38" t="s">
        <v>182</v>
      </c>
      <c r="P66" s="38">
        <v>19.200000000000003</v>
      </c>
      <c r="Q66" s="38">
        <v>6.0468631897203329</v>
      </c>
      <c r="R66" s="38" t="s">
        <v>181</v>
      </c>
    </row>
    <row r="67" spans="2:32">
      <c r="E67" s="50"/>
      <c r="M67" s="248"/>
      <c r="N67" s="50"/>
    </row>
    <row r="68" spans="2:32">
      <c r="E68" s="50"/>
      <c r="M68" s="248"/>
      <c r="N68" s="50"/>
    </row>
    <row r="69" spans="2:32">
      <c r="E69" s="50"/>
      <c r="J69" s="38" t="s">
        <v>183</v>
      </c>
      <c r="K69" s="38">
        <f>1.26*2.52</f>
        <v>3.1752000000000002</v>
      </c>
      <c r="M69" s="248"/>
      <c r="N69" s="50"/>
      <c r="O69" s="38" t="s">
        <v>183</v>
      </c>
      <c r="P69" s="38">
        <v>3.1752000000000002</v>
      </c>
    </row>
    <row r="70" spans="2:32">
      <c r="E70" s="50"/>
      <c r="M70" s="248"/>
      <c r="N70" s="50"/>
    </row>
    <row r="71" spans="2:32" ht="13.5" thickBot="1">
      <c r="E71" s="50"/>
      <c r="M71" s="248"/>
      <c r="N71" s="50"/>
    </row>
    <row r="72" spans="2:32">
      <c r="B72" s="41"/>
      <c r="C72" s="42"/>
      <c r="D72" s="42"/>
      <c r="E72" s="53"/>
      <c r="F72" s="42"/>
      <c r="G72" s="42"/>
      <c r="H72" s="42"/>
      <c r="I72" s="42"/>
      <c r="J72" s="42"/>
      <c r="K72" s="42"/>
      <c r="L72" s="42"/>
      <c r="N72" s="45"/>
      <c r="T72" s="50"/>
      <c r="AF72" s="50"/>
    </row>
    <row r="73" spans="2:32">
      <c r="B73" s="44"/>
      <c r="E73" s="50"/>
      <c r="N73" s="45"/>
      <c r="T73" s="50"/>
      <c r="AF73" s="50"/>
    </row>
    <row r="74" spans="2:32">
      <c r="B74" s="44"/>
      <c r="E74" s="50"/>
      <c r="M74" s="249"/>
      <c r="N74" s="45"/>
      <c r="T74" s="50"/>
      <c r="AF74" s="50"/>
    </row>
    <row r="75" spans="2:32">
      <c r="B75" s="44"/>
      <c r="E75" s="50"/>
      <c r="N75" s="45"/>
      <c r="T75" s="50"/>
      <c r="AF75" s="50"/>
    </row>
    <row r="76" spans="2:32">
      <c r="B76" s="44"/>
      <c r="E76" s="50"/>
      <c r="N76" s="45"/>
      <c r="T76" s="50"/>
      <c r="AF76" s="50"/>
    </row>
    <row r="77" spans="2:32" ht="13.9" customHeight="1">
      <c r="B77" s="44"/>
      <c r="E77" s="50"/>
      <c r="N77" s="45"/>
      <c r="T77" s="50"/>
      <c r="AF77" s="50"/>
    </row>
    <row r="78" spans="2:32" ht="13.9" customHeight="1">
      <c r="B78" s="44"/>
      <c r="E78" s="50"/>
      <c r="N78" s="45"/>
    </row>
    <row r="79" spans="2:32">
      <c r="B79" s="44"/>
      <c r="E79" s="50"/>
      <c r="N79" s="45"/>
    </row>
    <row r="80" spans="2:32">
      <c r="B80" s="44"/>
      <c r="E80" s="50"/>
      <c r="N80" s="45"/>
    </row>
    <row r="81" spans="2:37" ht="14.25">
      <c r="B81" s="44"/>
      <c r="E81" s="50"/>
      <c r="N81" s="45"/>
      <c r="X81" s="54"/>
      <c r="Y81" s="54"/>
      <c r="Z81" s="54"/>
      <c r="AA81" s="54"/>
      <c r="AB81" s="54"/>
      <c r="AC81" s="54"/>
      <c r="AG81" s="54"/>
      <c r="AH81" s="54"/>
      <c r="AI81" s="54"/>
      <c r="AJ81" s="81"/>
      <c r="AK81" s="81"/>
    </row>
    <row r="82" spans="2:37" ht="15">
      <c r="B82" s="44"/>
      <c r="E82" s="50"/>
      <c r="N82" s="45"/>
      <c r="U82" s="54"/>
      <c r="V82" s="54"/>
      <c r="W82" s="54"/>
      <c r="X82" s="81"/>
      <c r="Y82" s="81"/>
      <c r="Z82" s="51"/>
      <c r="AA82" s="55"/>
      <c r="AB82" s="82"/>
      <c r="AC82" s="82"/>
      <c r="AF82" s="335"/>
      <c r="AG82" s="335"/>
      <c r="AH82" s="335"/>
      <c r="AI82" s="335"/>
      <c r="AJ82" s="335"/>
      <c r="AK82" s="335"/>
    </row>
    <row r="83" spans="2:37" ht="15">
      <c r="B83" s="44"/>
      <c r="E83" s="50"/>
      <c r="N83" s="45"/>
      <c r="T83" s="335"/>
      <c r="U83" s="335"/>
      <c r="V83" s="335"/>
      <c r="W83" s="335"/>
      <c r="X83" s="335"/>
      <c r="Y83" s="335"/>
      <c r="Z83" s="51"/>
      <c r="AA83" s="55"/>
      <c r="AB83" s="82"/>
      <c r="AC83" s="82"/>
      <c r="AF83" s="54"/>
      <c r="AG83" s="55"/>
      <c r="AH83" s="55"/>
      <c r="AI83" s="55"/>
      <c r="AJ83" s="82"/>
      <c r="AK83" s="82"/>
    </row>
    <row r="84" spans="2:37" ht="15">
      <c r="B84" s="44"/>
      <c r="E84" s="50"/>
      <c r="N84" s="45"/>
      <c r="T84" s="54"/>
      <c r="U84" s="55"/>
      <c r="V84" s="55"/>
      <c r="W84" s="55"/>
      <c r="X84" s="55"/>
      <c r="Y84" s="55"/>
      <c r="Z84" s="51"/>
      <c r="AA84" s="55"/>
      <c r="AB84" s="82"/>
      <c r="AC84" s="82"/>
      <c r="AF84" s="54"/>
      <c r="AG84" s="55"/>
      <c r="AH84" s="55"/>
      <c r="AI84" s="55"/>
      <c r="AJ84" s="82"/>
      <c r="AK84" s="82"/>
    </row>
    <row r="85" spans="2:37" ht="15">
      <c r="B85" s="44"/>
      <c r="E85" s="50"/>
      <c r="N85" s="45"/>
      <c r="T85" s="54"/>
      <c r="U85" s="55"/>
      <c r="V85" s="55"/>
      <c r="W85" s="55"/>
      <c r="X85" s="55"/>
      <c r="Y85" s="55"/>
      <c r="Z85" s="51"/>
      <c r="AA85" s="55"/>
      <c r="AB85" s="82"/>
      <c r="AC85" s="82"/>
      <c r="AF85" s="335"/>
      <c r="AG85" s="335"/>
      <c r="AH85" s="335"/>
      <c r="AI85" s="335"/>
      <c r="AJ85" s="335"/>
      <c r="AK85" s="335"/>
    </row>
    <row r="86" spans="2:37" ht="15">
      <c r="B86" s="44"/>
      <c r="E86" s="50"/>
      <c r="N86" s="45"/>
      <c r="T86" s="335"/>
      <c r="U86" s="335"/>
      <c r="V86" s="335"/>
      <c r="W86" s="335"/>
      <c r="X86" s="335"/>
      <c r="Y86" s="335"/>
      <c r="Z86" s="51"/>
      <c r="AA86" s="51"/>
      <c r="AB86" s="51"/>
      <c r="AC86" s="51"/>
      <c r="AF86" s="54"/>
      <c r="AG86" s="55"/>
      <c r="AH86" s="55"/>
      <c r="AI86" s="55"/>
      <c r="AJ86" s="82"/>
      <c r="AK86" s="82"/>
    </row>
    <row r="87" spans="2:37" ht="15" customHeight="1">
      <c r="B87" s="44"/>
      <c r="E87" s="50"/>
      <c r="N87" s="45"/>
      <c r="T87" s="54"/>
      <c r="U87" s="51"/>
      <c r="V87" s="51"/>
      <c r="W87" s="55"/>
      <c r="X87" s="55"/>
      <c r="Y87" s="55"/>
      <c r="Z87" s="51"/>
      <c r="AA87" s="51"/>
      <c r="AB87" s="336"/>
      <c r="AC87" s="336"/>
      <c r="AF87" s="51"/>
      <c r="AG87" s="51"/>
      <c r="AH87" s="51"/>
      <c r="AI87" s="51"/>
      <c r="AJ87" s="51"/>
      <c r="AK87" s="51"/>
    </row>
    <row r="88" spans="2:37" ht="15" customHeight="1">
      <c r="B88" s="44"/>
      <c r="E88" s="50"/>
      <c r="N88" s="45"/>
      <c r="T88" s="51"/>
      <c r="U88" s="51"/>
      <c r="V88" s="51"/>
      <c r="W88" s="51"/>
      <c r="X88" s="51"/>
      <c r="Y88" s="51"/>
      <c r="Z88" s="51"/>
      <c r="AA88" s="51"/>
      <c r="AB88" s="336"/>
      <c r="AC88" s="336"/>
      <c r="AG88" s="51"/>
      <c r="AH88" s="54"/>
      <c r="AI88" s="51"/>
      <c r="AJ88" s="83"/>
      <c r="AK88" s="83"/>
    </row>
    <row r="89" spans="2:37" ht="13.15" customHeight="1">
      <c r="B89" s="44"/>
      <c r="E89" s="50"/>
      <c r="N89" s="45"/>
      <c r="S89" s="54"/>
      <c r="T89" s="54"/>
      <c r="U89" s="51"/>
      <c r="V89" s="51"/>
      <c r="W89" s="51"/>
      <c r="X89" s="51"/>
      <c r="Y89" s="51"/>
      <c r="Z89" s="51"/>
      <c r="AA89" s="51"/>
      <c r="AB89" s="336"/>
      <c r="AC89" s="336"/>
      <c r="AG89" s="51"/>
      <c r="AH89" s="54"/>
      <c r="AI89" s="51"/>
      <c r="AJ89" s="83"/>
      <c r="AK89" s="83"/>
    </row>
    <row r="90" spans="2:37" ht="13.9" customHeight="1">
      <c r="B90" s="44"/>
      <c r="E90" s="50"/>
      <c r="N90" s="45"/>
      <c r="T90" s="54"/>
      <c r="V90" s="51"/>
      <c r="W90" s="51"/>
      <c r="X90" s="51"/>
      <c r="Y90" s="51"/>
      <c r="Z90" s="51"/>
      <c r="AA90" s="51"/>
      <c r="AB90" s="336"/>
      <c r="AC90" s="336"/>
      <c r="AF90" s="54"/>
      <c r="AG90" s="51"/>
      <c r="AH90" s="51"/>
      <c r="AI90" s="51"/>
      <c r="AJ90" s="83"/>
      <c r="AK90" s="83"/>
    </row>
    <row r="91" spans="2:37" ht="14.45" customHeight="1">
      <c r="B91" s="44"/>
      <c r="E91" s="50"/>
      <c r="N91" s="45"/>
      <c r="T91" s="54"/>
      <c r="U91" s="51"/>
      <c r="V91" s="51"/>
      <c r="X91" s="51"/>
      <c r="Y91" s="51"/>
      <c r="Z91" s="51"/>
      <c r="AA91" s="51"/>
      <c r="AB91" s="336"/>
      <c r="AC91" s="336"/>
      <c r="AG91" s="51"/>
      <c r="AH91" s="51"/>
      <c r="AI91" s="51"/>
      <c r="AJ91" s="83"/>
      <c r="AK91" s="83"/>
    </row>
    <row r="92" spans="2:37" ht="15" customHeight="1">
      <c r="B92" s="44"/>
      <c r="E92" s="50"/>
      <c r="N92" s="45"/>
      <c r="T92" s="54"/>
      <c r="U92" s="51"/>
      <c r="AG92" s="51"/>
      <c r="AH92" s="51"/>
      <c r="AI92" s="51"/>
      <c r="AJ92" s="83"/>
      <c r="AK92" s="83"/>
    </row>
    <row r="93" spans="2:37">
      <c r="B93" s="44"/>
      <c r="E93" s="50"/>
      <c r="N93" s="45"/>
    </row>
    <row r="94" spans="2:37">
      <c r="B94" s="44"/>
      <c r="E94" s="50"/>
      <c r="N94" s="45"/>
    </row>
    <row r="95" spans="2:37">
      <c r="B95" s="44"/>
      <c r="E95" s="50"/>
      <c r="N95" s="45"/>
    </row>
    <row r="96" spans="2:37">
      <c r="B96" s="44"/>
      <c r="E96" s="50"/>
      <c r="N96" s="45"/>
    </row>
    <row r="97" spans="2:39" ht="13.5" thickBot="1">
      <c r="B97" s="46"/>
      <c r="C97" s="47"/>
      <c r="D97" s="47"/>
      <c r="E97" s="57"/>
      <c r="F97" s="47"/>
      <c r="G97" s="47"/>
      <c r="H97" s="47"/>
      <c r="I97" s="47"/>
      <c r="J97" s="47"/>
      <c r="K97" s="47"/>
      <c r="L97" s="47"/>
      <c r="M97" s="47"/>
      <c r="N97" s="48"/>
    </row>
    <row r="98" spans="2:39">
      <c r="E98" s="50"/>
    </row>
    <row r="99" spans="2:39">
      <c r="E99" s="50"/>
    </row>
    <row r="100" spans="2:39" ht="13.9" customHeight="1" thickBot="1">
      <c r="E100" s="50"/>
      <c r="T100" s="337"/>
      <c r="U100" s="337"/>
      <c r="V100" s="337"/>
      <c r="W100" s="337"/>
      <c r="X100" s="337"/>
      <c r="Y100" s="337"/>
      <c r="Z100" s="337"/>
    </row>
    <row r="101" spans="2:39" ht="26.25" thickBot="1">
      <c r="B101" s="41"/>
      <c r="C101" s="42"/>
      <c r="D101" s="42"/>
      <c r="E101" s="53"/>
      <c r="F101" s="42"/>
      <c r="G101" s="42"/>
      <c r="H101" s="42"/>
      <c r="I101" s="42"/>
      <c r="J101" s="42"/>
      <c r="K101" s="42"/>
      <c r="L101" s="42"/>
      <c r="M101" s="42"/>
      <c r="N101" s="43"/>
      <c r="Q101" s="58"/>
      <c r="R101" s="58"/>
      <c r="S101" s="58"/>
      <c r="T101" s="56" t="s">
        <v>184</v>
      </c>
      <c r="U101" s="59" t="s">
        <v>185</v>
      </c>
      <c r="V101" s="60" t="s">
        <v>186</v>
      </c>
      <c r="W101" s="61" t="s">
        <v>187</v>
      </c>
      <c r="X101" s="62" t="s">
        <v>188</v>
      </c>
      <c r="AC101" s="333"/>
      <c r="AD101" s="333"/>
      <c r="AE101" s="333"/>
      <c r="AF101" s="333"/>
      <c r="AG101" s="333"/>
      <c r="AH101" s="333"/>
      <c r="AI101" s="333"/>
      <c r="AJ101" s="333"/>
      <c r="AK101" s="333"/>
      <c r="AL101" s="333"/>
      <c r="AM101" s="333"/>
    </row>
    <row r="102" spans="2:39" ht="26.25" thickBot="1">
      <c r="B102" s="44"/>
      <c r="E102" s="50"/>
      <c r="N102" s="45"/>
      <c r="Q102" s="58"/>
      <c r="R102" s="58"/>
      <c r="T102" s="63">
        <f>+'[2]Eval. Cargas_Sep. Viguetas'!AD13</f>
        <v>1.1399999999999999</v>
      </c>
      <c r="U102" s="64">
        <f>+V84</f>
        <v>0</v>
      </c>
      <c r="V102" s="65">
        <f>+V87</f>
        <v>0</v>
      </c>
      <c r="W102" s="66">
        <f>+M41</f>
        <v>4.2</v>
      </c>
      <c r="X102" s="39">
        <f>+V85</f>
        <v>0</v>
      </c>
      <c r="AC102" s="333"/>
      <c r="AD102" s="333"/>
      <c r="AE102" s="333"/>
      <c r="AF102" s="333"/>
      <c r="AG102" s="333"/>
      <c r="AH102" s="333"/>
      <c r="AI102" s="333"/>
      <c r="AJ102" s="333"/>
      <c r="AK102" s="333"/>
      <c r="AL102" s="333"/>
      <c r="AM102" s="333"/>
    </row>
    <row r="103" spans="2:39" ht="13.9" customHeight="1" thickBot="1">
      <c r="B103" s="44"/>
      <c r="E103" s="50"/>
      <c r="N103" s="45"/>
      <c r="P103" s="51"/>
      <c r="AF103" s="50"/>
    </row>
    <row r="104" spans="2:39" ht="13.5" thickBot="1">
      <c r="B104" s="44"/>
      <c r="E104" s="50"/>
      <c r="N104" s="45"/>
      <c r="T104" s="67" t="s">
        <v>189</v>
      </c>
      <c r="U104" s="68" t="s">
        <v>190</v>
      </c>
      <c r="V104" s="69" t="s">
        <v>191</v>
      </c>
      <c r="X104" s="70" t="s">
        <v>192</v>
      </c>
      <c r="AF104" s="50"/>
    </row>
    <row r="105" spans="2:39" ht="15">
      <c r="B105" s="44"/>
      <c r="N105" s="45"/>
      <c r="R105" s="51"/>
      <c r="S105" s="54"/>
      <c r="T105" s="71" t="s">
        <v>193</v>
      </c>
      <c r="U105" s="72">
        <f>1.4*W102</f>
        <v>5.88</v>
      </c>
      <c r="V105" s="73">
        <f>1.4*U102</f>
        <v>0</v>
      </c>
      <c r="X105" s="74">
        <f>1.4*X102</f>
        <v>0</v>
      </c>
      <c r="AF105" s="50"/>
    </row>
    <row r="106" spans="2:39" ht="15.75" thickBot="1">
      <c r="B106" s="44"/>
      <c r="N106" s="45"/>
      <c r="R106" s="54"/>
      <c r="S106" s="51"/>
      <c r="T106" s="75" t="s">
        <v>194</v>
      </c>
      <c r="U106" s="76">
        <f>1.2*W102+1.6*V102</f>
        <v>5.04</v>
      </c>
      <c r="V106" s="77">
        <f>1.2*U102+1.6*V102</f>
        <v>0</v>
      </c>
      <c r="X106" s="78">
        <f>1.2*X102+1.6*V102</f>
        <v>0</v>
      </c>
      <c r="AF106" s="50"/>
    </row>
    <row r="107" spans="2:39" ht="15">
      <c r="B107" s="44"/>
      <c r="N107" s="45"/>
      <c r="R107" s="54"/>
      <c r="S107" s="51"/>
      <c r="T107" s="55"/>
      <c r="U107" s="51"/>
      <c r="X107" s="51" t="s">
        <v>195</v>
      </c>
      <c r="AF107" s="50"/>
    </row>
    <row r="108" spans="2:39" ht="15">
      <c r="B108" s="44"/>
      <c r="N108" s="45"/>
      <c r="R108" s="54"/>
      <c r="S108" s="51"/>
      <c r="T108" s="337"/>
      <c r="U108" s="337"/>
      <c r="V108" s="337"/>
      <c r="W108" s="337"/>
      <c r="X108" s="337"/>
      <c r="Y108" s="337"/>
      <c r="Z108" s="337"/>
      <c r="AF108" s="50"/>
    </row>
    <row r="109" spans="2:39" ht="15">
      <c r="B109" s="44"/>
      <c r="N109" s="45"/>
      <c r="R109" s="54"/>
      <c r="S109" s="51"/>
      <c r="AF109" s="50"/>
    </row>
    <row r="110" spans="2:39">
      <c r="B110" s="44"/>
      <c r="N110" s="45"/>
      <c r="T110" s="50"/>
      <c r="U110" s="50"/>
      <c r="AF110" s="50"/>
    </row>
    <row r="111" spans="2:39">
      <c r="B111" s="44"/>
      <c r="N111" s="45"/>
      <c r="AF111" s="50"/>
    </row>
    <row r="112" spans="2:39" ht="25.5">
      <c r="B112" s="44"/>
      <c r="N112" s="45"/>
      <c r="Q112" s="58"/>
      <c r="R112" s="58"/>
      <c r="S112" s="58"/>
      <c r="AC112" s="333"/>
      <c r="AD112" s="333"/>
      <c r="AE112" s="333"/>
      <c r="AF112" s="333"/>
      <c r="AG112" s="333"/>
      <c r="AH112" s="333"/>
      <c r="AI112" s="333"/>
      <c r="AJ112" s="333"/>
      <c r="AK112" s="333"/>
      <c r="AL112" s="333"/>
      <c r="AM112" s="333"/>
    </row>
    <row r="113" spans="2:39" ht="25.5">
      <c r="B113" s="44"/>
      <c r="N113" s="45"/>
      <c r="Q113" s="58"/>
      <c r="R113" s="58"/>
      <c r="S113" s="58"/>
      <c r="T113" s="79"/>
      <c r="AC113" s="333"/>
      <c r="AD113" s="333"/>
      <c r="AE113" s="333"/>
      <c r="AF113" s="333"/>
      <c r="AG113" s="333"/>
      <c r="AH113" s="333"/>
      <c r="AI113" s="333"/>
      <c r="AJ113" s="333"/>
      <c r="AK113" s="333"/>
      <c r="AL113" s="333"/>
      <c r="AM113" s="333"/>
    </row>
    <row r="114" spans="2:39">
      <c r="B114" s="44"/>
      <c r="N114" s="45"/>
      <c r="T114" s="79"/>
      <c r="AF114" s="50"/>
    </row>
    <row r="115" spans="2:39">
      <c r="B115" s="44"/>
      <c r="N115" s="45"/>
      <c r="T115" s="50"/>
      <c r="AF115" s="50"/>
    </row>
    <row r="116" spans="2:39">
      <c r="B116" s="44"/>
      <c r="N116" s="45"/>
      <c r="T116" s="50"/>
      <c r="AF116" s="50"/>
    </row>
    <row r="117" spans="2:39">
      <c r="B117" s="44"/>
      <c r="N117" s="45"/>
      <c r="T117" s="50"/>
      <c r="AF117" s="50"/>
    </row>
    <row r="118" spans="2:39">
      <c r="B118" s="44"/>
      <c r="N118" s="45"/>
      <c r="T118" s="50"/>
      <c r="AF118" s="50"/>
    </row>
    <row r="119" spans="2:39">
      <c r="B119" s="44"/>
      <c r="N119" s="45"/>
      <c r="T119" s="50"/>
      <c r="AF119" s="50"/>
    </row>
    <row r="120" spans="2:39">
      <c r="B120" s="44"/>
      <c r="N120" s="45"/>
      <c r="T120" s="50"/>
      <c r="AF120" s="50"/>
    </row>
    <row r="121" spans="2:39">
      <c r="B121" s="44"/>
      <c r="N121" s="45"/>
      <c r="T121" s="50"/>
      <c r="AF121" s="50"/>
    </row>
    <row r="122" spans="2:39">
      <c r="B122" s="44"/>
      <c r="N122" s="45"/>
      <c r="T122" s="50"/>
      <c r="AF122" s="50"/>
    </row>
    <row r="123" spans="2:39">
      <c r="B123" s="44"/>
      <c r="N123" s="45"/>
      <c r="T123" s="50"/>
      <c r="AF123" s="50"/>
    </row>
    <row r="124" spans="2:39">
      <c r="B124" s="44"/>
      <c r="N124" s="45"/>
      <c r="T124" s="50"/>
      <c r="AF124" s="50"/>
    </row>
    <row r="125" spans="2:39">
      <c r="B125" s="44"/>
      <c r="N125" s="45"/>
      <c r="T125" s="50"/>
      <c r="AF125" s="50"/>
    </row>
    <row r="126" spans="2:39">
      <c r="B126" s="44"/>
      <c r="N126" s="45"/>
      <c r="T126" s="50"/>
      <c r="AF126" s="50"/>
    </row>
    <row r="127" spans="2:39" ht="13.5" thickBot="1">
      <c r="B127" s="46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8"/>
    </row>
  </sheetData>
  <mergeCells count="30">
    <mergeCell ref="F53:H53"/>
    <mergeCell ref="B14:D23"/>
    <mergeCell ref="I15:J15"/>
    <mergeCell ref="I16:J16"/>
    <mergeCell ref="I19:J19"/>
    <mergeCell ref="I20:J20"/>
    <mergeCell ref="B33:N34"/>
    <mergeCell ref="B36:D47"/>
    <mergeCell ref="I36:J36"/>
    <mergeCell ref="L36:M36"/>
    <mergeCell ref="B50:N51"/>
    <mergeCell ref="K53:N53"/>
    <mergeCell ref="B3:N4"/>
    <mergeCell ref="B6:D6"/>
    <mergeCell ref="J6:K6"/>
    <mergeCell ref="B9:B10"/>
    <mergeCell ref="I12:I13"/>
    <mergeCell ref="AC112:AM113"/>
    <mergeCell ref="AC50:AM51"/>
    <mergeCell ref="Q53:R53"/>
    <mergeCell ref="Q56:R56"/>
    <mergeCell ref="AF82:AK82"/>
    <mergeCell ref="T83:Y83"/>
    <mergeCell ref="AF85:AK85"/>
    <mergeCell ref="Q50:Z51"/>
    <mergeCell ref="T86:Y86"/>
    <mergeCell ref="AB87:AC91"/>
    <mergeCell ref="T100:Z100"/>
    <mergeCell ref="AC101:AM102"/>
    <mergeCell ref="T108:Z108"/>
  </mergeCells>
  <conditionalFormatting sqref="G7:G31">
    <cfRule type="cellIs" dxfId="0" priority="1" operator="between">
      <formula>$B$8</formula>
      <formula>$D$8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2151-8615-48C8-BA47-F5310A887FA1}">
  <dimension ref="B1:E6"/>
  <sheetViews>
    <sheetView workbookViewId="0">
      <selection activeCell="C19" sqref="C19"/>
    </sheetView>
  </sheetViews>
  <sheetFormatPr defaultColWidth="11.42578125" defaultRowHeight="15"/>
  <sheetData>
    <row r="1" spans="2:5">
      <c r="B1" s="5"/>
      <c r="C1" s="310" t="s">
        <v>196</v>
      </c>
      <c r="D1" s="310"/>
      <c r="E1" s="5"/>
    </row>
    <row r="2" spans="2:5">
      <c r="B2" s="7" t="s">
        <v>197</v>
      </c>
      <c r="C2" s="224" t="s">
        <v>198</v>
      </c>
      <c r="D2" s="223" t="s">
        <v>199</v>
      </c>
      <c r="E2" s="7" t="s">
        <v>200</v>
      </c>
    </row>
    <row r="3" spans="2:5">
      <c r="B3" s="135" t="s">
        <v>201</v>
      </c>
      <c r="C3" s="1">
        <v>0.35</v>
      </c>
      <c r="D3" s="1">
        <v>0.3</v>
      </c>
      <c r="E3" s="1">
        <f>C3*D3</f>
        <v>0.105</v>
      </c>
    </row>
    <row r="4" spans="2:5">
      <c r="B4" s="1" t="s">
        <v>202</v>
      </c>
      <c r="C4" s="1">
        <v>0.5</v>
      </c>
      <c r="D4" s="1">
        <v>0.45</v>
      </c>
      <c r="E4" s="1">
        <f>C4*D4</f>
        <v>0.22500000000000001</v>
      </c>
    </row>
    <row r="5" spans="2:5">
      <c r="B5" s="1" t="s">
        <v>203</v>
      </c>
      <c r="C5" s="1">
        <v>0.55000000000000004</v>
      </c>
      <c r="D5" s="1">
        <v>0.5</v>
      </c>
      <c r="E5" s="1">
        <f>C5*D5</f>
        <v>0.27500000000000002</v>
      </c>
    </row>
    <row r="6" spans="2:5">
      <c r="B6" s="1" t="s">
        <v>204</v>
      </c>
      <c r="C6" s="1">
        <v>0.45</v>
      </c>
      <c r="D6" s="1">
        <v>0.4</v>
      </c>
      <c r="E6" s="1">
        <f>C6*D6</f>
        <v>0.18000000000000002</v>
      </c>
    </row>
  </sheetData>
  <mergeCells count="1">
    <mergeCell ref="C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9A5E-8D27-4D58-87AE-E308FC8D084F}">
  <sheetPr>
    <tabColor theme="0"/>
  </sheetPr>
  <dimension ref="A1:BB57"/>
  <sheetViews>
    <sheetView topLeftCell="B1" zoomScale="104" zoomScaleNormal="110" workbookViewId="0">
      <selection activeCell="K6" sqref="K6"/>
    </sheetView>
  </sheetViews>
  <sheetFormatPr defaultColWidth="11.42578125" defaultRowHeight="15"/>
  <cols>
    <col min="1" max="1" width="16.7109375" customWidth="1"/>
    <col min="4" max="4" width="12.42578125" customWidth="1"/>
    <col min="8" max="8" width="14.42578125" customWidth="1"/>
    <col min="15" max="15" width="8" hidden="1" customWidth="1"/>
    <col min="17" max="17" width="17" customWidth="1"/>
    <col min="40" max="40" width="14.28515625" customWidth="1"/>
  </cols>
  <sheetData>
    <row r="1" spans="1:54" ht="15.75" thickBot="1"/>
    <row r="2" spans="1:54" ht="60.75" thickBot="1">
      <c r="D2" s="282"/>
      <c r="E2" s="280" t="s">
        <v>205</v>
      </c>
      <c r="F2" s="280" t="s">
        <v>206</v>
      </c>
      <c r="G2" s="280" t="s">
        <v>207</v>
      </c>
      <c r="H2" s="280" t="s">
        <v>208</v>
      </c>
      <c r="I2" s="280" t="s">
        <v>209</v>
      </c>
      <c r="J2" s="281" t="s">
        <v>210</v>
      </c>
      <c r="K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</row>
    <row r="3" spans="1:54" ht="15.75" thickBot="1">
      <c r="D3" s="283" t="s">
        <v>211</v>
      </c>
      <c r="E3" s="284">
        <f>O3*Avaluo!N17</f>
        <v>4120.6415206320007</v>
      </c>
      <c r="F3" s="284">
        <f>O3*Avaluo!$N$36</f>
        <v>1053.6245999999999</v>
      </c>
      <c r="G3" s="285">
        <f>E18</f>
        <v>453.59999999999997</v>
      </c>
      <c r="H3" s="285">
        <f>G18+I18</f>
        <v>1235.2895999999996</v>
      </c>
      <c r="I3" s="285">
        <f>105.21/2*Avaluo!N47</f>
        <v>394.53749999999997</v>
      </c>
      <c r="J3" s="286">
        <f>SUM(E3:I3)</f>
        <v>7257.6932206320016</v>
      </c>
      <c r="O3">
        <v>585.34699999999998</v>
      </c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4"/>
      <c r="AQ3" s="134"/>
      <c r="AR3" s="134"/>
      <c r="AS3" s="134"/>
      <c r="AT3" s="134"/>
      <c r="AU3" s="134"/>
      <c r="AV3" s="134"/>
      <c r="AW3" s="134"/>
      <c r="AX3" s="134"/>
      <c r="AY3" s="134"/>
      <c r="AZ3" s="134"/>
      <c r="BA3" s="134"/>
      <c r="BB3" s="134"/>
    </row>
    <row r="4" spans="1:54" ht="15.75" thickBot="1">
      <c r="D4" s="106" t="s">
        <v>212</v>
      </c>
      <c r="E4" s="107">
        <f>O4*Avaluo!N17</f>
        <v>3757.0644072000014</v>
      </c>
      <c r="F4" s="205">
        <f>O4*Avaluo!$N$36+O3*Avaluo!N43</f>
        <v>3887.3949999999995</v>
      </c>
      <c r="G4" s="155">
        <f>E38</f>
        <v>388.79999999999995</v>
      </c>
      <c r="H4" s="155">
        <f>G38+I38</f>
        <v>1136.2175999999999</v>
      </c>
      <c r="I4" s="155">
        <f>115.95/2*Avaluo!N47</f>
        <v>434.8125</v>
      </c>
      <c r="J4" s="286">
        <f>SUM(E4:I4)</f>
        <v>9604.289507200001</v>
      </c>
      <c r="O4">
        <v>533.70000000000005</v>
      </c>
      <c r="U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</row>
    <row r="5" spans="1:54" ht="15.75" thickBot="1">
      <c r="D5" s="207" t="s">
        <v>79</v>
      </c>
      <c r="E5" s="208">
        <f>O5*Avaluo!N28</f>
        <v>2335.076262</v>
      </c>
      <c r="F5" s="287">
        <f>O5*Avaluo!N39</f>
        <v>2668.5</v>
      </c>
      <c r="G5" s="209"/>
      <c r="H5" s="209"/>
      <c r="I5" s="209"/>
      <c r="J5" s="288">
        <f>SUM(E5:I5)</f>
        <v>5003.5762620000005</v>
      </c>
      <c r="O5">
        <v>533.70000000000005</v>
      </c>
      <c r="U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</row>
    <row r="6" spans="1:54" ht="30.75" customHeight="1" thickBot="1">
      <c r="D6" s="368" t="s">
        <v>213</v>
      </c>
      <c r="E6" s="369"/>
      <c r="F6" s="369"/>
      <c r="G6" s="369"/>
      <c r="H6" s="324">
        <f>SUM(J3+J4*3+J5)</f>
        <v>41074.138004232009</v>
      </c>
      <c r="I6" s="370"/>
      <c r="J6" s="325"/>
      <c r="U6" s="134"/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  <c r="AN6" s="134"/>
      <c r="AO6" s="134"/>
      <c r="AP6" s="134"/>
      <c r="AQ6" s="134"/>
      <c r="AR6" s="134"/>
      <c r="AS6" s="134"/>
      <c r="AT6" s="134"/>
      <c r="AU6" s="134"/>
      <c r="AV6" s="134"/>
      <c r="AW6" s="134"/>
      <c r="AX6" s="134"/>
      <c r="AY6" s="134"/>
      <c r="AZ6" s="134"/>
      <c r="BA6" s="134"/>
      <c r="BB6" s="134"/>
    </row>
    <row r="7" spans="1:54">
      <c r="A7" s="134"/>
      <c r="E7" s="134"/>
      <c r="R7" s="134"/>
      <c r="S7" s="134"/>
      <c r="T7" s="134"/>
      <c r="U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  <c r="AN7" s="134"/>
      <c r="AO7" s="134"/>
      <c r="AP7" s="134"/>
      <c r="AQ7" s="134"/>
      <c r="AR7" s="134"/>
      <c r="AS7" s="134"/>
      <c r="AT7" s="134"/>
      <c r="AU7" s="134"/>
      <c r="AV7" s="134"/>
      <c r="AW7" s="134"/>
      <c r="AX7" s="134"/>
      <c r="AY7" s="134"/>
      <c r="AZ7" s="134"/>
      <c r="BA7" s="134"/>
      <c r="BB7" s="134"/>
    </row>
    <row r="8" spans="1:54">
      <c r="A8" s="134"/>
      <c r="K8" s="134"/>
      <c r="L8" s="134"/>
      <c r="M8" s="134"/>
      <c r="N8" s="134"/>
      <c r="O8" s="134"/>
      <c r="R8" s="134"/>
      <c r="S8" s="134"/>
      <c r="T8" s="134"/>
      <c r="U8" s="134"/>
      <c r="V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</row>
    <row r="9" spans="1:54" ht="15.75" thickBot="1">
      <c r="A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4"/>
      <c r="AQ9" s="134"/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</row>
    <row r="10" spans="1:54" ht="15.75" thickBot="1">
      <c r="A10" s="134"/>
      <c r="D10" s="322" t="s">
        <v>211</v>
      </c>
      <c r="E10" s="384"/>
      <c r="F10" s="384"/>
      <c r="G10" s="384"/>
      <c r="H10" s="384"/>
      <c r="I10" s="323"/>
      <c r="K10" s="380" t="s">
        <v>214</v>
      </c>
      <c r="L10" s="381"/>
      <c r="M10" s="134"/>
      <c r="Y10" s="134"/>
      <c r="AK10" s="134"/>
      <c r="AY10" s="134"/>
      <c r="AZ10" s="134"/>
      <c r="BA10" s="134"/>
      <c r="BB10" s="134"/>
    </row>
    <row r="11" spans="1:54" ht="32.25" customHeight="1">
      <c r="A11" s="134"/>
      <c r="B11" s="91" t="s">
        <v>215</v>
      </c>
      <c r="D11" s="382" t="s">
        <v>216</v>
      </c>
      <c r="E11" s="383"/>
      <c r="F11" s="382" t="s">
        <v>217</v>
      </c>
      <c r="G11" s="383"/>
      <c r="H11" s="382" t="s">
        <v>218</v>
      </c>
      <c r="I11" s="383"/>
      <c r="K11" s="137" t="s">
        <v>219</v>
      </c>
      <c r="L11" s="138" t="s">
        <v>220</v>
      </c>
      <c r="Y11" s="134"/>
      <c r="AK11" s="134"/>
      <c r="AY11" s="134"/>
      <c r="AZ11" s="134"/>
      <c r="BA11" s="134"/>
      <c r="BB11" s="134"/>
    </row>
    <row r="12" spans="1:54">
      <c r="A12" s="134"/>
      <c r="B12" s="91">
        <v>3.5</v>
      </c>
      <c r="D12" s="373"/>
      <c r="E12" s="374"/>
      <c r="F12" s="373"/>
      <c r="G12" s="374"/>
      <c r="H12" s="373"/>
      <c r="I12" s="374"/>
      <c r="K12" s="139" t="s">
        <v>221</v>
      </c>
      <c r="L12" s="109" t="s">
        <v>222</v>
      </c>
      <c r="Y12" s="134"/>
      <c r="AK12" s="134"/>
      <c r="AY12" s="134"/>
      <c r="AZ12" s="134"/>
      <c r="BA12" s="134"/>
      <c r="BB12" s="134"/>
    </row>
    <row r="13" spans="1:54">
      <c r="A13" s="134"/>
      <c r="D13" s="373"/>
      <c r="E13" s="374"/>
      <c r="F13" s="373"/>
      <c r="G13" s="374"/>
      <c r="H13" s="373"/>
      <c r="I13" s="374"/>
      <c r="K13" s="139" t="s">
        <v>223</v>
      </c>
      <c r="L13" s="109">
        <v>1</v>
      </c>
      <c r="AK13" s="134"/>
      <c r="AY13" s="134"/>
      <c r="AZ13" s="134"/>
      <c r="BA13" s="134"/>
      <c r="BB13" s="134"/>
    </row>
    <row r="14" spans="1:54" ht="15.75">
      <c r="A14" s="134"/>
      <c r="D14" s="159" t="s">
        <v>39</v>
      </c>
      <c r="E14" s="160">
        <v>0.3</v>
      </c>
      <c r="F14" s="159" t="s">
        <v>39</v>
      </c>
      <c r="G14" s="160">
        <v>0.4</v>
      </c>
      <c r="H14" s="159" t="s">
        <v>39</v>
      </c>
      <c r="I14" s="160">
        <v>0.4</v>
      </c>
      <c r="K14" s="139" t="s">
        <v>224</v>
      </c>
      <c r="L14" s="109">
        <v>0.85</v>
      </c>
      <c r="AK14" s="134"/>
      <c r="AY14" s="134"/>
      <c r="AZ14" s="134"/>
      <c r="BA14" s="134"/>
      <c r="BB14" s="134"/>
    </row>
    <row r="15" spans="1:54" ht="15.75">
      <c r="A15" s="134"/>
      <c r="D15" s="159" t="s">
        <v>38</v>
      </c>
      <c r="E15" s="160">
        <v>0.3</v>
      </c>
      <c r="F15" s="159" t="s">
        <v>38</v>
      </c>
      <c r="G15" s="160">
        <v>0.4</v>
      </c>
      <c r="H15" s="159" t="s">
        <v>38</v>
      </c>
      <c r="I15" s="160">
        <v>0.4</v>
      </c>
      <c r="K15" s="139" t="s">
        <v>225</v>
      </c>
      <c r="L15" s="109">
        <v>1</v>
      </c>
      <c r="AK15" s="134"/>
      <c r="AY15" s="134"/>
      <c r="AZ15" s="134"/>
      <c r="BA15" s="134"/>
      <c r="BB15" s="134"/>
    </row>
    <row r="16" spans="1:54" ht="15.75">
      <c r="A16" s="134"/>
      <c r="D16" s="159" t="s">
        <v>226</v>
      </c>
      <c r="E16" s="160">
        <v>60</v>
      </c>
      <c r="F16" s="159" t="s">
        <v>226</v>
      </c>
      <c r="G16" s="160">
        <v>44</v>
      </c>
      <c r="H16" s="159" t="s">
        <v>226</v>
      </c>
      <c r="I16" s="160">
        <v>54</v>
      </c>
      <c r="K16" s="139" t="s">
        <v>14</v>
      </c>
      <c r="L16" s="140">
        <v>50</v>
      </c>
      <c r="AK16" s="134"/>
      <c r="AY16" s="134"/>
      <c r="AZ16" s="134"/>
      <c r="BA16" s="134"/>
      <c r="BB16" s="134"/>
    </row>
    <row r="17" spans="1:54" ht="15.75">
      <c r="A17" s="134"/>
      <c r="D17" s="159" t="s">
        <v>227</v>
      </c>
      <c r="E17" s="160">
        <f>E16*B12</f>
        <v>210</v>
      </c>
      <c r="F17" s="159" t="s">
        <v>227</v>
      </c>
      <c r="G17" s="160">
        <f>'[1]Avaluo de cargas piso 1'!C48</f>
        <v>164.88</v>
      </c>
      <c r="H17" s="159" t="s">
        <v>227</v>
      </c>
      <c r="I17" s="160">
        <f>'[1]Vigas rigidez'!C56</f>
        <v>156.80999999999989</v>
      </c>
      <c r="K17" s="139" t="s">
        <v>43</v>
      </c>
      <c r="L17" s="109">
        <v>15.5</v>
      </c>
      <c r="AK17" s="134"/>
      <c r="AY17" s="134"/>
      <c r="AZ17" s="134"/>
      <c r="BA17" s="134"/>
      <c r="BB17" s="134"/>
    </row>
    <row r="18" spans="1:54" ht="16.5" thickBot="1">
      <c r="A18" s="134"/>
      <c r="D18" s="161" t="s">
        <v>228</v>
      </c>
      <c r="E18" s="20">
        <f>E14*E15*E17*24</f>
        <v>453.59999999999997</v>
      </c>
      <c r="F18" s="161" t="s">
        <v>228</v>
      </c>
      <c r="G18" s="20">
        <f>G14*G15*G17*24</f>
        <v>633.13920000000007</v>
      </c>
      <c r="H18" s="161" t="s">
        <v>228</v>
      </c>
      <c r="I18" s="20">
        <f>I14*I15*I17*24</f>
        <v>602.15039999999965</v>
      </c>
      <c r="K18" s="139" t="s">
        <v>229</v>
      </c>
      <c r="L18" s="109">
        <f>2.01*((15.3)/(274.3))^((2)/(9.5))</f>
        <v>1.0946973918359304</v>
      </c>
      <c r="AK18" s="134"/>
      <c r="AY18" s="134"/>
      <c r="AZ18" s="134"/>
      <c r="BA18" s="134"/>
      <c r="BB18" s="134"/>
    </row>
    <row r="19" spans="1:54" ht="15" hidden="1" customHeight="1">
      <c r="A19" s="134"/>
      <c r="B19" s="134"/>
      <c r="C19" s="134"/>
      <c r="D19" s="134"/>
      <c r="E19" s="134"/>
      <c r="F19" s="134"/>
      <c r="G19" s="134"/>
      <c r="H19" s="134"/>
      <c r="I19" s="134"/>
      <c r="J19" s="134"/>
      <c r="K19" s="139"/>
      <c r="L19" s="109"/>
      <c r="M19" s="134"/>
      <c r="AK19" s="134"/>
      <c r="AY19" s="134"/>
      <c r="AZ19" s="134"/>
      <c r="BA19" s="134"/>
      <c r="BB19" s="134"/>
    </row>
    <row r="20" spans="1:54" ht="15" hidden="1" customHeight="1">
      <c r="A20" s="134"/>
      <c r="B20" s="134"/>
      <c r="C20" s="134"/>
      <c r="D20" s="134"/>
      <c r="E20" s="134"/>
      <c r="F20" s="134"/>
      <c r="G20" s="134"/>
      <c r="H20" s="134"/>
      <c r="I20" s="134"/>
      <c r="J20" s="134"/>
      <c r="K20" s="139"/>
      <c r="L20" s="109"/>
      <c r="M20" s="134"/>
      <c r="AK20" s="134"/>
      <c r="AY20" s="134"/>
      <c r="AZ20" s="134"/>
      <c r="BA20" s="134"/>
      <c r="BB20" s="134"/>
    </row>
    <row r="21" spans="1:54" ht="15" hidden="1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9"/>
      <c r="L21" s="109"/>
      <c r="M21" s="134"/>
      <c r="AK21" s="134"/>
      <c r="AY21" s="134"/>
      <c r="AZ21" s="134"/>
      <c r="BA21" s="134"/>
      <c r="BB21" s="134"/>
    </row>
    <row r="22" spans="1:54" ht="15" hidden="1" customHeight="1">
      <c r="A22" s="134"/>
      <c r="B22" s="134"/>
      <c r="C22" s="134"/>
      <c r="D22" s="134"/>
      <c r="E22" s="134"/>
      <c r="F22" s="134"/>
      <c r="G22" s="134"/>
      <c r="H22" s="134"/>
      <c r="I22" s="134"/>
      <c r="J22" s="134"/>
      <c r="K22" s="139"/>
      <c r="L22" s="109"/>
      <c r="M22" s="134"/>
      <c r="AK22" s="134"/>
      <c r="AY22" s="134"/>
      <c r="AZ22" s="134"/>
      <c r="BA22" s="134"/>
      <c r="BB22" s="134"/>
    </row>
    <row r="23" spans="1:54" ht="15" hidden="1" customHeight="1">
      <c r="A23" s="134"/>
      <c r="B23" s="134"/>
      <c r="C23" s="134"/>
      <c r="D23" s="134"/>
      <c r="E23" s="134"/>
      <c r="F23" s="134"/>
      <c r="G23" s="134"/>
      <c r="H23" s="134"/>
      <c r="I23" s="134"/>
      <c r="J23" s="134"/>
      <c r="K23" s="139"/>
      <c r="L23" s="109"/>
      <c r="M23" s="134"/>
      <c r="AK23" s="134"/>
      <c r="AY23" s="134"/>
      <c r="AZ23" s="134"/>
      <c r="BA23" s="134"/>
      <c r="BB23" s="134"/>
    </row>
    <row r="24" spans="1:54" ht="15" hidden="1" customHeight="1">
      <c r="A24" s="134"/>
      <c r="B24" s="134"/>
      <c r="C24" s="134"/>
      <c r="D24" s="134"/>
      <c r="E24" s="134"/>
      <c r="F24" s="134"/>
      <c r="G24" s="134"/>
      <c r="H24" s="134"/>
      <c r="I24" s="134"/>
      <c r="J24" s="134"/>
      <c r="K24" s="139"/>
      <c r="L24" s="109"/>
      <c r="M24" s="134"/>
      <c r="AK24" s="134"/>
      <c r="AY24" s="134"/>
      <c r="AZ24" s="134"/>
      <c r="BA24" s="134"/>
      <c r="BB24" s="134"/>
    </row>
    <row r="25" spans="1:54" ht="15" hidden="1" customHeight="1">
      <c r="A25" s="134"/>
      <c r="B25" s="134"/>
      <c r="C25" s="134"/>
      <c r="D25" s="134"/>
      <c r="E25" s="134"/>
      <c r="F25" s="134"/>
      <c r="G25" s="134"/>
      <c r="H25" s="134"/>
      <c r="I25" s="134"/>
      <c r="J25" s="134"/>
      <c r="K25" s="139"/>
      <c r="L25" s="109"/>
      <c r="M25" s="134"/>
      <c r="AK25" s="134"/>
      <c r="AY25" s="134"/>
      <c r="AZ25" s="134"/>
      <c r="BA25" s="134"/>
      <c r="BB25" s="134"/>
    </row>
    <row r="26" spans="1:54" ht="15" hidden="1" customHeight="1">
      <c r="A26" s="134"/>
      <c r="B26" s="134"/>
      <c r="C26" s="134"/>
      <c r="D26" s="134"/>
      <c r="E26" s="134"/>
      <c r="F26" s="134"/>
      <c r="G26" s="134"/>
      <c r="H26" s="134"/>
      <c r="I26" s="134"/>
      <c r="J26" s="134"/>
      <c r="K26" s="139"/>
      <c r="L26" s="109"/>
      <c r="M26" s="134"/>
      <c r="AK26" s="134"/>
      <c r="AY26" s="134"/>
      <c r="AZ26" s="134"/>
      <c r="BA26" s="134"/>
      <c r="BB26" s="134"/>
    </row>
    <row r="27" spans="1:54" ht="15" hidden="1" customHeight="1">
      <c r="A27" s="134"/>
      <c r="B27" s="134"/>
      <c r="C27" s="134"/>
      <c r="D27" s="134"/>
      <c r="E27" s="134"/>
      <c r="F27" s="134"/>
      <c r="G27" s="134"/>
      <c r="H27" s="134"/>
      <c r="I27" s="134"/>
      <c r="J27" s="134"/>
      <c r="K27" s="139"/>
      <c r="L27" s="109"/>
      <c r="M27" s="134"/>
      <c r="AK27" s="134"/>
      <c r="AY27" s="134"/>
      <c r="AZ27" s="134"/>
      <c r="BA27" s="134"/>
      <c r="BB27" s="134"/>
    </row>
    <row r="28" spans="1:54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9" t="s">
        <v>230</v>
      </c>
      <c r="L28" s="109">
        <v>1</v>
      </c>
      <c r="M28" s="134"/>
      <c r="AK28" s="134"/>
      <c r="AY28" s="134"/>
      <c r="AZ28" s="134"/>
      <c r="BA28" s="134"/>
      <c r="BB28" s="134"/>
    </row>
    <row r="29" spans="1:54" ht="15.75" thickBot="1">
      <c r="A29" s="134"/>
      <c r="K29" s="139" t="s">
        <v>231</v>
      </c>
      <c r="L29" s="109">
        <f>(1/2)*1.2*L18*L13*L28*L14*L16^2*L15</f>
        <v>1395.7391745908112</v>
      </c>
      <c r="AK29" s="134"/>
      <c r="AY29" s="134"/>
      <c r="AZ29" s="134"/>
      <c r="BA29" s="134"/>
      <c r="BB29" s="134"/>
    </row>
    <row r="30" spans="1:54" ht="15.75" thickBot="1">
      <c r="A30" s="134"/>
      <c r="B30" s="134"/>
      <c r="C30" s="134"/>
      <c r="D30" s="377" t="s">
        <v>232</v>
      </c>
      <c r="E30" s="378"/>
      <c r="F30" s="378"/>
      <c r="G30" s="378"/>
      <c r="H30" s="378"/>
      <c r="I30" s="379"/>
      <c r="J30" s="134"/>
      <c r="K30" s="141" t="s">
        <v>233</v>
      </c>
      <c r="L30" s="133">
        <v>1.4</v>
      </c>
      <c r="M30" s="134"/>
      <c r="AK30" s="134"/>
      <c r="AY30" s="134"/>
      <c r="AZ30" s="134"/>
      <c r="BA30" s="134"/>
      <c r="BB30" s="134"/>
    </row>
    <row r="31" spans="1:54" ht="15.75" customHeight="1">
      <c r="A31" s="134"/>
      <c r="B31" s="91" t="s">
        <v>215</v>
      </c>
      <c r="D31" s="371" t="s">
        <v>216</v>
      </c>
      <c r="E31" s="372"/>
      <c r="F31" s="371" t="s">
        <v>217</v>
      </c>
      <c r="G31" s="372"/>
      <c r="H31" s="371" t="s">
        <v>218</v>
      </c>
      <c r="I31" s="372"/>
      <c r="L31" s="136"/>
      <c r="AK31" s="134"/>
      <c r="AY31" s="134"/>
      <c r="AZ31" s="134"/>
      <c r="BA31" s="134"/>
      <c r="BB31" s="134"/>
    </row>
    <row r="32" spans="1:54">
      <c r="A32" s="134"/>
      <c r="B32" s="91">
        <v>3</v>
      </c>
      <c r="D32" s="373"/>
      <c r="E32" s="374"/>
      <c r="F32" s="373"/>
      <c r="G32" s="374"/>
      <c r="H32" s="373"/>
      <c r="I32" s="374"/>
      <c r="AK32" s="134"/>
      <c r="AY32" s="134"/>
      <c r="AZ32" s="134"/>
      <c r="BA32" s="134"/>
      <c r="BB32" s="134"/>
    </row>
    <row r="33" spans="1:54" ht="15.75" thickBot="1">
      <c r="A33" s="134"/>
      <c r="D33" s="375"/>
      <c r="E33" s="376"/>
      <c r="F33" s="375"/>
      <c r="G33" s="376"/>
      <c r="H33" s="375"/>
      <c r="I33" s="376"/>
      <c r="AK33" s="134"/>
      <c r="AY33" s="134"/>
      <c r="AZ33" s="134"/>
      <c r="BA33" s="134"/>
      <c r="BB33" s="134"/>
    </row>
    <row r="34" spans="1:54" ht="15.75">
      <c r="A34" s="134"/>
      <c r="D34" s="162" t="s">
        <v>39</v>
      </c>
      <c r="E34" s="163">
        <v>0.3</v>
      </c>
      <c r="F34" s="162" t="s">
        <v>39</v>
      </c>
      <c r="G34" s="163">
        <v>0.4</v>
      </c>
      <c r="H34" s="162" t="s">
        <v>39</v>
      </c>
      <c r="I34" s="163">
        <v>0.4</v>
      </c>
      <c r="AK34" s="134"/>
      <c r="AY34" s="134"/>
      <c r="AZ34" s="134"/>
      <c r="BA34" s="134"/>
      <c r="BB34" s="134"/>
    </row>
    <row r="35" spans="1:54" ht="15.75">
      <c r="A35" s="134"/>
      <c r="D35" s="159" t="s">
        <v>38</v>
      </c>
      <c r="E35" s="160">
        <v>0.3</v>
      </c>
      <c r="F35" s="159" t="s">
        <v>38</v>
      </c>
      <c r="G35" s="160">
        <v>0.4</v>
      </c>
      <c r="H35" s="159" t="s">
        <v>38</v>
      </c>
      <c r="I35" s="160">
        <v>0.4</v>
      </c>
      <c r="AK35" s="134"/>
      <c r="AY35" s="134"/>
      <c r="AZ35" s="134"/>
      <c r="BA35" s="134"/>
      <c r="BB35" s="134"/>
    </row>
    <row r="36" spans="1:54" ht="15.75">
      <c r="A36" s="134"/>
      <c r="D36" s="159" t="s">
        <v>226</v>
      </c>
      <c r="E36" s="160">
        <v>60</v>
      </c>
      <c r="F36" s="159" t="s">
        <v>226</v>
      </c>
      <c r="G36" s="160">
        <v>40</v>
      </c>
      <c r="H36" s="159" t="s">
        <v>226</v>
      </c>
      <c r="I36" s="160">
        <v>52</v>
      </c>
      <c r="AK36" s="134"/>
      <c r="AY36" s="134"/>
      <c r="AZ36" s="134"/>
      <c r="BA36" s="134"/>
      <c r="BB36" s="134"/>
    </row>
    <row r="37" spans="1:54" ht="15.75">
      <c r="A37" s="134"/>
      <c r="D37" s="159" t="s">
        <v>227</v>
      </c>
      <c r="E37" s="160">
        <f>E36*B32</f>
        <v>180</v>
      </c>
      <c r="F37" s="159" t="s">
        <v>227</v>
      </c>
      <c r="G37" s="160">
        <f>'[1]Avaluo de cargas piso 2'!C44</f>
        <v>149.28</v>
      </c>
      <c r="H37" s="159" t="s">
        <v>227</v>
      </c>
      <c r="I37" s="160">
        <f>'[1]Vigas rigidez'!C56-'[1]Vigas rigidez'!C25-'[1]Vigas rigidez'!C29</f>
        <v>146.6099999999999</v>
      </c>
      <c r="AK37" s="134"/>
      <c r="AY37" s="134"/>
      <c r="AZ37" s="134"/>
      <c r="BA37" s="134"/>
      <c r="BB37" s="134"/>
    </row>
    <row r="38" spans="1:54" ht="16.5" thickBot="1">
      <c r="A38" s="134"/>
      <c r="D38" s="161" t="s">
        <v>228</v>
      </c>
      <c r="E38" s="20">
        <f>E34*E35*E37*24</f>
        <v>388.79999999999995</v>
      </c>
      <c r="F38" s="161" t="s">
        <v>228</v>
      </c>
      <c r="G38" s="20">
        <f>G34*G35*G37*24</f>
        <v>573.23520000000008</v>
      </c>
      <c r="H38" s="161" t="s">
        <v>228</v>
      </c>
      <c r="I38" s="20">
        <f>I34*I35*I37*24</f>
        <v>562.98239999999976</v>
      </c>
      <c r="AK38" s="134"/>
      <c r="AY38" s="134"/>
      <c r="AZ38" s="134"/>
      <c r="BA38" s="134"/>
      <c r="BB38" s="134"/>
    </row>
    <row r="39" spans="1:54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M39" s="134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AK39" s="134"/>
      <c r="AY39" s="134"/>
      <c r="AZ39" s="134"/>
      <c r="BA39" s="134"/>
      <c r="BB39" s="134"/>
    </row>
    <row r="40" spans="1:54">
      <c r="A40" s="134"/>
      <c r="V40" s="134"/>
      <c r="W40" s="134"/>
      <c r="X40" s="134"/>
      <c r="AK40" s="134"/>
      <c r="AY40" s="134"/>
      <c r="AZ40" s="134"/>
      <c r="BA40" s="134"/>
      <c r="BB40" s="134"/>
    </row>
    <row r="41" spans="1:54">
      <c r="A41" s="134"/>
      <c r="V41" s="134"/>
      <c r="W41" s="134"/>
      <c r="X41" s="134"/>
      <c r="AK41" s="134"/>
      <c r="AY41" s="134"/>
      <c r="AZ41" s="134"/>
      <c r="BA41" s="134"/>
      <c r="BB41" s="134"/>
    </row>
    <row r="42" spans="1:54">
      <c r="A42" s="134"/>
      <c r="V42" s="134"/>
      <c r="W42" s="134"/>
      <c r="X42" s="134"/>
      <c r="AK42" s="134"/>
      <c r="AY42" s="134"/>
      <c r="AZ42" s="134"/>
      <c r="BA42" s="134"/>
      <c r="BB42" s="134"/>
    </row>
    <row r="43" spans="1:54" ht="15.75" customHeight="1">
      <c r="A43" s="134"/>
      <c r="V43" s="134"/>
      <c r="W43" s="134"/>
      <c r="X43" s="134"/>
      <c r="AK43" s="134"/>
      <c r="AY43" s="134"/>
      <c r="AZ43" s="134"/>
      <c r="BA43" s="134"/>
      <c r="BB43" s="134"/>
    </row>
    <row r="44" spans="1:54">
      <c r="A44" s="134"/>
      <c r="V44" s="134"/>
      <c r="W44" s="134"/>
      <c r="X44" s="134"/>
      <c r="AK44" s="134"/>
      <c r="AY44" s="134"/>
      <c r="AZ44" s="134"/>
      <c r="BA44" s="134"/>
      <c r="BB44" s="134"/>
    </row>
    <row r="45" spans="1:54">
      <c r="A45" s="134"/>
      <c r="V45" s="134"/>
      <c r="W45" s="134"/>
      <c r="X45" s="134"/>
      <c r="AK45" s="134"/>
      <c r="AY45" s="134"/>
      <c r="AZ45" s="134"/>
      <c r="BA45" s="134"/>
      <c r="BB45" s="134"/>
    </row>
    <row r="46" spans="1:54">
      <c r="A46" s="134"/>
      <c r="V46" s="134"/>
      <c r="W46" s="134"/>
      <c r="X46" s="134"/>
      <c r="AK46" s="134"/>
      <c r="AY46" s="134"/>
      <c r="AZ46" s="134"/>
      <c r="BA46" s="134"/>
      <c r="BB46" s="134"/>
    </row>
    <row r="47" spans="1:54">
      <c r="A47" s="134"/>
      <c r="V47" s="134"/>
      <c r="W47" s="134"/>
      <c r="X47" s="134"/>
      <c r="AK47" s="134"/>
      <c r="AY47" s="134"/>
      <c r="AZ47" s="134"/>
      <c r="BA47" s="134"/>
      <c r="BB47" s="134"/>
    </row>
    <row r="48" spans="1:54">
      <c r="A48" s="134"/>
      <c r="V48" s="134"/>
      <c r="W48" s="134"/>
      <c r="X48" s="134"/>
      <c r="AK48" s="134"/>
      <c r="AY48" s="134"/>
      <c r="AZ48" s="134"/>
      <c r="BA48" s="134"/>
      <c r="BB48" s="134"/>
    </row>
    <row r="49" spans="1:54">
      <c r="A49" s="134"/>
      <c r="V49" s="134"/>
      <c r="W49" s="134"/>
      <c r="X49" s="134"/>
      <c r="AK49" s="134"/>
      <c r="AY49" s="134"/>
      <c r="AZ49" s="134"/>
      <c r="BA49" s="134"/>
      <c r="BB49" s="134"/>
    </row>
    <row r="50" spans="1:54">
      <c r="A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Y50" s="134"/>
      <c r="AZ50" s="134"/>
      <c r="BA50" s="134"/>
      <c r="BB50" s="134"/>
    </row>
    <row r="51" spans="1:54">
      <c r="A51" s="134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Y51" s="134"/>
      <c r="AZ51" s="134"/>
      <c r="BA51" s="134"/>
      <c r="BB51" s="134"/>
    </row>
    <row r="52" spans="1:54">
      <c r="A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Y52" s="134"/>
      <c r="AZ52" s="134"/>
      <c r="BA52" s="134"/>
      <c r="BB52" s="134"/>
    </row>
    <row r="53" spans="1:54">
      <c r="A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</row>
    <row r="54" spans="1:54">
      <c r="A54" s="134"/>
      <c r="V54" s="134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</row>
    <row r="55" spans="1:54" ht="15.75">
      <c r="A55" s="134"/>
      <c r="B55" s="142"/>
      <c r="C55" s="134"/>
      <c r="D55" s="134"/>
      <c r="E55" s="142"/>
      <c r="F55" s="134"/>
      <c r="G55" s="134"/>
      <c r="H55" s="142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</row>
    <row r="56" spans="1:54" ht="15.75">
      <c r="A56" s="134"/>
      <c r="B56" s="142"/>
      <c r="C56" s="134"/>
      <c r="D56" s="134"/>
      <c r="E56" s="142"/>
      <c r="F56" s="134"/>
      <c r="G56" s="134"/>
      <c r="H56" s="142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</row>
    <row r="57" spans="1:54" ht="15.75">
      <c r="A57" s="134"/>
      <c r="B57" s="142"/>
      <c r="C57" s="134"/>
      <c r="D57" s="134"/>
      <c r="E57" s="142"/>
      <c r="F57" s="134"/>
      <c r="G57" s="134"/>
      <c r="H57" s="142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</row>
  </sheetData>
  <mergeCells count="11">
    <mergeCell ref="K10:L10"/>
    <mergeCell ref="D11:E13"/>
    <mergeCell ref="F11:G13"/>
    <mergeCell ref="H11:I13"/>
    <mergeCell ref="D10:I10"/>
    <mergeCell ref="D6:G6"/>
    <mergeCell ref="H6:J6"/>
    <mergeCell ref="D31:E33"/>
    <mergeCell ref="F31:G33"/>
    <mergeCell ref="H31:I33"/>
    <mergeCell ref="D30:I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199B-3720-4605-AA4E-79396A1439ED}">
  <sheetPr>
    <tabColor theme="0"/>
  </sheetPr>
  <dimension ref="B3:N76"/>
  <sheetViews>
    <sheetView zoomScale="110" zoomScaleNormal="110" workbookViewId="0">
      <selection activeCell="M12" sqref="M12"/>
    </sheetView>
  </sheetViews>
  <sheetFormatPr defaultColWidth="11.42578125" defaultRowHeight="15"/>
  <cols>
    <col min="2" max="2" width="16.28515625" customWidth="1"/>
  </cols>
  <sheetData>
    <row r="3" spans="2:10">
      <c r="B3" s="143"/>
    </row>
    <row r="4" spans="2:10">
      <c r="B4" s="143"/>
    </row>
    <row r="7" spans="2:10" ht="75">
      <c r="B7" s="134" t="s">
        <v>234</v>
      </c>
      <c r="C7" s="134"/>
      <c r="D7" s="134"/>
      <c r="E7" s="134"/>
      <c r="F7" s="134"/>
      <c r="G7" s="134"/>
      <c r="H7" s="134"/>
      <c r="I7" s="134"/>
      <c r="J7" s="134"/>
    </row>
    <row r="8" spans="2:10">
      <c r="B8" s="134"/>
      <c r="C8" s="134"/>
      <c r="D8" s="134"/>
      <c r="E8" s="134"/>
      <c r="F8" s="134"/>
      <c r="G8" s="134"/>
      <c r="H8" s="134"/>
      <c r="I8" s="134"/>
      <c r="J8" s="134"/>
    </row>
    <row r="9" spans="2:10">
      <c r="B9" s="144" t="s">
        <v>235</v>
      </c>
      <c r="C9" s="145">
        <v>0.15</v>
      </c>
      <c r="D9" s="134"/>
      <c r="E9" s="134"/>
      <c r="F9" s="134"/>
      <c r="G9" s="134"/>
      <c r="H9" s="134"/>
      <c r="I9" s="134"/>
      <c r="J9" s="134"/>
    </row>
    <row r="10" spans="2:10">
      <c r="B10" s="144" t="s">
        <v>236</v>
      </c>
      <c r="C10" s="145">
        <v>0.1</v>
      </c>
      <c r="D10" s="134"/>
      <c r="E10" s="134"/>
      <c r="F10" s="134"/>
      <c r="G10" s="134"/>
      <c r="H10" s="134"/>
      <c r="I10" s="134"/>
      <c r="J10" s="134"/>
    </row>
    <row r="11" spans="2:10">
      <c r="B11" s="134"/>
      <c r="C11" s="134"/>
      <c r="D11" s="134"/>
      <c r="E11" s="134"/>
      <c r="F11" s="134"/>
      <c r="G11" s="134"/>
      <c r="H11" s="134"/>
      <c r="I11" s="134"/>
      <c r="J11" s="134"/>
    </row>
    <row r="12" spans="2:10" ht="30">
      <c r="B12" s="134" t="s">
        <v>237</v>
      </c>
      <c r="C12" s="134"/>
      <c r="D12" s="134"/>
      <c r="E12" s="134"/>
      <c r="F12" s="134"/>
      <c r="G12" s="134"/>
      <c r="H12" s="134"/>
      <c r="I12" s="134"/>
      <c r="J12" s="134"/>
    </row>
    <row r="13" spans="2:10">
      <c r="B13" s="134"/>
      <c r="C13" s="134"/>
      <c r="D13" s="134"/>
      <c r="E13" s="134"/>
      <c r="F13" s="134"/>
      <c r="G13" s="134"/>
      <c r="H13" s="134"/>
      <c r="I13" s="134"/>
      <c r="J13" s="134"/>
    </row>
    <row r="14" spans="2:10">
      <c r="B14" s="144" t="s">
        <v>149</v>
      </c>
      <c r="C14" s="145" t="s">
        <v>222</v>
      </c>
      <c r="D14" s="134"/>
      <c r="E14" s="134"/>
      <c r="F14" s="134"/>
      <c r="G14" s="134"/>
      <c r="H14" s="134"/>
      <c r="I14" s="134"/>
      <c r="J14" s="134"/>
    </row>
    <row r="15" spans="2:10">
      <c r="B15" s="134"/>
      <c r="C15" s="134"/>
      <c r="D15" s="134"/>
      <c r="E15" s="134"/>
      <c r="F15" s="134"/>
      <c r="G15" s="134"/>
      <c r="H15" s="134"/>
      <c r="I15" s="134"/>
      <c r="J15" s="134"/>
    </row>
    <row r="16" spans="2:10" ht="60">
      <c r="B16" s="134" t="s">
        <v>238</v>
      </c>
      <c r="C16" s="134"/>
      <c r="D16" s="134"/>
      <c r="E16" s="134"/>
      <c r="F16" s="134"/>
      <c r="G16" s="134"/>
      <c r="H16" s="134"/>
      <c r="I16" s="134"/>
      <c r="J16" s="134"/>
    </row>
    <row r="17" spans="2:10">
      <c r="B17" s="134"/>
      <c r="C17" s="134"/>
      <c r="D17" s="134"/>
      <c r="E17" s="134"/>
      <c r="F17" s="134"/>
      <c r="G17" s="134"/>
      <c r="H17" s="134"/>
      <c r="I17" s="134"/>
      <c r="J17" s="134"/>
    </row>
    <row r="18" spans="2:10">
      <c r="B18" s="144" t="s">
        <v>239</v>
      </c>
      <c r="C18" s="145">
        <v>1.2</v>
      </c>
      <c r="D18" s="134"/>
      <c r="E18" s="134"/>
      <c r="F18" s="134"/>
      <c r="G18" s="134"/>
      <c r="H18" s="134"/>
      <c r="I18" s="134"/>
      <c r="J18" s="134"/>
    </row>
    <row r="19" spans="2:10">
      <c r="B19" s="144" t="s">
        <v>240</v>
      </c>
      <c r="C19" s="145">
        <v>1.7</v>
      </c>
      <c r="D19" s="134"/>
      <c r="E19" s="134"/>
      <c r="F19" s="134"/>
      <c r="G19" s="134"/>
      <c r="H19" s="134"/>
      <c r="I19" s="134"/>
      <c r="J19" s="134"/>
    </row>
    <row r="20" spans="2:10">
      <c r="B20" s="134"/>
      <c r="C20" s="134"/>
      <c r="D20" s="134"/>
      <c r="E20" s="134"/>
      <c r="F20" s="134"/>
      <c r="G20" s="134"/>
      <c r="H20" s="134"/>
      <c r="I20" s="134"/>
      <c r="J20" s="134"/>
    </row>
    <row r="21" spans="2:10">
      <c r="B21" s="134"/>
      <c r="C21" s="134"/>
      <c r="D21" s="134"/>
      <c r="E21" s="134"/>
      <c r="F21" s="134"/>
      <c r="G21" s="134"/>
      <c r="H21" s="134"/>
      <c r="I21" s="134"/>
      <c r="J21" s="134"/>
    </row>
    <row r="22" spans="2:10" ht="45">
      <c r="B22" s="134" t="s">
        <v>241</v>
      </c>
      <c r="C22" s="134"/>
      <c r="D22" s="134"/>
      <c r="E22" s="134"/>
      <c r="F22" s="134"/>
      <c r="G22" s="134"/>
      <c r="H22" s="134"/>
      <c r="I22" s="134"/>
      <c r="J22" s="134"/>
    </row>
    <row r="23" spans="2:10">
      <c r="B23" s="134"/>
      <c r="C23" s="134"/>
      <c r="D23" s="134"/>
      <c r="E23" s="134"/>
      <c r="F23" s="134"/>
      <c r="G23" s="134"/>
      <c r="H23" s="134"/>
      <c r="I23" s="134"/>
      <c r="J23" s="134"/>
    </row>
    <row r="24" spans="2:10" ht="30">
      <c r="B24" s="144" t="s">
        <v>225</v>
      </c>
      <c r="C24" s="145">
        <v>1</v>
      </c>
      <c r="D24" s="134"/>
      <c r="E24" s="134"/>
      <c r="F24" s="134"/>
      <c r="G24" s="134"/>
      <c r="H24" s="134"/>
      <c r="I24" s="134"/>
      <c r="J24" s="134" t="s">
        <v>242</v>
      </c>
    </row>
    <row r="25" spans="2:10">
      <c r="B25" s="134"/>
      <c r="C25" s="134"/>
      <c r="D25" s="134"/>
      <c r="E25" s="134"/>
      <c r="F25" s="134"/>
      <c r="G25" s="134"/>
      <c r="H25" s="134"/>
      <c r="I25" s="134"/>
      <c r="J25" s="134"/>
    </row>
    <row r="26" spans="2:10" ht="45">
      <c r="B26" s="134" t="s">
        <v>243</v>
      </c>
      <c r="C26" s="134"/>
      <c r="D26" s="134"/>
      <c r="E26" s="134"/>
      <c r="F26" s="134"/>
      <c r="G26" s="134"/>
      <c r="H26" s="134"/>
      <c r="I26" s="134"/>
      <c r="J26" s="134"/>
    </row>
    <row r="27" spans="2:10">
      <c r="B27" s="134"/>
      <c r="C27" s="134"/>
      <c r="D27" s="134"/>
      <c r="E27" s="134"/>
      <c r="F27" s="134"/>
      <c r="G27" s="134"/>
      <c r="H27" s="134"/>
      <c r="I27" s="134"/>
      <c r="J27" s="134"/>
    </row>
    <row r="28" spans="2:10">
      <c r="B28" s="144" t="s">
        <v>244</v>
      </c>
      <c r="C28" s="146">
        <f>0.48*((C10*C19)/(C9*C18))</f>
        <v>0.45333333333333337</v>
      </c>
      <c r="D28" s="134"/>
      <c r="E28" s="134"/>
      <c r="F28" s="134"/>
      <c r="G28" s="134"/>
      <c r="H28" s="134"/>
      <c r="I28" s="134"/>
      <c r="J28" s="134"/>
    </row>
    <row r="29" spans="2:10">
      <c r="B29" s="144" t="s">
        <v>245</v>
      </c>
      <c r="C29" s="145">
        <f>2.4*C19</f>
        <v>4.08</v>
      </c>
      <c r="D29" s="134"/>
      <c r="E29" s="134"/>
      <c r="F29" s="134"/>
      <c r="G29" s="134"/>
      <c r="H29" s="134"/>
      <c r="I29" s="134"/>
      <c r="J29" s="134"/>
    </row>
    <row r="30" spans="2:10">
      <c r="B30" s="134"/>
      <c r="C30" s="134"/>
      <c r="D30" s="134"/>
      <c r="E30" s="134"/>
      <c r="F30" s="134"/>
      <c r="G30" s="134"/>
      <c r="H30" s="134"/>
      <c r="I30" s="134"/>
      <c r="J30" s="134"/>
    </row>
    <row r="31" spans="2:10">
      <c r="B31" s="134"/>
      <c r="C31" s="134"/>
      <c r="D31" s="134"/>
      <c r="E31" s="134"/>
      <c r="F31" s="134"/>
      <c r="G31" s="134"/>
      <c r="H31" s="134"/>
      <c r="I31" s="134"/>
      <c r="J31" s="134"/>
    </row>
    <row r="32" spans="2:10" ht="45">
      <c r="B32" s="134" t="s">
        <v>246</v>
      </c>
      <c r="C32" s="134"/>
      <c r="D32" s="134"/>
      <c r="E32" s="134"/>
      <c r="F32" s="134"/>
      <c r="G32" s="134"/>
      <c r="H32" s="134"/>
      <c r="I32" s="134"/>
      <c r="J32" s="134"/>
    </row>
    <row r="33" spans="2:14">
      <c r="B33" s="134"/>
      <c r="C33" s="134"/>
      <c r="D33" s="134"/>
      <c r="E33" s="134"/>
      <c r="F33" s="134"/>
      <c r="G33" s="134"/>
      <c r="H33" s="134"/>
      <c r="I33" s="134"/>
      <c r="J33" s="134"/>
    </row>
    <row r="34" spans="2:14" ht="30">
      <c r="B34" s="144" t="s">
        <v>247</v>
      </c>
      <c r="C34" s="144" t="s">
        <v>248</v>
      </c>
      <c r="D34" s="134"/>
      <c r="E34" s="134"/>
      <c r="F34" s="134"/>
      <c r="G34" s="134"/>
      <c r="H34" s="134"/>
      <c r="I34" s="134"/>
      <c r="J34" s="134"/>
    </row>
    <row r="35" spans="2:14">
      <c r="B35" s="145">
        <v>0</v>
      </c>
      <c r="C35" s="145">
        <f>2.5*C9*C18*C24</f>
        <v>0.44999999999999996</v>
      </c>
      <c r="D35" s="134"/>
      <c r="E35" s="134"/>
      <c r="F35" s="134"/>
      <c r="G35" s="134"/>
      <c r="H35" s="134"/>
      <c r="I35" s="134"/>
      <c r="J35" s="134"/>
    </row>
    <row r="36" spans="2:14">
      <c r="B36" s="147">
        <f>0.1*C10*C19/(C9*C18)</f>
        <v>9.4444444444444456E-2</v>
      </c>
      <c r="C36" s="145">
        <f>C35</f>
        <v>0.44999999999999996</v>
      </c>
      <c r="D36" s="134"/>
      <c r="E36" s="134"/>
      <c r="F36" s="134"/>
      <c r="G36" s="134"/>
      <c r="H36" s="134"/>
      <c r="I36" s="134"/>
      <c r="J36" s="134"/>
    </row>
    <row r="37" spans="2:14">
      <c r="B37" s="147">
        <f>0.48*(C10*C19)/(C9*C18)</f>
        <v>0.45333333333333337</v>
      </c>
      <c r="C37" s="145">
        <f>C36</f>
        <v>0.44999999999999996</v>
      </c>
      <c r="D37" s="134"/>
      <c r="E37" s="134"/>
      <c r="F37" s="134"/>
      <c r="G37" s="134"/>
      <c r="H37" s="134"/>
      <c r="I37" s="134"/>
      <c r="J37" s="134"/>
      <c r="N37" t="s">
        <v>249</v>
      </c>
    </row>
    <row r="38" spans="2:14">
      <c r="B38" s="147">
        <f>B37</f>
        <v>0.45333333333333337</v>
      </c>
      <c r="C38" s="146">
        <f>1.2*($C$10*$C$19*$C$24)/B38</f>
        <v>0.45</v>
      </c>
      <c r="D38" s="134"/>
      <c r="E38" s="134"/>
      <c r="F38" s="134"/>
      <c r="G38" s="134"/>
      <c r="H38" s="134"/>
      <c r="I38" s="134"/>
      <c r="J38" s="134"/>
    </row>
    <row r="39" spans="2:14">
      <c r="B39" s="148">
        <f>0.13+B38</f>
        <v>0.58333333333333337</v>
      </c>
      <c r="C39" s="146">
        <f>1.2*($C$10*$C$19*$C$24)/B39</f>
        <v>0.3497142857142857</v>
      </c>
      <c r="D39" s="134"/>
      <c r="E39" s="134"/>
      <c r="F39" s="134"/>
      <c r="G39" s="134"/>
      <c r="H39" s="134"/>
      <c r="I39" s="134"/>
      <c r="J39" s="134"/>
    </row>
    <row r="40" spans="2:14">
      <c r="B40" s="148">
        <f t="shared" ref="B40:B61" si="0">0.13+B39</f>
        <v>0.71333333333333337</v>
      </c>
      <c r="C40" s="146">
        <f t="shared" ref="C40:C61" si="1">1.2*($C$10*$C$19*$C$24)/B40</f>
        <v>0.28598130841121494</v>
      </c>
      <c r="D40" s="134"/>
      <c r="E40" s="134"/>
      <c r="F40" s="134"/>
      <c r="G40" s="134"/>
      <c r="H40" s="134"/>
      <c r="I40" s="134"/>
      <c r="J40" s="134"/>
    </row>
    <row r="41" spans="2:14">
      <c r="B41" s="148">
        <f t="shared" si="0"/>
        <v>0.84333333333333338</v>
      </c>
      <c r="C41" s="146">
        <f t="shared" si="1"/>
        <v>0.24189723320158102</v>
      </c>
      <c r="D41" s="134"/>
      <c r="E41" s="134"/>
      <c r="F41" s="134"/>
      <c r="G41" s="134"/>
      <c r="H41" s="134"/>
      <c r="I41" s="134"/>
      <c r="J41" s="134"/>
    </row>
    <row r="42" spans="2:14">
      <c r="B42" s="148">
        <f t="shared" si="0"/>
        <v>0.97333333333333338</v>
      </c>
      <c r="C42" s="146">
        <f t="shared" si="1"/>
        <v>0.20958904109589041</v>
      </c>
      <c r="D42" s="134"/>
      <c r="E42" s="134"/>
      <c r="F42" s="134"/>
      <c r="G42" s="134"/>
      <c r="H42" s="134"/>
      <c r="I42" s="134"/>
      <c r="J42" s="134"/>
    </row>
    <row r="43" spans="2:14">
      <c r="B43" s="148">
        <f t="shared" si="0"/>
        <v>1.1033333333333335</v>
      </c>
      <c r="C43" s="146">
        <f t="shared" si="1"/>
        <v>0.18489425981873112</v>
      </c>
      <c r="D43" s="134"/>
      <c r="E43" s="134"/>
      <c r="F43" s="134"/>
      <c r="G43" s="134"/>
      <c r="H43" s="134"/>
      <c r="I43" s="134"/>
      <c r="J43" s="134"/>
    </row>
    <row r="44" spans="2:14">
      <c r="B44" s="148">
        <f t="shared" si="0"/>
        <v>1.2333333333333334</v>
      </c>
      <c r="C44" s="146">
        <f t="shared" si="1"/>
        <v>0.16540540540540541</v>
      </c>
      <c r="D44" s="134"/>
      <c r="E44" s="134"/>
      <c r="F44" s="134"/>
      <c r="G44" s="134"/>
      <c r="H44" s="134"/>
      <c r="I44" s="134"/>
      <c r="J44" s="134"/>
    </row>
    <row r="45" spans="2:14">
      <c r="B45" s="148">
        <f t="shared" si="0"/>
        <v>1.3633333333333333</v>
      </c>
      <c r="C45" s="146">
        <f t="shared" si="1"/>
        <v>0.14963325183374085</v>
      </c>
      <c r="D45" s="134"/>
      <c r="E45" s="134"/>
      <c r="F45" s="134"/>
      <c r="G45" s="134"/>
      <c r="H45" s="134"/>
      <c r="I45" s="134"/>
      <c r="J45" s="134"/>
    </row>
    <row r="46" spans="2:14">
      <c r="B46" s="148">
        <f t="shared" si="0"/>
        <v>1.4933333333333332</v>
      </c>
      <c r="C46" s="146">
        <f t="shared" si="1"/>
        <v>0.13660714285714287</v>
      </c>
      <c r="D46" s="134"/>
      <c r="E46" s="134"/>
      <c r="F46" s="134"/>
      <c r="G46" s="134"/>
      <c r="H46" s="134"/>
      <c r="I46" s="134"/>
      <c r="J46" s="134"/>
    </row>
    <row r="47" spans="2:14">
      <c r="B47" s="148">
        <f t="shared" si="0"/>
        <v>1.6233333333333331</v>
      </c>
      <c r="C47" s="146">
        <f t="shared" si="1"/>
        <v>0.12566735112936347</v>
      </c>
      <c r="D47" s="134"/>
      <c r="E47" s="134"/>
      <c r="F47" s="134"/>
      <c r="G47" s="134"/>
      <c r="H47" s="134"/>
      <c r="I47" s="134"/>
      <c r="J47" s="134"/>
    </row>
    <row r="48" spans="2:14">
      <c r="B48" s="148">
        <f t="shared" si="0"/>
        <v>1.753333333333333</v>
      </c>
      <c r="C48" s="146">
        <f t="shared" si="1"/>
        <v>0.11634980988593159</v>
      </c>
      <c r="D48" s="134"/>
      <c r="E48" s="134"/>
      <c r="F48" s="134"/>
      <c r="G48" s="134"/>
      <c r="H48" s="134"/>
      <c r="I48" s="134"/>
      <c r="J48" s="134"/>
    </row>
    <row r="49" spans="2:10">
      <c r="B49" s="148">
        <f t="shared" si="0"/>
        <v>1.8833333333333329</v>
      </c>
      <c r="C49" s="146">
        <f t="shared" si="1"/>
        <v>0.10831858407079649</v>
      </c>
      <c r="D49" s="134"/>
      <c r="E49" s="134"/>
      <c r="F49" s="134"/>
      <c r="G49" s="134"/>
      <c r="H49" s="134"/>
      <c r="I49" s="134"/>
      <c r="J49" s="134"/>
    </row>
    <row r="50" spans="2:10">
      <c r="B50" s="148">
        <f t="shared" si="0"/>
        <v>2.0133333333333328</v>
      </c>
      <c r="C50" s="146">
        <f t="shared" si="1"/>
        <v>0.10132450331125832</v>
      </c>
      <c r="D50" s="134"/>
      <c r="E50" s="134"/>
      <c r="F50" s="134"/>
      <c r="G50" s="134"/>
      <c r="H50" s="134"/>
      <c r="I50" s="134"/>
      <c r="J50" s="134"/>
    </row>
    <row r="51" spans="2:10">
      <c r="B51" s="148">
        <f t="shared" si="0"/>
        <v>2.1433333333333326</v>
      </c>
      <c r="C51" s="146">
        <f t="shared" si="1"/>
        <v>9.5178849144634564E-2</v>
      </c>
      <c r="D51" s="134"/>
      <c r="E51" s="134"/>
      <c r="F51" s="134"/>
      <c r="G51" s="134"/>
      <c r="H51" s="134"/>
      <c r="I51" s="134"/>
      <c r="J51" s="134"/>
    </row>
    <row r="52" spans="2:10">
      <c r="B52" s="148">
        <f t="shared" si="0"/>
        <v>2.2733333333333325</v>
      </c>
      <c r="C52" s="146">
        <f t="shared" si="1"/>
        <v>8.9736070381231714E-2</v>
      </c>
      <c r="D52" s="134"/>
      <c r="E52" s="134"/>
      <c r="F52" s="134"/>
      <c r="G52" s="134"/>
      <c r="H52" s="134"/>
      <c r="I52" s="134"/>
      <c r="J52" s="134"/>
    </row>
    <row r="53" spans="2:10">
      <c r="B53" s="148">
        <f>0.13+B52</f>
        <v>2.4033333333333324</v>
      </c>
      <c r="C53" s="146">
        <f t="shared" si="1"/>
        <v>8.4882108183079091E-2</v>
      </c>
      <c r="D53" s="134"/>
      <c r="E53" s="134"/>
      <c r="F53" s="134"/>
      <c r="G53" s="134"/>
      <c r="H53" s="134"/>
      <c r="I53" s="134"/>
      <c r="J53" s="134"/>
    </row>
    <row r="54" spans="2:10">
      <c r="B54" s="148">
        <f t="shared" si="0"/>
        <v>2.5333333333333323</v>
      </c>
      <c r="C54" s="146">
        <f t="shared" si="1"/>
        <v>8.0526315789473724E-2</v>
      </c>
      <c r="D54" s="134"/>
      <c r="E54" s="134"/>
      <c r="F54" s="134"/>
      <c r="G54" s="134"/>
      <c r="H54" s="134"/>
      <c r="I54" s="134"/>
      <c r="J54" s="134"/>
    </row>
    <row r="55" spans="2:10">
      <c r="B55" s="148">
        <f t="shared" si="0"/>
        <v>2.6633333333333322</v>
      </c>
      <c r="C55" s="146">
        <f t="shared" si="1"/>
        <v>7.6595744680851105E-2</v>
      </c>
      <c r="D55" s="134"/>
      <c r="E55" s="134"/>
      <c r="F55" s="134"/>
      <c r="G55" s="134"/>
      <c r="H55" s="134"/>
      <c r="I55" s="134"/>
      <c r="J55" s="134"/>
    </row>
    <row r="56" spans="2:10">
      <c r="B56" s="148">
        <f t="shared" si="0"/>
        <v>2.7933333333333321</v>
      </c>
      <c r="C56" s="146">
        <f t="shared" si="1"/>
        <v>7.3031026252983328E-2</v>
      </c>
      <c r="D56" s="134"/>
      <c r="E56" s="134"/>
      <c r="F56" s="134"/>
      <c r="G56" s="134"/>
      <c r="H56" s="134"/>
      <c r="I56" s="134"/>
      <c r="J56" s="134"/>
    </row>
    <row r="57" spans="2:10">
      <c r="B57" s="148">
        <f t="shared" si="0"/>
        <v>2.923333333333332</v>
      </c>
      <c r="C57" s="146">
        <f t="shared" si="1"/>
        <v>6.9783352337514287E-2</v>
      </c>
      <c r="D57" s="134"/>
      <c r="E57" s="134"/>
      <c r="F57" s="134"/>
      <c r="G57" s="134"/>
      <c r="H57" s="134"/>
      <c r="I57" s="134"/>
      <c r="J57" s="134"/>
    </row>
    <row r="58" spans="2:10">
      <c r="B58" s="148">
        <f t="shared" si="0"/>
        <v>3.0533333333333319</v>
      </c>
      <c r="C58" s="146">
        <f t="shared" si="1"/>
        <v>6.6812227074235842E-2</v>
      </c>
      <c r="D58" s="134"/>
      <c r="E58" s="134"/>
      <c r="F58" s="134"/>
      <c r="G58" s="134"/>
      <c r="H58" s="134"/>
      <c r="I58" s="134"/>
      <c r="J58" s="134"/>
    </row>
    <row r="59" spans="2:10">
      <c r="B59" s="148">
        <f t="shared" si="0"/>
        <v>3.1833333333333318</v>
      </c>
      <c r="C59" s="146">
        <f t="shared" si="1"/>
        <v>6.4083769633507884E-2</v>
      </c>
      <c r="D59" s="134"/>
      <c r="E59" s="134"/>
      <c r="F59" s="134"/>
      <c r="G59" s="134"/>
      <c r="H59" s="134"/>
      <c r="I59" s="134"/>
      <c r="J59" s="134"/>
    </row>
    <row r="60" spans="2:10">
      <c r="B60" s="148">
        <f t="shared" si="0"/>
        <v>3.3133333333333317</v>
      </c>
      <c r="C60" s="146">
        <f t="shared" si="1"/>
        <v>6.1569416498994001E-2</v>
      </c>
      <c r="D60" s="134"/>
      <c r="E60" s="134"/>
      <c r="F60" s="134"/>
      <c r="G60" s="134"/>
      <c r="H60" s="134"/>
      <c r="I60" s="134"/>
      <c r="J60" s="134"/>
    </row>
    <row r="61" spans="2:10">
      <c r="B61" s="148">
        <f t="shared" si="0"/>
        <v>3.4433333333333316</v>
      </c>
      <c r="C61" s="146">
        <f t="shared" si="1"/>
        <v>5.9244917715392094E-2</v>
      </c>
      <c r="D61" s="134"/>
      <c r="E61" s="134"/>
      <c r="F61" s="134"/>
      <c r="G61" s="134"/>
      <c r="H61" s="134"/>
      <c r="I61" s="134"/>
      <c r="J61" s="134"/>
    </row>
    <row r="62" spans="2:10">
      <c r="B62" s="148">
        <f>2.4*C19</f>
        <v>4.08</v>
      </c>
      <c r="C62" s="149">
        <f>1.2*($C$10*$C$19*$C$24)/B62</f>
        <v>0.05</v>
      </c>
      <c r="D62" s="134"/>
      <c r="E62" s="134"/>
      <c r="F62" s="134"/>
      <c r="G62" s="134"/>
      <c r="H62" s="134"/>
      <c r="I62" s="134"/>
      <c r="J62" s="134"/>
    </row>
    <row r="63" spans="2:10">
      <c r="B63" s="148">
        <f>B62</f>
        <v>4.08</v>
      </c>
      <c r="C63" s="149">
        <f>1.2*($C$10*$C$19*$C$24*$B$62)/B63^2</f>
        <v>0.05</v>
      </c>
      <c r="D63" s="134"/>
      <c r="E63" s="134"/>
      <c r="F63" s="134"/>
      <c r="G63" s="134"/>
      <c r="H63" s="134"/>
      <c r="I63" s="134"/>
      <c r="J63" s="134"/>
    </row>
    <row r="64" spans="2:10">
      <c r="B64" s="148">
        <f>B63+0.1</f>
        <v>4.18</v>
      </c>
      <c r="C64" s="149">
        <f>1.2*($C$10*$C$19*$C$24*$B$62)/B64^2</f>
        <v>4.7636272063368526E-2</v>
      </c>
      <c r="D64" s="134"/>
      <c r="E64" s="134"/>
      <c r="F64" s="134"/>
      <c r="G64" s="134"/>
      <c r="H64" s="134"/>
      <c r="I64" s="134"/>
      <c r="J64" s="134"/>
    </row>
    <row r="65" spans="2:10">
      <c r="B65" s="148">
        <f t="shared" ref="B65:B75" si="2">B64+0.1</f>
        <v>4.2799999999999994</v>
      </c>
      <c r="C65" s="149">
        <f t="shared" ref="C65:C75" si="3">1.2*($C$10*$C$19*$C$24*$B$62)/B65^2</f>
        <v>4.5436282644772487E-2</v>
      </c>
      <c r="D65" s="134"/>
      <c r="E65" s="134"/>
      <c r="F65" s="134"/>
      <c r="G65" s="134"/>
      <c r="H65" s="134"/>
      <c r="I65" s="134"/>
      <c r="J65" s="134"/>
    </row>
    <row r="66" spans="2:10">
      <c r="B66" s="148">
        <f t="shared" si="2"/>
        <v>4.379999999999999</v>
      </c>
      <c r="C66" s="149">
        <f t="shared" si="3"/>
        <v>4.3385250516044305E-2</v>
      </c>
      <c r="D66" s="134"/>
      <c r="E66" s="134"/>
      <c r="F66" s="134"/>
      <c r="G66" s="134"/>
      <c r="H66" s="134"/>
      <c r="I66" s="134"/>
      <c r="J66" s="134"/>
    </row>
    <row r="67" spans="2:10">
      <c r="B67" s="148">
        <f t="shared" si="2"/>
        <v>4.4799999999999986</v>
      </c>
      <c r="C67" s="149">
        <f t="shared" si="3"/>
        <v>4.1470025510204109E-2</v>
      </c>
      <c r="D67" s="134"/>
      <c r="E67" s="134"/>
      <c r="F67" s="134"/>
      <c r="G67" s="134"/>
      <c r="H67" s="134"/>
      <c r="I67" s="134"/>
      <c r="J67" s="134"/>
    </row>
    <row r="68" spans="2:10">
      <c r="B68" s="148">
        <f t="shared" si="2"/>
        <v>4.5799999999999983</v>
      </c>
      <c r="C68" s="149">
        <f t="shared" si="3"/>
        <v>3.9678877214393352E-2</v>
      </c>
      <c r="D68" s="134"/>
      <c r="E68" s="134"/>
      <c r="F68" s="134"/>
      <c r="G68" s="134"/>
      <c r="H68" s="134"/>
      <c r="I68" s="134"/>
      <c r="J68" s="134"/>
    </row>
    <row r="69" spans="2:10">
      <c r="B69" s="148">
        <f t="shared" si="2"/>
        <v>4.6799999999999979</v>
      </c>
      <c r="C69" s="149">
        <f t="shared" si="3"/>
        <v>3.8001314924391884E-2</v>
      </c>
      <c r="D69" s="134"/>
      <c r="E69" s="134"/>
      <c r="F69" s="134"/>
      <c r="G69" s="134"/>
      <c r="H69" s="134"/>
      <c r="I69" s="134"/>
      <c r="J69" s="134"/>
    </row>
    <row r="70" spans="2:10">
      <c r="B70" s="148">
        <f t="shared" si="2"/>
        <v>4.7799999999999976</v>
      </c>
      <c r="C70" s="149">
        <f t="shared" si="3"/>
        <v>3.6427933684634414E-2</v>
      </c>
      <c r="D70" s="134"/>
      <c r="E70" s="134"/>
      <c r="F70" s="134"/>
      <c r="G70" s="134"/>
      <c r="H70" s="134"/>
      <c r="I70" s="134"/>
      <c r="J70" s="134"/>
    </row>
    <row r="71" spans="2:10">
      <c r="B71" s="148">
        <f t="shared" si="2"/>
        <v>4.8799999999999972</v>
      </c>
      <c r="C71" s="149">
        <f t="shared" si="3"/>
        <v>3.4950282182209122E-2</v>
      </c>
      <c r="D71" s="134"/>
      <c r="E71" s="134"/>
      <c r="F71" s="134"/>
      <c r="G71" s="134"/>
      <c r="H71" s="134"/>
      <c r="I71" s="134"/>
      <c r="J71" s="134"/>
    </row>
    <row r="72" spans="2:10">
      <c r="B72" s="148">
        <f t="shared" si="2"/>
        <v>4.9799999999999969</v>
      </c>
      <c r="C72" s="149">
        <f t="shared" si="3"/>
        <v>3.3560749020177139E-2</v>
      </c>
      <c r="D72" s="134"/>
      <c r="E72" s="134"/>
      <c r="F72" s="134"/>
      <c r="G72" s="134"/>
      <c r="H72" s="134"/>
      <c r="I72" s="134"/>
      <c r="J72" s="134"/>
    </row>
    <row r="73" spans="2:10">
      <c r="B73" s="148">
        <f t="shared" si="2"/>
        <v>5.0799999999999965</v>
      </c>
      <c r="C73" s="149">
        <f t="shared" si="3"/>
        <v>3.2252464504929058E-2</v>
      </c>
      <c r="D73" s="134"/>
      <c r="E73" s="134"/>
      <c r="F73" s="134"/>
      <c r="G73" s="134"/>
      <c r="H73" s="134"/>
      <c r="I73" s="134"/>
      <c r="J73" s="134"/>
    </row>
    <row r="74" spans="2:10">
      <c r="B74" s="148">
        <f t="shared" si="2"/>
        <v>5.1799999999999962</v>
      </c>
      <c r="C74" s="149">
        <f t="shared" si="3"/>
        <v>3.1019215575200178E-2</v>
      </c>
      <c r="D74" s="134"/>
      <c r="E74" s="134"/>
      <c r="F74" s="134"/>
      <c r="G74" s="134"/>
      <c r="H74" s="134"/>
      <c r="I74" s="134"/>
      <c r="J74" s="134"/>
    </row>
    <row r="75" spans="2:10">
      <c r="B75" s="148">
        <f t="shared" si="2"/>
        <v>5.2799999999999958</v>
      </c>
      <c r="C75" s="149">
        <f t="shared" si="3"/>
        <v>2.9855371900826495E-2</v>
      </c>
      <c r="D75" s="134"/>
      <c r="E75" s="134"/>
      <c r="F75" s="134"/>
      <c r="G75" s="134"/>
      <c r="H75" s="134"/>
      <c r="I75" s="134"/>
      <c r="J75" s="134"/>
    </row>
    <row r="76" spans="2:10">
      <c r="B76" s="148">
        <f>B75+0.1</f>
        <v>5.3799999999999955</v>
      </c>
      <c r="C76" s="149">
        <f>1.2*($C$10*$C$19*$C$24*$B$62)/B76^2</f>
        <v>2.8755821506059945E-2</v>
      </c>
      <c r="D76" s="134"/>
      <c r="E76" s="134"/>
      <c r="F76" s="134"/>
      <c r="G76" s="134"/>
      <c r="H76" s="134"/>
      <c r="I76" s="134"/>
      <c r="J76" s="13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67FC-8E49-4574-8F37-DDF0F2BF50EB}">
  <sheetPr>
    <tabColor theme="0"/>
  </sheetPr>
  <dimension ref="B1:K22"/>
  <sheetViews>
    <sheetView zoomScale="120" zoomScaleNormal="100" workbookViewId="0">
      <selection activeCell="C7" sqref="C7"/>
    </sheetView>
  </sheetViews>
  <sheetFormatPr defaultColWidth="11.42578125" defaultRowHeight="15"/>
  <sheetData>
    <row r="1" spans="2:11">
      <c r="B1" s="386" t="s">
        <v>250</v>
      </c>
      <c r="C1" s="387"/>
      <c r="I1" s="385" t="s">
        <v>251</v>
      </c>
      <c r="J1" s="385"/>
    </row>
    <row r="2" spans="2:11">
      <c r="B2" s="150" t="s">
        <v>43</v>
      </c>
      <c r="C2" s="150">
        <f>SUM(J2:J6)</f>
        <v>15.5</v>
      </c>
      <c r="I2" s="91">
        <v>1</v>
      </c>
      <c r="J2" s="91">
        <v>3.5</v>
      </c>
    </row>
    <row r="3" spans="2:11">
      <c r="B3" s="145" t="s">
        <v>252</v>
      </c>
      <c r="C3" s="145">
        <f>1.75-1.2*Espectro!C10*Espectro!C19</f>
        <v>1.546</v>
      </c>
      <c r="I3" s="91">
        <v>2</v>
      </c>
      <c r="J3" s="91">
        <v>3</v>
      </c>
    </row>
    <row r="4" spans="2:11">
      <c r="B4" s="145" t="s">
        <v>253</v>
      </c>
      <c r="C4" s="151">
        <v>4.7E-2</v>
      </c>
      <c r="I4" s="91">
        <v>3</v>
      </c>
      <c r="J4" s="91">
        <v>3</v>
      </c>
    </row>
    <row r="5" spans="2:11">
      <c r="B5" s="145" t="s">
        <v>254</v>
      </c>
      <c r="C5" s="151">
        <v>0.9</v>
      </c>
      <c r="I5" s="91">
        <v>4</v>
      </c>
      <c r="J5" s="91">
        <v>3</v>
      </c>
    </row>
    <row r="6" spans="2:11">
      <c r="B6" s="145" t="s">
        <v>255</v>
      </c>
      <c r="C6" s="153">
        <f>C4*C2^C5</f>
        <v>0.55385538969554005</v>
      </c>
      <c r="I6" s="91">
        <v>5</v>
      </c>
      <c r="J6" s="91">
        <v>3</v>
      </c>
    </row>
    <row r="7" spans="2:11">
      <c r="B7" s="290" t="s">
        <v>256</v>
      </c>
      <c r="C7" s="153">
        <f>C4*C2^C5</f>
        <v>0.55385538969554005</v>
      </c>
      <c r="I7" s="154" t="s">
        <v>257</v>
      </c>
      <c r="J7" s="91">
        <f>SUM(J2:J6)</f>
        <v>15.5</v>
      </c>
    </row>
    <row r="8" spans="2:11">
      <c r="B8" s="145" t="s">
        <v>258</v>
      </c>
      <c r="C8" s="145">
        <f>+C3*C7</f>
        <v>0.85626043246930494</v>
      </c>
    </row>
    <row r="9" spans="2:11">
      <c r="B9" s="145" t="s">
        <v>259</v>
      </c>
      <c r="C9" s="145">
        <f>C10*9.81</f>
        <v>3.6132897453613335</v>
      </c>
      <c r="I9" s="80" t="s">
        <v>260</v>
      </c>
      <c r="J9" s="80" t="s">
        <v>261</v>
      </c>
    </row>
    <row r="10" spans="2:11">
      <c r="B10" s="145" t="s">
        <v>262</v>
      </c>
      <c r="C10" s="145">
        <f>IF(C7&lt;=Espectro!B37,Espectro!C37,IF(C7&lt;Espectro!B61,1.2*Espectro!C10*Espectro!C19*Espectro!C24/C7,1.2*Espectro!C10*Espectro!C19*Espectro!B62/C7^2))</f>
        <v>0.36832719116833162</v>
      </c>
      <c r="I10" s="40">
        <v>16</v>
      </c>
      <c r="J10" s="40">
        <v>36.6</v>
      </c>
    </row>
    <row r="11" spans="2:11">
      <c r="B11" s="145" t="s">
        <v>263</v>
      </c>
      <c r="C11" s="146">
        <f>+C10*C13</f>
        <v>15128.721880759198</v>
      </c>
      <c r="I11" s="49" t="s">
        <v>264</v>
      </c>
      <c r="J11" s="49" t="s">
        <v>265</v>
      </c>
    </row>
    <row r="12" spans="2:11">
      <c r="B12" s="145" t="s">
        <v>266</v>
      </c>
      <c r="C12" s="145">
        <f>0.75+0.5*C7</f>
        <v>1.0269276948477701</v>
      </c>
      <c r="I12" s="40">
        <f>I10*0.05</f>
        <v>0.8</v>
      </c>
      <c r="J12" s="40">
        <f>J10*0.05</f>
        <v>1.83</v>
      </c>
    </row>
    <row r="13" spans="2:11">
      <c r="B13" s="145" t="s">
        <v>25</v>
      </c>
      <c r="C13" s="145">
        <f>D22</f>
        <v>41074.138004232009</v>
      </c>
    </row>
    <row r="14" spans="2:11" ht="15" customHeight="1" thickBot="1"/>
    <row r="15" spans="2:11" ht="15.75" thickBot="1">
      <c r="B15" s="388" t="s">
        <v>267</v>
      </c>
      <c r="C15" s="389"/>
      <c r="D15" s="389"/>
      <c r="E15" s="389"/>
      <c r="F15" s="389"/>
      <c r="G15" s="389"/>
      <c r="H15" s="389"/>
      <c r="I15" s="389"/>
      <c r="J15" s="389"/>
      <c r="K15" s="390"/>
    </row>
    <row r="16" spans="2:11" ht="15.75" thickBot="1">
      <c r="B16" s="123" t="s">
        <v>268</v>
      </c>
      <c r="C16" s="124" t="s">
        <v>269</v>
      </c>
      <c r="D16" s="124" t="s">
        <v>270</v>
      </c>
      <c r="E16" s="124" t="s">
        <v>271</v>
      </c>
      <c r="F16" s="124" t="s">
        <v>272</v>
      </c>
      <c r="G16" s="124" t="s">
        <v>273</v>
      </c>
      <c r="H16" s="124" t="s">
        <v>274</v>
      </c>
      <c r="I16" s="124" t="s">
        <v>275</v>
      </c>
      <c r="J16" s="124" t="s">
        <v>276</v>
      </c>
      <c r="K16" s="125" t="s">
        <v>277</v>
      </c>
    </row>
    <row r="17" spans="2:11">
      <c r="B17" s="275">
        <v>1</v>
      </c>
      <c r="C17" s="206">
        <f>J2</f>
        <v>3.5</v>
      </c>
      <c r="D17" s="206">
        <f>Pesos!J3</f>
        <v>7257.6932206320016</v>
      </c>
      <c r="E17" s="294">
        <f>D17*C17^$C$12</f>
        <v>26273.452732009133</v>
      </c>
      <c r="F17" s="206">
        <f>E17/$E$22</f>
        <v>6.5541034664920311E-2</v>
      </c>
      <c r="G17" s="205">
        <f>F17*$C$11</f>
        <v>991.55208522277701</v>
      </c>
      <c r="H17" s="295">
        <f>G17*$I$12</f>
        <v>793.24166817822163</v>
      </c>
      <c r="I17" s="295">
        <f>G17*$J$12</f>
        <v>1814.540315957682</v>
      </c>
      <c r="J17" s="135">
        <f>16/2</f>
        <v>8</v>
      </c>
      <c r="K17" s="296">
        <f>36.6/2</f>
        <v>18.3</v>
      </c>
    </row>
    <row r="18" spans="2:11">
      <c r="B18" s="276">
        <v>2</v>
      </c>
      <c r="C18" s="155">
        <f>J3+J2</f>
        <v>6.5</v>
      </c>
      <c r="D18" s="155">
        <f>Pesos!$J$4</f>
        <v>9604.289507200001</v>
      </c>
      <c r="E18" s="156">
        <f>D18*C18^$C$12</f>
        <v>65655.102275476223</v>
      </c>
      <c r="F18" s="155">
        <f>E18/$E$22</f>
        <v>0.16378141761792026</v>
      </c>
      <c r="G18" s="107">
        <f>F18*$C$11</f>
        <v>2477.80351637799</v>
      </c>
      <c r="H18" s="292">
        <f>G18*$I$12</f>
        <v>1982.2428131023921</v>
      </c>
      <c r="I18" s="292">
        <f>G18*$J$12</f>
        <v>4534.380434971722</v>
      </c>
      <c r="J18" s="1">
        <f>16/2</f>
        <v>8</v>
      </c>
      <c r="K18" s="293">
        <f>36.6/2</f>
        <v>18.3</v>
      </c>
    </row>
    <row r="19" spans="2:11">
      <c r="B19" s="276">
        <v>3</v>
      </c>
      <c r="C19" s="155">
        <f>J4+J3+J2</f>
        <v>9.5</v>
      </c>
      <c r="D19" s="155">
        <f>Pesos!$J$4</f>
        <v>9604.289507200001</v>
      </c>
      <c r="E19" s="156">
        <f>D19*C19^$C$12</f>
        <v>96943.052601407602</v>
      </c>
      <c r="F19" s="155">
        <f>E19/$E$22</f>
        <v>0.24183148046359482</v>
      </c>
      <c r="G19" s="107">
        <f>F19*$C$11</f>
        <v>3658.6012099459776</v>
      </c>
      <c r="H19" s="292">
        <f>G19*$I$12</f>
        <v>2926.8809679567821</v>
      </c>
      <c r="I19" s="292">
        <f>G19*$J$12</f>
        <v>6695.2402142011397</v>
      </c>
      <c r="J19" s="1">
        <f>16/2</f>
        <v>8</v>
      </c>
      <c r="K19" s="293">
        <f>36.6/2</f>
        <v>18.3</v>
      </c>
    </row>
    <row r="20" spans="2:11">
      <c r="B20" s="276">
        <v>4</v>
      </c>
      <c r="C20" s="155">
        <f>J5+J4+J3+J2</f>
        <v>12.5</v>
      </c>
      <c r="D20" s="155">
        <f>Pesos!$J$4</f>
        <v>9604.289507200001</v>
      </c>
      <c r="E20" s="156">
        <f>D20*C20^$C$12</f>
        <v>128502.77723878973</v>
      </c>
      <c r="F20" s="155">
        <f>E20/$E$22</f>
        <v>0.32055950405350486</v>
      </c>
      <c r="G20" s="107">
        <f>F20*$C$11</f>
        <v>4849.6555830595762</v>
      </c>
      <c r="H20" s="292">
        <f>G20*$I$12</f>
        <v>3879.7244664476611</v>
      </c>
      <c r="I20" s="292">
        <f>G20*$J$12</f>
        <v>8874.8697169990246</v>
      </c>
      <c r="J20" s="1">
        <f>16/2</f>
        <v>8</v>
      </c>
      <c r="K20" s="293">
        <f>36.6/2</f>
        <v>18.3</v>
      </c>
    </row>
    <row r="21" spans="2:11">
      <c r="B21" s="276">
        <v>5</v>
      </c>
      <c r="C21" s="155">
        <f>J6+J5+J4+J3+J2</f>
        <v>15.5</v>
      </c>
      <c r="D21" s="155">
        <f>Pesos!J5</f>
        <v>5003.5762620000005</v>
      </c>
      <c r="E21" s="156">
        <f>D21*C21^$C$12</f>
        <v>83495.892320394123</v>
      </c>
      <c r="F21" s="155">
        <f>E21/$E$22</f>
        <v>0.20828656320005984</v>
      </c>
      <c r="G21" s="107">
        <f>F21*$C$11</f>
        <v>3151.1094861528786</v>
      </c>
      <c r="H21" s="292">
        <f>G21*$I$12</f>
        <v>2520.8875889223032</v>
      </c>
      <c r="I21" s="292">
        <f>G21*$J$12</f>
        <v>5766.5303596597678</v>
      </c>
      <c r="J21" s="1">
        <f>16/2</f>
        <v>8</v>
      </c>
      <c r="K21" s="293">
        <f>36.6/2</f>
        <v>18.3</v>
      </c>
    </row>
    <row r="22" spans="2:11" ht="15.75" thickBot="1">
      <c r="B22" s="277" t="s">
        <v>278</v>
      </c>
      <c r="C22" s="278">
        <f>J7</f>
        <v>15.5</v>
      </c>
      <c r="D22" s="278">
        <f t="shared" ref="D22:I22" si="0">SUM(D17:D21)</f>
        <v>41074.138004232009</v>
      </c>
      <c r="E22" s="291">
        <f t="shared" si="0"/>
        <v>400870.27716807678</v>
      </c>
      <c r="F22" s="278">
        <f t="shared" si="0"/>
        <v>1</v>
      </c>
      <c r="G22" s="278">
        <f t="shared" si="0"/>
        <v>15128.721880759198</v>
      </c>
      <c r="H22" s="278">
        <f t="shared" si="0"/>
        <v>12102.977504607361</v>
      </c>
      <c r="I22" s="278">
        <f t="shared" si="0"/>
        <v>27685.561041789333</v>
      </c>
      <c r="J22" s="278"/>
      <c r="K22" s="279"/>
    </row>
  </sheetData>
  <mergeCells count="3">
    <mergeCell ref="I1:J1"/>
    <mergeCell ref="B1:C1"/>
    <mergeCell ref="B15:K1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4BCF-D187-47C2-A584-8C9D8878ED44}">
  <sheetPr>
    <tabColor theme="0"/>
  </sheetPr>
  <dimension ref="B1:K22"/>
  <sheetViews>
    <sheetView zoomScale="101" zoomScaleNormal="100" workbookViewId="0">
      <selection activeCell="C7" sqref="C7"/>
    </sheetView>
  </sheetViews>
  <sheetFormatPr defaultColWidth="11.42578125" defaultRowHeight="15"/>
  <sheetData>
    <row r="1" spans="2:11">
      <c r="B1" s="386" t="s">
        <v>250</v>
      </c>
      <c r="C1" s="387"/>
      <c r="I1" s="385" t="s">
        <v>251</v>
      </c>
      <c r="J1" s="385"/>
    </row>
    <row r="2" spans="2:11">
      <c r="B2" s="150" t="s">
        <v>43</v>
      </c>
      <c r="C2" s="150">
        <f>SUM(J2:J6)</f>
        <v>15.5</v>
      </c>
      <c r="I2" s="91">
        <v>1</v>
      </c>
      <c r="J2" s="91">
        <v>3.5</v>
      </c>
    </row>
    <row r="3" spans="2:11">
      <c r="B3" s="145" t="s">
        <v>252</v>
      </c>
      <c r="C3" s="145">
        <f>1.75-1.2*Espectro!C10*Espectro!C19</f>
        <v>1.546</v>
      </c>
      <c r="I3" s="91">
        <v>2</v>
      </c>
      <c r="J3" s="91">
        <v>3</v>
      </c>
    </row>
    <row r="4" spans="2:11">
      <c r="B4" s="145" t="s">
        <v>253</v>
      </c>
      <c r="C4" s="151">
        <v>4.7E-2</v>
      </c>
      <c r="I4" s="91">
        <v>3</v>
      </c>
      <c r="J4" s="91">
        <v>3</v>
      </c>
    </row>
    <row r="5" spans="2:11">
      <c r="B5" s="145" t="s">
        <v>254</v>
      </c>
      <c r="C5" s="151">
        <v>0.9</v>
      </c>
      <c r="I5" s="91">
        <v>4</v>
      </c>
      <c r="J5" s="91">
        <v>3</v>
      </c>
    </row>
    <row r="6" spans="2:11">
      <c r="B6" s="145" t="s">
        <v>255</v>
      </c>
      <c r="C6" s="153">
        <f>C4*C2^C5</f>
        <v>0.55385538969554005</v>
      </c>
      <c r="I6" s="91">
        <v>5</v>
      </c>
      <c r="J6" s="91">
        <v>3</v>
      </c>
    </row>
    <row r="7" spans="2:11">
      <c r="B7" s="290" t="s">
        <v>256</v>
      </c>
      <c r="C7" s="153">
        <v>0.40590999999999999</v>
      </c>
      <c r="I7" s="154" t="s">
        <v>257</v>
      </c>
      <c r="J7" s="91">
        <f>SUM(J2:J6)</f>
        <v>15.5</v>
      </c>
    </row>
    <row r="8" spans="2:11">
      <c r="B8" s="145" t="s">
        <v>258</v>
      </c>
      <c r="C8" s="145">
        <f>+C3*C7</f>
        <v>0.62753685999999997</v>
      </c>
    </row>
    <row r="9" spans="2:11">
      <c r="B9" s="145" t="s">
        <v>259</v>
      </c>
      <c r="C9" s="145">
        <f>C10*9.81</f>
        <v>4.4144999999999994</v>
      </c>
      <c r="I9" s="80" t="s">
        <v>260</v>
      </c>
      <c r="J9" s="80" t="s">
        <v>261</v>
      </c>
    </row>
    <row r="10" spans="2:11">
      <c r="B10" s="145" t="s">
        <v>262</v>
      </c>
      <c r="C10" s="145">
        <f>IF(C7&lt;=Espectro!B37,Espectro!C37,IF(C7&lt;Espectro!B61,1.2*Espectro!C10*Espectro!C19*Espectro!C24/C7,1.2*Espectro!C10*Espectro!C19*Espectro!B62/C7^2))</f>
        <v>0.44999999999999996</v>
      </c>
      <c r="I10" s="40">
        <v>16</v>
      </c>
      <c r="J10" s="40">
        <v>36.6</v>
      </c>
    </row>
    <row r="11" spans="2:11">
      <c r="B11" s="145" t="s">
        <v>263</v>
      </c>
      <c r="C11" s="146">
        <f>+C10*C13</f>
        <v>18483.3621019044</v>
      </c>
      <c r="I11" s="49" t="s">
        <v>264</v>
      </c>
      <c r="J11" s="49" t="s">
        <v>265</v>
      </c>
    </row>
    <row r="12" spans="2:11">
      <c r="B12" s="145" t="s">
        <v>266</v>
      </c>
      <c r="C12" s="145">
        <f>0.75+0.5*C7</f>
        <v>0.952955</v>
      </c>
      <c r="I12" s="40">
        <f>I10*0.05</f>
        <v>0.8</v>
      </c>
      <c r="J12" s="40">
        <f>J10*0.05</f>
        <v>1.83</v>
      </c>
    </row>
    <row r="13" spans="2:11">
      <c r="B13" s="145" t="s">
        <v>25</v>
      </c>
      <c r="C13" s="145">
        <f>D22</f>
        <v>41074.138004232009</v>
      </c>
    </row>
    <row r="14" spans="2:11" ht="15" customHeight="1" thickBot="1"/>
    <row r="15" spans="2:11" ht="15.75" thickBot="1">
      <c r="B15" s="388" t="s">
        <v>267</v>
      </c>
      <c r="C15" s="389"/>
      <c r="D15" s="389"/>
      <c r="E15" s="389"/>
      <c r="F15" s="389"/>
      <c r="G15" s="389"/>
      <c r="H15" s="389"/>
      <c r="I15" s="389"/>
      <c r="J15" s="389"/>
      <c r="K15" s="390"/>
    </row>
    <row r="16" spans="2:11" ht="15.75" thickBot="1">
      <c r="B16" s="123" t="s">
        <v>268</v>
      </c>
      <c r="C16" s="124" t="s">
        <v>269</v>
      </c>
      <c r="D16" s="124" t="s">
        <v>270</v>
      </c>
      <c r="E16" s="124" t="s">
        <v>271</v>
      </c>
      <c r="F16" s="124" t="s">
        <v>272</v>
      </c>
      <c r="G16" s="124" t="s">
        <v>273</v>
      </c>
      <c r="H16" s="124" t="s">
        <v>274</v>
      </c>
      <c r="I16" s="124" t="s">
        <v>275</v>
      </c>
      <c r="J16" s="124" t="s">
        <v>276</v>
      </c>
      <c r="K16" s="125" t="s">
        <v>277</v>
      </c>
    </row>
    <row r="17" spans="2:11">
      <c r="B17" s="275">
        <v>1</v>
      </c>
      <c r="C17" s="206">
        <f>J2</f>
        <v>3.5</v>
      </c>
      <c r="D17" s="206">
        <f>Pesos!J3</f>
        <v>7257.6932206320016</v>
      </c>
      <c r="E17" s="294">
        <f>D17*C17^$C$12</f>
        <v>23948.09487549838</v>
      </c>
      <c r="F17" s="206">
        <f>E17/$E$22</f>
        <v>7.0860389981565144E-2</v>
      </c>
      <c r="G17" s="205">
        <f>F17*$C$11</f>
        <v>1309.7382467114273</v>
      </c>
      <c r="H17" s="295">
        <f>G17*$I$12</f>
        <v>1047.790597369142</v>
      </c>
      <c r="I17" s="295">
        <f>G17*$J$12</f>
        <v>2396.8209914819122</v>
      </c>
      <c r="J17" s="135">
        <f>16/2</f>
        <v>8</v>
      </c>
      <c r="K17" s="296">
        <f>36.6/2</f>
        <v>18.3</v>
      </c>
    </row>
    <row r="18" spans="2:11">
      <c r="B18" s="276">
        <v>2</v>
      </c>
      <c r="C18" s="155">
        <f>J3+J2</f>
        <v>6.5</v>
      </c>
      <c r="D18" s="155">
        <f>Pesos!$J$4</f>
        <v>9604.289507200001</v>
      </c>
      <c r="E18" s="156">
        <f>D18*C18^$C$12</f>
        <v>57165.642700550728</v>
      </c>
      <c r="F18" s="155">
        <f>E18/$E$22</f>
        <v>0.1691483083045677</v>
      </c>
      <c r="G18" s="107">
        <f>F18*$C$11</f>
        <v>3126.429431317888</v>
      </c>
      <c r="H18" s="292">
        <f>G18*$I$12</f>
        <v>2501.1435450543104</v>
      </c>
      <c r="I18" s="292">
        <f>G18*$J$12</f>
        <v>5721.3658593117352</v>
      </c>
      <c r="J18" s="1">
        <f>16/2</f>
        <v>8</v>
      </c>
      <c r="K18" s="293">
        <f>36.6/2</f>
        <v>18.3</v>
      </c>
    </row>
    <row r="19" spans="2:11">
      <c r="B19" s="276">
        <v>3</v>
      </c>
      <c r="C19" s="155">
        <f>J4+J3+J2</f>
        <v>9.5</v>
      </c>
      <c r="D19" s="155">
        <f>Pesos!$J$4</f>
        <v>9604.289507200001</v>
      </c>
      <c r="E19" s="156">
        <f>D19*C19^$C$12</f>
        <v>82071.399850704998</v>
      </c>
      <c r="F19" s="155">
        <f>E19/$E$22</f>
        <v>0.24284234006872735</v>
      </c>
      <c r="G19" s="107">
        <f>F19*$C$11</f>
        <v>4488.5429051640958</v>
      </c>
      <c r="H19" s="292">
        <f>G19*$I$12</f>
        <v>3590.8343241312768</v>
      </c>
      <c r="I19" s="292">
        <f>G19*$J$12</f>
        <v>8214.0335164502958</v>
      </c>
      <c r="J19" s="1">
        <f>16/2</f>
        <v>8</v>
      </c>
      <c r="K19" s="293">
        <f>36.6/2</f>
        <v>18.3</v>
      </c>
    </row>
    <row r="20" spans="2:11">
      <c r="B20" s="276">
        <v>4</v>
      </c>
      <c r="C20" s="155">
        <f>J5+J4+J3+J2</f>
        <v>12.5</v>
      </c>
      <c r="D20" s="155">
        <f>Pesos!$J$4</f>
        <v>9604.289507200001</v>
      </c>
      <c r="E20" s="156">
        <f>D20*C20^$C$12</f>
        <v>106603.41667531207</v>
      </c>
      <c r="F20" s="155">
        <f>E20/$E$22</f>
        <v>0.3154305057772448</v>
      </c>
      <c r="G20" s="107">
        <f>F20*$C$11</f>
        <v>5830.2162562676631</v>
      </c>
      <c r="H20" s="292">
        <f>G20*$I$12</f>
        <v>4664.1730050141305</v>
      </c>
      <c r="I20" s="292">
        <f>G20*$J$12</f>
        <v>10669.295748969824</v>
      </c>
      <c r="J20" s="1">
        <f>16/2</f>
        <v>8</v>
      </c>
      <c r="K20" s="293">
        <f>36.6/2</f>
        <v>18.3</v>
      </c>
    </row>
    <row r="21" spans="2:11">
      <c r="B21" s="276">
        <v>5</v>
      </c>
      <c r="C21" s="155">
        <f>J6+J5+J4+J3+J2</f>
        <v>15.5</v>
      </c>
      <c r="D21" s="155">
        <f>Pesos!J5</f>
        <v>5003.5762620000005</v>
      </c>
      <c r="E21" s="156">
        <f>D21*C21^$C$12</f>
        <v>68173.103768129702</v>
      </c>
      <c r="F21" s="155">
        <f>E21/$E$22</f>
        <v>0.20171845586789489</v>
      </c>
      <c r="G21" s="107">
        <f>F21*$C$11</f>
        <v>3728.4352624433236</v>
      </c>
      <c r="H21" s="292">
        <f>G21*$I$12</f>
        <v>2982.7482099546592</v>
      </c>
      <c r="I21" s="292">
        <f>G21*$J$12</f>
        <v>6823.0365302712826</v>
      </c>
      <c r="J21" s="1">
        <f>16/2</f>
        <v>8</v>
      </c>
      <c r="K21" s="293">
        <f>36.6/2</f>
        <v>18.3</v>
      </c>
    </row>
    <row r="22" spans="2:11" ht="15.75" thickBot="1">
      <c r="B22" s="277" t="s">
        <v>278</v>
      </c>
      <c r="C22" s="278">
        <f>J7</f>
        <v>15.5</v>
      </c>
      <c r="D22" s="278">
        <f t="shared" ref="D22:I22" si="0">SUM(D17:D21)</f>
        <v>41074.138004232009</v>
      </c>
      <c r="E22" s="291">
        <f t="shared" si="0"/>
        <v>337961.65787019592</v>
      </c>
      <c r="F22" s="278">
        <f t="shared" si="0"/>
        <v>0.99999999999999978</v>
      </c>
      <c r="G22" s="278">
        <f t="shared" si="0"/>
        <v>18483.362101904397</v>
      </c>
      <c r="H22" s="278">
        <f t="shared" si="0"/>
        <v>14786.68968152352</v>
      </c>
      <c r="I22" s="278">
        <f t="shared" si="0"/>
        <v>33824.552646485048</v>
      </c>
      <c r="J22" s="278"/>
      <c r="K22" s="279"/>
    </row>
  </sheetData>
  <mergeCells count="3">
    <mergeCell ref="B1:C1"/>
    <mergeCell ref="I1:J1"/>
    <mergeCell ref="B15:K1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8D7A-20CB-432A-B764-0CD9717FA620}">
  <dimension ref="A1:X67"/>
  <sheetViews>
    <sheetView zoomScale="85" workbookViewId="0">
      <pane ySplit="3" topLeftCell="A37" activePane="bottomLeft" state="frozen"/>
      <selection pane="bottomLeft" activeCell="A45" sqref="A45:A46"/>
    </sheetView>
  </sheetViews>
  <sheetFormatPr defaultColWidth="11.42578125" defaultRowHeight="15"/>
  <cols>
    <col min="1" max="1" width="27.5703125" style="218" bestFit="1" customWidth="1"/>
    <col min="2" max="2" width="14" style="218" customWidth="1"/>
    <col min="3" max="3" width="11.28515625" style="218" bestFit="1" customWidth="1"/>
    <col min="4" max="7" width="13.5703125" bestFit="1" customWidth="1"/>
    <col min="8" max="8" width="13.7109375" customWidth="1"/>
    <col min="9" max="9" width="13.5703125" customWidth="1"/>
    <col min="12" max="12" width="12.85546875" customWidth="1"/>
    <col min="13" max="16" width="11.5703125" bestFit="1" customWidth="1"/>
    <col min="17" max="17" width="6.7109375" customWidth="1"/>
    <col min="18" max="18" width="3.5703125" customWidth="1"/>
    <col min="20" max="23" width="11.5703125" bestFit="1" customWidth="1"/>
  </cols>
  <sheetData>
    <row r="1" spans="1:24">
      <c r="A1" s="391" t="s">
        <v>279</v>
      </c>
      <c r="B1" s="392"/>
      <c r="C1" s="392"/>
      <c r="D1" s="392"/>
      <c r="E1" s="392"/>
      <c r="F1" s="392"/>
      <c r="G1" s="393"/>
    </row>
    <row r="2" spans="1:24">
      <c r="A2" s="230" t="s">
        <v>280</v>
      </c>
      <c r="B2" s="230" t="s">
        <v>281</v>
      </c>
      <c r="C2" s="230" t="s">
        <v>282</v>
      </c>
      <c r="D2" s="231" t="s">
        <v>283</v>
      </c>
      <c r="E2" s="231" t="s">
        <v>284</v>
      </c>
      <c r="F2" s="230" t="s">
        <v>285</v>
      </c>
      <c r="G2" s="230" t="s">
        <v>286</v>
      </c>
    </row>
    <row r="3" spans="1:24" ht="15.75" thickBot="1">
      <c r="A3" s="232" t="s">
        <v>287</v>
      </c>
      <c r="B3" s="232" t="s">
        <v>287</v>
      </c>
      <c r="C3" s="232" t="s">
        <v>287</v>
      </c>
      <c r="D3" s="233" t="s">
        <v>25</v>
      </c>
      <c r="E3" s="233" t="s">
        <v>25</v>
      </c>
      <c r="F3" s="232"/>
      <c r="G3" s="232"/>
      <c r="H3" s="227" t="s">
        <v>288</v>
      </c>
      <c r="I3" s="214" t="s">
        <v>289</v>
      </c>
    </row>
    <row r="4" spans="1:24">
      <c r="A4" s="234" t="s">
        <v>290</v>
      </c>
      <c r="B4" s="234" t="s">
        <v>291</v>
      </c>
      <c r="C4" s="234" t="s">
        <v>292</v>
      </c>
      <c r="D4" s="91">
        <v>2.0357E-2</v>
      </c>
      <c r="E4" s="91">
        <v>-1.8699999999999999E-4</v>
      </c>
      <c r="F4" s="91">
        <f>D4</f>
        <v>2.0357E-2</v>
      </c>
      <c r="G4" s="91">
        <f>E4</f>
        <v>-1.8699999999999999E-4</v>
      </c>
      <c r="H4" s="228">
        <f t="shared" ref="H4:I7" si="0">ABS(F4)+ABS(F19)</f>
        <v>2.2110000000000001E-2</v>
      </c>
      <c r="I4" s="215">
        <f t="shared" si="0"/>
        <v>9.3800000000000003E-4</v>
      </c>
    </row>
    <row r="5" spans="1:24">
      <c r="A5" s="234" t="s">
        <v>293</v>
      </c>
      <c r="B5" s="234" t="s">
        <v>291</v>
      </c>
      <c r="C5" s="234" t="s">
        <v>292</v>
      </c>
      <c r="D5" s="91">
        <v>4.6850000000000003E-2</v>
      </c>
      <c r="E5" s="91">
        <v>-4.1599999999999997E-4</v>
      </c>
      <c r="F5" s="91">
        <f>D5-D4</f>
        <v>2.6493000000000003E-2</v>
      </c>
      <c r="G5" s="91">
        <f>E5-E4</f>
        <v>-2.2899999999999998E-4</v>
      </c>
      <c r="H5">
        <f t="shared" si="0"/>
        <v>2.8631000000000004E-2</v>
      </c>
      <c r="I5" s="216">
        <f t="shared" si="0"/>
        <v>1.1439999999999998E-3</v>
      </c>
      <c r="L5" s="91" t="s">
        <v>294</v>
      </c>
      <c r="M5" s="91" t="s">
        <v>285</v>
      </c>
      <c r="N5" s="91" t="s">
        <v>286</v>
      </c>
      <c r="O5" s="91" t="s">
        <v>295</v>
      </c>
      <c r="P5" s="91" t="s">
        <v>296</v>
      </c>
      <c r="Q5" s="91"/>
      <c r="R5" s="91"/>
      <c r="S5" s="91" t="s">
        <v>297</v>
      </c>
      <c r="T5" s="91" t="s">
        <v>285</v>
      </c>
      <c r="U5" s="91" t="s">
        <v>286</v>
      </c>
      <c r="V5" s="91" t="s">
        <v>295</v>
      </c>
      <c r="W5" s="91" t="s">
        <v>296</v>
      </c>
      <c r="X5" s="91"/>
    </row>
    <row r="6" spans="1:24">
      <c r="A6" s="234" t="s">
        <v>298</v>
      </c>
      <c r="B6" s="234" t="s">
        <v>291</v>
      </c>
      <c r="C6" s="234" t="s">
        <v>292</v>
      </c>
      <c r="D6" s="91">
        <v>7.0888999999999994E-2</v>
      </c>
      <c r="E6" s="91">
        <v>-6.1799999999999995E-4</v>
      </c>
      <c r="F6" s="91">
        <f t="shared" ref="F6:G8" si="1">D6-D5</f>
        <v>2.4038999999999991E-2</v>
      </c>
      <c r="G6" s="91">
        <f t="shared" si="1"/>
        <v>-2.0199999999999998E-4</v>
      </c>
      <c r="H6">
        <f t="shared" si="0"/>
        <v>2.5926999999999992E-2</v>
      </c>
      <c r="I6" s="216">
        <f t="shared" si="0"/>
        <v>1.01E-3</v>
      </c>
      <c r="J6" t="s">
        <v>299</v>
      </c>
      <c r="L6" s="91" t="s">
        <v>300</v>
      </c>
      <c r="M6" s="225">
        <f t="shared" ref="M6:N10" si="2">F14+H4</f>
        <v>2.2110260500000003E-2</v>
      </c>
      <c r="N6" s="225">
        <f t="shared" si="2"/>
        <v>9.3855780000000008E-4</v>
      </c>
      <c r="O6" s="225">
        <f>SQRT(SUMSQ(M6:N6))</f>
        <v>2.2130171940628957E-2</v>
      </c>
      <c r="P6" s="91">
        <f>1/100*3</f>
        <v>0.03</v>
      </c>
      <c r="Q6" s="91" t="str">
        <f>IF(O6&gt;P6,"X","Ok")</f>
        <v>Ok</v>
      </c>
      <c r="R6" s="91"/>
      <c r="S6" s="91" t="s">
        <v>300</v>
      </c>
      <c r="T6" s="225">
        <f>+F14+H9</f>
        <v>4.5582604999999995E-3</v>
      </c>
      <c r="U6" s="225">
        <f>+G14+I9</f>
        <v>1.9662557799999997E-2</v>
      </c>
      <c r="V6" s="225">
        <f>SQRT(SUMSQ(T6:U6))</f>
        <v>2.0184001536469449E-2</v>
      </c>
      <c r="W6" s="91">
        <f>1/100*3</f>
        <v>0.03</v>
      </c>
      <c r="X6" s="91" t="str">
        <f>IF(V6&gt;W6,"X","Ok")</f>
        <v>Ok</v>
      </c>
    </row>
    <row r="7" spans="1:24" ht="15.75" thickBot="1">
      <c r="A7" s="234" t="s">
        <v>301</v>
      </c>
      <c r="B7" s="234" t="s">
        <v>291</v>
      </c>
      <c r="C7" s="234" t="s">
        <v>292</v>
      </c>
      <c r="D7" s="91">
        <v>8.8551000000000005E-2</v>
      </c>
      <c r="E7" s="91">
        <v>-7.6300000000000001E-4</v>
      </c>
      <c r="F7" s="91">
        <f t="shared" si="1"/>
        <v>1.7662000000000011E-2</v>
      </c>
      <c r="G7" s="91">
        <f t="shared" si="1"/>
        <v>-1.4500000000000006E-4</v>
      </c>
      <c r="H7" s="229">
        <f t="shared" si="0"/>
        <v>1.9015000000000011E-2</v>
      </c>
      <c r="I7" s="217">
        <f t="shared" si="0"/>
        <v>7.2499999999999984E-4</v>
      </c>
      <c r="L7" s="91" t="s">
        <v>302</v>
      </c>
      <c r="M7" s="225">
        <f t="shared" si="2"/>
        <v>2.8631199200000002E-2</v>
      </c>
      <c r="N7" s="225">
        <f t="shared" si="2"/>
        <v>1.1472551999999999E-3</v>
      </c>
      <c r="O7" s="225">
        <f t="shared" ref="O7" si="3">SQRT(SUMSQ(M7:N7))</f>
        <v>2.8654175300015315E-2</v>
      </c>
      <c r="P7" s="91">
        <f t="shared" ref="P7:P10" si="4">1/100*3</f>
        <v>0.03</v>
      </c>
      <c r="Q7" s="91" t="str">
        <f t="shared" ref="Q7" si="5">IF(O7&gt;P7,"X","Ok")</f>
        <v>Ok</v>
      </c>
      <c r="R7" s="91"/>
      <c r="S7" s="91" t="s">
        <v>302</v>
      </c>
      <c r="T7" s="225">
        <f>+F15+H10</f>
        <v>5.5591992E-3</v>
      </c>
      <c r="U7" s="225">
        <f t="shared" ref="U7" si="6">+G15+I10</f>
        <v>2.2045255200000006E-2</v>
      </c>
      <c r="V7" s="225">
        <f t="shared" ref="V7" si="7">SQRT(SUMSQ(T7:U7))</f>
        <v>2.2735390310667816E-2</v>
      </c>
      <c r="W7" s="91">
        <f t="shared" ref="W7:W10" si="8">1/100*3</f>
        <v>0.03</v>
      </c>
      <c r="X7" s="91" t="str">
        <f t="shared" ref="X7" si="9">IF(V7&gt;W7,"X","Ok")</f>
        <v>Ok</v>
      </c>
    </row>
    <row r="8" spans="1:24" ht="15.75" thickBot="1">
      <c r="A8" s="234" t="s">
        <v>303</v>
      </c>
      <c r="B8" s="234" t="s">
        <v>291</v>
      </c>
      <c r="C8" s="234" t="s">
        <v>292</v>
      </c>
      <c r="D8" s="91">
        <v>9.8841999999999999E-2</v>
      </c>
      <c r="E8" s="91">
        <v>-8.43E-4</v>
      </c>
      <c r="F8" s="91">
        <f t="shared" si="1"/>
        <v>1.0290999999999995E-2</v>
      </c>
      <c r="G8" s="91">
        <f t="shared" si="1"/>
        <v>-7.9999999999999993E-5</v>
      </c>
      <c r="H8" s="229">
        <f>ABS(F8)+ABS(F24)</f>
        <v>1.4300999999999994E-2</v>
      </c>
      <c r="I8" s="217">
        <f>ABS(G8)+ABS(G24)</f>
        <v>1.797E-3</v>
      </c>
      <c r="L8" s="91" t="s">
        <v>304</v>
      </c>
      <c r="M8" s="225">
        <f t="shared" si="2"/>
        <v>2.5927276299999993E-2</v>
      </c>
      <c r="N8" s="225">
        <f t="shared" si="2"/>
        <v>1.0137200000000001E-3</v>
      </c>
      <c r="O8" s="225">
        <f>SQRT(SUMSQ(M8:N8))</f>
        <v>2.5947086244411749E-2</v>
      </c>
      <c r="P8" s="91">
        <f t="shared" si="4"/>
        <v>0.03</v>
      </c>
      <c r="Q8" s="91" t="str">
        <f>IF(O8&gt;P8,"X","Ok")</f>
        <v>Ok</v>
      </c>
      <c r="R8" s="91"/>
      <c r="S8" s="91" t="s">
        <v>304</v>
      </c>
      <c r="T8" s="225">
        <f>+F16+H11</f>
        <v>4.908276300000001E-3</v>
      </c>
      <c r="U8" s="225">
        <f>+G16+I11</f>
        <v>1.9133719999999996E-2</v>
      </c>
      <c r="V8" s="225">
        <f>SQRT(SUMSQ(T8:U8))</f>
        <v>1.9753238146580969E-2</v>
      </c>
      <c r="W8" s="91">
        <f t="shared" si="8"/>
        <v>0.03</v>
      </c>
      <c r="X8" s="91" t="str">
        <f>IF(V8&gt;W8,"X","Ok")</f>
        <v>Ok</v>
      </c>
    </row>
    <row r="9" spans="1:24">
      <c r="A9" s="234" t="s">
        <v>290</v>
      </c>
      <c r="B9" s="234" t="s">
        <v>305</v>
      </c>
      <c r="C9" s="234" t="s">
        <v>292</v>
      </c>
      <c r="D9" s="91">
        <v>-5.4799999999999998E-4</v>
      </c>
      <c r="E9" s="91">
        <v>1.7944999999999999E-2</v>
      </c>
      <c r="F9" s="91">
        <f>D9</f>
        <v>-5.4799999999999998E-4</v>
      </c>
      <c r="G9" s="91">
        <f>E9</f>
        <v>1.7944999999999999E-2</v>
      </c>
      <c r="H9" s="228">
        <f t="shared" ref="H9:I13" si="10">ABS(F9)+ABS(F24)</f>
        <v>4.5579999999999996E-3</v>
      </c>
      <c r="I9" s="215">
        <f t="shared" si="10"/>
        <v>1.9661999999999999E-2</v>
      </c>
      <c r="L9" s="91" t="s">
        <v>306</v>
      </c>
      <c r="M9" s="225">
        <f t="shared" si="2"/>
        <v>1.9015581000000011E-2</v>
      </c>
      <c r="N9" s="225">
        <f t="shared" si="2"/>
        <v>7.270629999999998E-4</v>
      </c>
      <c r="O9" s="225">
        <f>SQRT(SUMSQ(M9:N9))</f>
        <v>1.90294755937606E-2</v>
      </c>
      <c r="P9" s="91">
        <f t="shared" si="4"/>
        <v>0.03</v>
      </c>
      <c r="Q9" s="91" t="str">
        <f>IF(O9&gt;P9,"X","Ok")</f>
        <v>Ok</v>
      </c>
      <c r="R9" s="91"/>
      <c r="S9" s="91" t="s">
        <v>306</v>
      </c>
      <c r="T9" s="225">
        <f>+F17+H12</f>
        <v>3.5185809999999985E-3</v>
      </c>
      <c r="U9" s="225">
        <f>+G17+I12</f>
        <v>1.3644062999999994E-2</v>
      </c>
      <c r="V9" s="225">
        <f>SQRT(SUMSQ(T9:U9))</f>
        <v>1.4090453058774577E-2</v>
      </c>
      <c r="W9" s="91">
        <f t="shared" si="8"/>
        <v>0.03</v>
      </c>
      <c r="X9" s="91" t="str">
        <f>IF(V9&gt;W9,"X","Ok")</f>
        <v>Ok</v>
      </c>
    </row>
    <row r="10" spans="1:24">
      <c r="A10" s="234" t="s">
        <v>293</v>
      </c>
      <c r="B10" s="234" t="s">
        <v>305</v>
      </c>
      <c r="C10" s="234" t="s">
        <v>292</v>
      </c>
      <c r="D10" s="91">
        <v>-1.2160000000000001E-3</v>
      </c>
      <c r="E10" s="91">
        <v>3.7893000000000003E-2</v>
      </c>
      <c r="F10" s="91">
        <f>D10-D9</f>
        <v>-6.6800000000000008E-4</v>
      </c>
      <c r="G10" s="91">
        <f>E10-E9</f>
        <v>1.9948000000000004E-2</v>
      </c>
      <c r="H10">
        <f t="shared" si="10"/>
        <v>5.5589999999999997E-3</v>
      </c>
      <c r="I10" s="216">
        <f t="shared" si="10"/>
        <v>2.2042000000000006E-2</v>
      </c>
      <c r="J10" t="s">
        <v>307</v>
      </c>
      <c r="L10" s="91" t="s">
        <v>308</v>
      </c>
      <c r="M10" s="225">
        <f t="shared" si="2"/>
        <v>1.4301528999999995E-2</v>
      </c>
      <c r="N10" s="225">
        <f t="shared" si="2"/>
        <v>1.7994039999999999E-3</v>
      </c>
      <c r="O10" s="225">
        <f>SQRT(SUMSQ(M10:N10))</f>
        <v>1.4414284113096178E-2</v>
      </c>
      <c r="P10" s="91">
        <f t="shared" si="4"/>
        <v>0.03</v>
      </c>
      <c r="Q10" s="91" t="str">
        <f>IF(O10&gt;P10,"X","Ok")</f>
        <v>Ok</v>
      </c>
      <c r="R10" s="91"/>
      <c r="S10" s="91" t="s">
        <v>308</v>
      </c>
      <c r="T10" s="225">
        <f>+F18+H13</f>
        <v>1.9255290000000009E-3</v>
      </c>
      <c r="U10" s="225">
        <f>+G18+I13</f>
        <v>7.225404000000003E-3</v>
      </c>
      <c r="V10" s="225">
        <f>SQRT(SUMSQ(T10:U10))</f>
        <v>7.477574800231492E-3</v>
      </c>
      <c r="W10" s="91">
        <f t="shared" si="8"/>
        <v>0.03</v>
      </c>
      <c r="X10" s="91" t="str">
        <f>IF(V10&gt;W10,"X","Ok")</f>
        <v>Ok</v>
      </c>
    </row>
    <row r="11" spans="1:24">
      <c r="A11" s="234" t="s">
        <v>298</v>
      </c>
      <c r="B11" s="234" t="s">
        <v>305</v>
      </c>
      <c r="C11" s="234" t="s">
        <v>292</v>
      </c>
      <c r="D11" s="91">
        <v>-1.8060000000000001E-3</v>
      </c>
      <c r="E11" s="91">
        <v>5.5174000000000001E-2</v>
      </c>
      <c r="F11" s="91">
        <f t="shared" ref="F11:G13" si="11">D11-D10</f>
        <v>-5.9000000000000003E-4</v>
      </c>
      <c r="G11" s="91">
        <f t="shared" si="11"/>
        <v>1.7280999999999998E-2</v>
      </c>
      <c r="H11">
        <f t="shared" si="10"/>
        <v>4.9080000000000009E-3</v>
      </c>
      <c r="I11" s="216">
        <f t="shared" si="10"/>
        <v>1.9129999999999998E-2</v>
      </c>
    </row>
    <row r="12" spans="1:24" ht="15.75" thickBot="1">
      <c r="A12" s="234" t="s">
        <v>301</v>
      </c>
      <c r="B12" s="234" t="s">
        <v>305</v>
      </c>
      <c r="C12" s="234" t="s">
        <v>292</v>
      </c>
      <c r="D12" s="91">
        <v>-2.2290000000000001E-3</v>
      </c>
      <c r="E12" s="91">
        <v>6.7490999999999995E-2</v>
      </c>
      <c r="F12" s="91">
        <f t="shared" si="11"/>
        <v>-4.2299999999999998E-4</v>
      </c>
      <c r="G12" s="91">
        <f t="shared" si="11"/>
        <v>1.2316999999999995E-2</v>
      </c>
      <c r="H12" s="229">
        <f t="shared" si="10"/>
        <v>3.5179999999999986E-3</v>
      </c>
      <c r="I12" s="217">
        <f t="shared" si="10"/>
        <v>1.3641999999999994E-2</v>
      </c>
    </row>
    <row r="13" spans="1:24" ht="15.75" thickBot="1">
      <c r="A13" s="234" t="s">
        <v>303</v>
      </c>
      <c r="B13" s="234" t="s">
        <v>305</v>
      </c>
      <c r="C13" s="234" t="s">
        <v>292</v>
      </c>
      <c r="D13" s="91">
        <v>-2.4599999999999999E-3</v>
      </c>
      <c r="E13" s="91">
        <v>7.3987999999999998E-2</v>
      </c>
      <c r="F13" s="91">
        <f t="shared" si="11"/>
        <v>-2.3099999999999987E-4</v>
      </c>
      <c r="G13" s="91">
        <f t="shared" si="11"/>
        <v>6.4970000000000028E-3</v>
      </c>
      <c r="H13" s="229">
        <f t="shared" si="10"/>
        <v>1.9250000000000009E-3</v>
      </c>
      <c r="I13" s="217">
        <f t="shared" si="10"/>
        <v>7.2230000000000029E-3</v>
      </c>
      <c r="L13" s="91" t="s">
        <v>309</v>
      </c>
      <c r="M13" s="91" t="s">
        <v>285</v>
      </c>
      <c r="N13" s="91" t="s">
        <v>286</v>
      </c>
      <c r="O13" s="91" t="s">
        <v>295</v>
      </c>
      <c r="P13" s="91" t="s">
        <v>296</v>
      </c>
      <c r="Q13" s="91"/>
      <c r="R13" s="91"/>
      <c r="S13" s="91" t="s">
        <v>310</v>
      </c>
      <c r="T13" s="91" t="s">
        <v>285</v>
      </c>
      <c r="U13" s="91" t="s">
        <v>286</v>
      </c>
      <c r="V13" s="91" t="s">
        <v>295</v>
      </c>
      <c r="W13" s="91" t="s">
        <v>296</v>
      </c>
      <c r="X13" s="91"/>
    </row>
    <row r="14" spans="1:24">
      <c r="A14" s="234" t="s">
        <v>290</v>
      </c>
      <c r="B14" s="234" t="s">
        <v>311</v>
      </c>
      <c r="C14" s="234" t="s">
        <v>312</v>
      </c>
      <c r="D14" s="91">
        <v>2.6049999999999998E-7</v>
      </c>
      <c r="E14" s="91">
        <v>5.5779999999999998E-7</v>
      </c>
      <c r="F14" s="91">
        <f>D14</f>
        <v>2.6049999999999998E-7</v>
      </c>
      <c r="G14" s="91">
        <f>E14</f>
        <v>5.5779999999999998E-7</v>
      </c>
      <c r="L14" s="91" t="s">
        <v>300</v>
      </c>
      <c r="M14" s="226">
        <f t="shared" ref="M14:N18" si="12">D14+0.75*D29+0.75*H4</f>
        <v>1.6582774562499999E-2</v>
      </c>
      <c r="N14" s="226">
        <f t="shared" si="12"/>
        <v>7.0414030000000001E-4</v>
      </c>
      <c r="O14" s="225">
        <f>SQRT(SUMSQ(M14:N14))</f>
        <v>1.6597717486232292E-2</v>
      </c>
      <c r="P14" s="91">
        <f>1/100*3</f>
        <v>0.03</v>
      </c>
      <c r="Q14" s="91" t="str">
        <f>IF(O14&gt;P14,"X","Ok")</f>
        <v>Ok</v>
      </c>
      <c r="R14" s="91"/>
      <c r="S14" s="91" t="s">
        <v>300</v>
      </c>
      <c r="T14" s="226">
        <f t="shared" ref="T14:U18" si="13">D14+0.75*D29+0.75*H9</f>
        <v>3.4187745624999996E-3</v>
      </c>
      <c r="U14" s="226">
        <f t="shared" si="13"/>
        <v>1.4747140299999999E-2</v>
      </c>
      <c r="V14" s="225">
        <f>SQRT(SUMSQ(T14:U14))</f>
        <v>1.51382352517419E-2</v>
      </c>
      <c r="W14" s="91">
        <f>1/100*3</f>
        <v>0.03</v>
      </c>
      <c r="X14" s="91" t="str">
        <f>IF(V14&gt;W14,"X","Ok")</f>
        <v>Ok</v>
      </c>
    </row>
    <row r="15" spans="1:24">
      <c r="A15" s="234" t="s">
        <v>293</v>
      </c>
      <c r="B15" s="234" t="s">
        <v>311</v>
      </c>
      <c r="C15" s="234" t="s">
        <v>312</v>
      </c>
      <c r="D15" s="91">
        <v>4.5970000000000002E-7</v>
      </c>
      <c r="E15" s="91">
        <v>3.8130000000000002E-6</v>
      </c>
      <c r="F15" s="91">
        <f>D15-D14</f>
        <v>1.9920000000000004E-7</v>
      </c>
      <c r="G15" s="91">
        <f>E15-E14</f>
        <v>3.2552000000000002E-6</v>
      </c>
      <c r="L15" s="91" t="s">
        <v>302</v>
      </c>
      <c r="M15" s="226">
        <f t="shared" si="12"/>
        <v>2.1473737900000001E-2</v>
      </c>
      <c r="N15" s="226">
        <f t="shared" si="12"/>
        <v>8.6217847499999985E-4</v>
      </c>
      <c r="O15" s="225">
        <f t="shared" ref="O15:O18" si="14">SQRT(SUMSQ(M15:N15))</f>
        <v>2.1491039321555619E-2</v>
      </c>
      <c r="P15" s="91">
        <f t="shared" ref="P15:P18" si="15">1/100*3</f>
        <v>0.03</v>
      </c>
      <c r="Q15" s="91" t="str">
        <f t="shared" ref="Q15:Q18" si="16">IF(O15&gt;P15,"X","Ok")</f>
        <v>Ok</v>
      </c>
      <c r="R15" s="91"/>
      <c r="S15" s="91" t="s">
        <v>302</v>
      </c>
      <c r="T15" s="226">
        <f t="shared" si="13"/>
        <v>4.1697378999999996E-3</v>
      </c>
      <c r="U15" s="226">
        <f t="shared" si="13"/>
        <v>1.6535678475000006E-2</v>
      </c>
      <c r="V15" s="225">
        <f t="shared" ref="V15:V18" si="17">SQRT(SUMSQ(T15:U15))</f>
        <v>1.7053309848333694E-2</v>
      </c>
      <c r="W15" s="91">
        <f t="shared" ref="W15:W18" si="18">1/100*3</f>
        <v>0.03</v>
      </c>
      <c r="X15" s="91" t="str">
        <f t="shared" ref="X15:X18" si="19">IF(V15&gt;W15,"X","Ok")</f>
        <v>Ok</v>
      </c>
    </row>
    <row r="16" spans="1:24">
      <c r="A16" s="234" t="s">
        <v>298</v>
      </c>
      <c r="B16" s="234" t="s">
        <v>311</v>
      </c>
      <c r="C16" s="234" t="s">
        <v>312</v>
      </c>
      <c r="D16" s="91">
        <v>7.3600000000000003E-7</v>
      </c>
      <c r="E16" s="91">
        <v>7.5329999999999997E-6</v>
      </c>
      <c r="F16" s="91">
        <f t="shared" ref="F16:G18" si="20">D16-D15</f>
        <v>2.7630000000000001E-7</v>
      </c>
      <c r="G16" s="91">
        <f t="shared" si="20"/>
        <v>3.7199999999999995E-6</v>
      </c>
      <c r="L16" s="91" t="s">
        <v>304</v>
      </c>
      <c r="M16" s="226">
        <f t="shared" si="12"/>
        <v>1.9446035477499995E-2</v>
      </c>
      <c r="N16" s="226">
        <f t="shared" si="12"/>
        <v>7.6576597500000007E-4</v>
      </c>
      <c r="O16" s="225">
        <f t="shared" si="14"/>
        <v>1.9461107196679643E-2</v>
      </c>
      <c r="P16" s="91">
        <f t="shared" si="15"/>
        <v>0.03</v>
      </c>
      <c r="Q16" s="91" t="str">
        <f t="shared" si="16"/>
        <v>Ok</v>
      </c>
      <c r="R16" s="91"/>
      <c r="S16" s="91" t="s">
        <v>304</v>
      </c>
      <c r="T16" s="226">
        <f t="shared" si="13"/>
        <v>3.6817854775000008E-3</v>
      </c>
      <c r="U16" s="226">
        <f t="shared" si="13"/>
        <v>1.4355765974999999E-2</v>
      </c>
      <c r="V16" s="225">
        <f t="shared" si="17"/>
        <v>1.4820376548229049E-2</v>
      </c>
      <c r="W16" s="91">
        <f t="shared" si="18"/>
        <v>0.03</v>
      </c>
      <c r="X16" s="91" t="str">
        <f t="shared" si="19"/>
        <v>Ok</v>
      </c>
    </row>
    <row r="17" spans="1:24">
      <c r="A17" s="234" t="s">
        <v>301</v>
      </c>
      <c r="B17" s="234" t="s">
        <v>311</v>
      </c>
      <c r="C17" s="234" t="s">
        <v>312</v>
      </c>
      <c r="D17" s="91">
        <v>1.3170000000000001E-6</v>
      </c>
      <c r="E17" s="91">
        <v>9.5959999999999993E-6</v>
      </c>
      <c r="F17" s="91">
        <f t="shared" si="20"/>
        <v>5.8100000000000003E-7</v>
      </c>
      <c r="G17" s="91">
        <f t="shared" si="20"/>
        <v>2.0629999999999996E-6</v>
      </c>
      <c r="L17" s="91" t="s">
        <v>306</v>
      </c>
      <c r="M17" s="226">
        <f t="shared" si="12"/>
        <v>1.4262658050000009E-2</v>
      </c>
      <c r="N17" s="226">
        <f t="shared" si="12"/>
        <v>5.5442224999999981E-4</v>
      </c>
      <c r="O17" s="225">
        <f t="shared" si="14"/>
        <v>1.427342981495776E-2</v>
      </c>
      <c r="P17" s="91">
        <f t="shared" si="15"/>
        <v>0.03</v>
      </c>
      <c r="Q17" s="91" t="str">
        <f t="shared" si="16"/>
        <v>Ok</v>
      </c>
      <c r="R17" s="91"/>
      <c r="S17" s="91" t="s">
        <v>306</v>
      </c>
      <c r="T17" s="226">
        <f t="shared" si="13"/>
        <v>2.6399080499999988E-3</v>
      </c>
      <c r="U17" s="226">
        <f t="shared" si="13"/>
        <v>1.0242172249999995E-2</v>
      </c>
      <c r="V17" s="225">
        <f t="shared" si="17"/>
        <v>1.0576918592441031E-2</v>
      </c>
      <c r="W17" s="91">
        <f t="shared" si="18"/>
        <v>0.03</v>
      </c>
      <c r="X17" s="91" t="str">
        <f t="shared" si="19"/>
        <v>Ok</v>
      </c>
    </row>
    <row r="18" spans="1:24">
      <c r="A18" s="234" t="s">
        <v>303</v>
      </c>
      <c r="B18" s="234" t="s">
        <v>311</v>
      </c>
      <c r="C18" s="234" t="s">
        <v>312</v>
      </c>
      <c r="D18" s="91">
        <v>1.846E-6</v>
      </c>
      <c r="E18" s="91">
        <v>1.2E-5</v>
      </c>
      <c r="F18" s="91">
        <f t="shared" si="20"/>
        <v>5.2899999999999993E-7</v>
      </c>
      <c r="G18" s="91">
        <f t="shared" si="20"/>
        <v>2.404000000000001E-6</v>
      </c>
      <c r="L18" s="91" t="s">
        <v>308</v>
      </c>
      <c r="M18" s="226">
        <f t="shared" si="12"/>
        <v>1.0727745324999996E-2</v>
      </c>
      <c r="N18" s="226">
        <f t="shared" si="12"/>
        <v>1.3612417500000001E-3</v>
      </c>
      <c r="O18" s="225">
        <f t="shared" si="14"/>
        <v>1.0813764324230594E-2</v>
      </c>
      <c r="P18" s="91">
        <f t="shared" si="15"/>
        <v>0.03</v>
      </c>
      <c r="Q18" s="91" t="str">
        <f t="shared" si="16"/>
        <v>Ok</v>
      </c>
      <c r="R18" s="91"/>
      <c r="S18" s="91" t="s">
        <v>308</v>
      </c>
      <c r="T18" s="226">
        <f t="shared" si="13"/>
        <v>1.4457453250000007E-3</v>
      </c>
      <c r="U18" s="226">
        <f t="shared" si="13"/>
        <v>5.4307417500000016E-3</v>
      </c>
      <c r="V18" s="225">
        <f t="shared" si="17"/>
        <v>5.6198874988697446E-3</v>
      </c>
      <c r="W18" s="91">
        <f t="shared" si="18"/>
        <v>0.03</v>
      </c>
      <c r="X18" s="91" t="str">
        <f t="shared" si="19"/>
        <v>Ok</v>
      </c>
    </row>
    <row r="19" spans="1:24">
      <c r="A19" s="234" t="s">
        <v>290</v>
      </c>
      <c r="B19" s="234" t="s">
        <v>274</v>
      </c>
      <c r="C19" s="234" t="s">
        <v>292</v>
      </c>
      <c r="D19" s="91">
        <v>-1.753E-3</v>
      </c>
      <c r="E19" s="91">
        <v>7.5100000000000004E-4</v>
      </c>
      <c r="F19" s="91">
        <f>D19</f>
        <v>-1.753E-3</v>
      </c>
      <c r="G19" s="91">
        <f>E19</f>
        <v>7.5100000000000004E-4</v>
      </c>
    </row>
    <row r="20" spans="1:24">
      <c r="A20" s="234" t="s">
        <v>293</v>
      </c>
      <c r="B20" s="234" t="s">
        <v>274</v>
      </c>
      <c r="C20" s="234" t="s">
        <v>292</v>
      </c>
      <c r="D20" s="91">
        <v>-3.8909999999999999E-3</v>
      </c>
      <c r="E20" s="91">
        <v>1.6659999999999999E-3</v>
      </c>
      <c r="F20" s="91">
        <f>D20-D19</f>
        <v>-2.1380000000000001E-3</v>
      </c>
      <c r="G20" s="91">
        <f>E20-E19</f>
        <v>9.1499999999999991E-4</v>
      </c>
    </row>
    <row r="21" spans="1:24">
      <c r="A21" s="234" t="s">
        <v>298</v>
      </c>
      <c r="B21" s="234" t="s">
        <v>274</v>
      </c>
      <c r="C21" s="234" t="s">
        <v>292</v>
      </c>
      <c r="D21" s="91">
        <v>-5.7790000000000003E-3</v>
      </c>
      <c r="E21" s="91">
        <v>2.4740000000000001E-3</v>
      </c>
      <c r="F21" s="91">
        <f t="shared" ref="F21:G23" si="21">D21-D20</f>
        <v>-1.8880000000000004E-3</v>
      </c>
      <c r="G21" s="91">
        <f t="shared" si="21"/>
        <v>8.0800000000000012E-4</v>
      </c>
    </row>
    <row r="22" spans="1:24">
      <c r="A22" s="234" t="s">
        <v>301</v>
      </c>
      <c r="B22" s="234" t="s">
        <v>274</v>
      </c>
      <c r="C22" s="234" t="s">
        <v>292</v>
      </c>
      <c r="D22" s="91">
        <v>-7.1320000000000003E-3</v>
      </c>
      <c r="E22" s="91">
        <v>3.0539999999999999E-3</v>
      </c>
      <c r="F22" s="91">
        <f t="shared" si="21"/>
        <v>-1.353E-3</v>
      </c>
      <c r="G22" s="91">
        <f t="shared" si="21"/>
        <v>5.7999999999999979E-4</v>
      </c>
    </row>
    <row r="23" spans="1:24">
      <c r="A23" s="234" t="s">
        <v>303</v>
      </c>
      <c r="B23" s="234" t="s">
        <v>274</v>
      </c>
      <c r="C23" s="234" t="s">
        <v>292</v>
      </c>
      <c r="D23" s="91">
        <v>-7.8720000000000005E-3</v>
      </c>
      <c r="E23" s="91">
        <v>3.3709999999999999E-3</v>
      </c>
      <c r="F23" s="91">
        <f t="shared" si="21"/>
        <v>-7.4000000000000021E-4</v>
      </c>
      <c r="G23" s="91">
        <f t="shared" si="21"/>
        <v>3.1700000000000001E-4</v>
      </c>
    </row>
    <row r="24" spans="1:24">
      <c r="A24" s="234" t="s">
        <v>290</v>
      </c>
      <c r="B24" s="234" t="s">
        <v>275</v>
      </c>
      <c r="C24" s="234" t="s">
        <v>292</v>
      </c>
      <c r="D24" s="91">
        <v>-4.0099999999999997E-3</v>
      </c>
      <c r="E24" s="91">
        <v>1.717E-3</v>
      </c>
      <c r="F24" s="91">
        <f>D24</f>
        <v>-4.0099999999999997E-3</v>
      </c>
      <c r="G24" s="91">
        <f>E24</f>
        <v>1.717E-3</v>
      </c>
    </row>
    <row r="25" spans="1:24">
      <c r="A25" s="234" t="s">
        <v>293</v>
      </c>
      <c r="B25" s="234" t="s">
        <v>275</v>
      </c>
      <c r="C25" s="234" t="s">
        <v>292</v>
      </c>
      <c r="D25" s="91">
        <v>-8.9009999999999992E-3</v>
      </c>
      <c r="E25" s="91">
        <v>3.8110000000000002E-3</v>
      </c>
      <c r="F25" s="91">
        <f>D25-D24</f>
        <v>-4.8909999999999995E-3</v>
      </c>
      <c r="G25" s="91">
        <f>E25-E24</f>
        <v>2.0940000000000004E-3</v>
      </c>
    </row>
    <row r="26" spans="1:24">
      <c r="A26" s="234" t="s">
        <v>298</v>
      </c>
      <c r="B26" s="234" t="s">
        <v>275</v>
      </c>
      <c r="C26" s="234" t="s">
        <v>292</v>
      </c>
      <c r="D26" s="91">
        <v>-1.3219E-2</v>
      </c>
      <c r="E26" s="91">
        <v>5.6600000000000001E-3</v>
      </c>
      <c r="F26" s="91">
        <f t="shared" ref="F26:G28" si="22">D26-D25</f>
        <v>-4.3180000000000007E-3</v>
      </c>
      <c r="G26" s="91">
        <f t="shared" si="22"/>
        <v>1.8489999999999999E-3</v>
      </c>
    </row>
    <row r="27" spans="1:24">
      <c r="A27" s="234" t="s">
        <v>301</v>
      </c>
      <c r="B27" s="234" t="s">
        <v>275</v>
      </c>
      <c r="C27" s="234" t="s">
        <v>292</v>
      </c>
      <c r="D27" s="91">
        <v>-1.6313999999999999E-2</v>
      </c>
      <c r="E27" s="91">
        <v>6.9849999999999999E-3</v>
      </c>
      <c r="F27" s="91">
        <f t="shared" si="22"/>
        <v>-3.0949999999999988E-3</v>
      </c>
      <c r="G27" s="91">
        <f t="shared" si="22"/>
        <v>1.3249999999999998E-3</v>
      </c>
    </row>
    <row r="28" spans="1:24">
      <c r="A28" s="234" t="s">
        <v>303</v>
      </c>
      <c r="B28" s="234" t="s">
        <v>275</v>
      </c>
      <c r="C28" s="234" t="s">
        <v>292</v>
      </c>
      <c r="D28" s="91">
        <v>-1.8008E-2</v>
      </c>
      <c r="E28" s="91">
        <v>7.711E-3</v>
      </c>
      <c r="F28" s="91">
        <f t="shared" si="22"/>
        <v>-1.6940000000000011E-3</v>
      </c>
      <c r="G28" s="91">
        <f t="shared" si="22"/>
        <v>7.2600000000000008E-4</v>
      </c>
    </row>
    <row r="29" spans="1:24">
      <c r="A29" s="234" t="s">
        <v>290</v>
      </c>
      <c r="B29" s="234" t="s">
        <v>313</v>
      </c>
      <c r="C29" s="234" t="s">
        <v>312</v>
      </c>
      <c r="D29" s="91">
        <v>1.8749999999999999E-8</v>
      </c>
      <c r="E29" s="91">
        <v>1.1000000000000001E-7</v>
      </c>
      <c r="F29" s="91">
        <f>D29</f>
        <v>1.8749999999999999E-8</v>
      </c>
      <c r="G29" s="91">
        <f>E29</f>
        <v>1.1000000000000001E-7</v>
      </c>
    </row>
    <row r="30" spans="1:24">
      <c r="A30" s="234" t="s">
        <v>293</v>
      </c>
      <c r="B30" s="234" t="s">
        <v>313</v>
      </c>
      <c r="C30" s="234" t="s">
        <v>312</v>
      </c>
      <c r="D30" s="91">
        <v>3.7599999999999999E-8</v>
      </c>
      <c r="E30" s="91">
        <v>4.8729999999999998E-7</v>
      </c>
      <c r="F30" s="91">
        <f>D30-D29</f>
        <v>1.885E-8</v>
      </c>
      <c r="G30" s="91">
        <f>E30-E29</f>
        <v>3.7729999999999997E-7</v>
      </c>
    </row>
    <row r="31" spans="1:24">
      <c r="A31" s="234" t="s">
        <v>298</v>
      </c>
      <c r="B31" s="234" t="s">
        <v>313</v>
      </c>
      <c r="C31" s="234" t="s">
        <v>312</v>
      </c>
      <c r="D31" s="91">
        <v>6.5970000000000001E-8</v>
      </c>
      <c r="E31" s="91">
        <v>9.7729999999999994E-7</v>
      </c>
      <c r="F31" s="91">
        <f t="shared" ref="F31:G33" si="23">D31-D30</f>
        <v>2.8370000000000002E-8</v>
      </c>
      <c r="G31" s="91">
        <f t="shared" si="23"/>
        <v>4.8999999999999997E-7</v>
      </c>
    </row>
    <row r="32" spans="1:24">
      <c r="A32" s="234" t="s">
        <v>301</v>
      </c>
      <c r="B32" s="234" t="s">
        <v>313</v>
      </c>
      <c r="C32" s="234" t="s">
        <v>312</v>
      </c>
      <c r="D32" s="91">
        <v>1.2139999999999999E-7</v>
      </c>
      <c r="E32" s="91">
        <v>1.435E-6</v>
      </c>
      <c r="F32" s="91">
        <f t="shared" si="23"/>
        <v>5.5429999999999987E-8</v>
      </c>
      <c r="G32" s="91">
        <f t="shared" si="23"/>
        <v>4.5770000000000008E-7</v>
      </c>
    </row>
    <row r="33" spans="1:7">
      <c r="A33" s="234" t="s">
        <v>303</v>
      </c>
      <c r="B33" s="234" t="s">
        <v>313</v>
      </c>
      <c r="C33" s="234" t="s">
        <v>312</v>
      </c>
      <c r="D33" s="91">
        <v>1.991E-7</v>
      </c>
      <c r="E33" s="91">
        <v>1.9889999999999999E-6</v>
      </c>
      <c r="F33" s="91">
        <f t="shared" si="23"/>
        <v>7.7700000000000014E-8</v>
      </c>
      <c r="G33" s="91">
        <f t="shared" si="23"/>
        <v>5.5399999999999991E-7</v>
      </c>
    </row>
    <row r="34" spans="1:7">
      <c r="A34" s="234"/>
      <c r="B34" s="234"/>
      <c r="C34" s="234"/>
      <c r="D34" s="91"/>
      <c r="E34" s="91"/>
      <c r="F34" s="91"/>
      <c r="G34" s="91"/>
    </row>
    <row r="40" spans="1:7">
      <c r="A40" s="253"/>
    </row>
    <row r="50" spans="1:2">
      <c r="A50" s="253"/>
    </row>
    <row r="57" spans="1:2">
      <c r="A57" s="394" t="s">
        <v>314</v>
      </c>
      <c r="B57" s="395"/>
    </row>
    <row r="58" spans="1:2">
      <c r="A58" s="254" t="s">
        <v>315</v>
      </c>
      <c r="B58" s="1">
        <v>36.6</v>
      </c>
    </row>
    <row r="59" spans="1:2">
      <c r="A59" s="254" t="s">
        <v>316</v>
      </c>
      <c r="B59" s="1">
        <v>15.99</v>
      </c>
    </row>
    <row r="60" spans="1:2">
      <c r="A60" s="254" t="s">
        <v>222</v>
      </c>
      <c r="B60" s="1">
        <v>5.0999999999999996</v>
      </c>
    </row>
    <row r="61" spans="1:2">
      <c r="A61" s="254" t="s">
        <v>295</v>
      </c>
      <c r="B61" s="1">
        <v>2.65</v>
      </c>
    </row>
    <row r="62" spans="1:2">
      <c r="A62" s="254" t="s">
        <v>317</v>
      </c>
      <c r="B62" s="1">
        <v>2.65</v>
      </c>
    </row>
    <row r="65" spans="1:2">
      <c r="A65" s="254" t="s">
        <v>318</v>
      </c>
      <c r="B65" s="1">
        <f>+B60*B61+B60*B62</f>
        <v>27.029999999999998</v>
      </c>
    </row>
    <row r="66" spans="1:2">
      <c r="A66" s="254" t="s">
        <v>319</v>
      </c>
      <c r="B66" s="1">
        <f>0.5*B58*B59</f>
        <v>292.61700000000002</v>
      </c>
    </row>
    <row r="67" spans="1:2">
      <c r="A67" s="254" t="s">
        <v>320</v>
      </c>
      <c r="B67" s="1">
        <f>IF(B65&gt;B66,0.9,1)</f>
        <v>1</v>
      </c>
    </row>
  </sheetData>
  <mergeCells count="2">
    <mergeCell ref="A1:G1"/>
    <mergeCell ref="A57:B5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397" t="inlineStr">
        <is>
          <t xml:space="preserve">VERIFICACIÓN DE IRREGULARIDAD TORSIONAL EN PLANTA (NSR-10 A.3.6.7 — Tipo 1aP/1bP)</t>
        </is>
      </c>
    </row>
    <row r="2">
      <c r="A2" s="0"/>
    </row>
    <row r="3">
      <c r="A3" s="0" t="inlineStr">
        <is>
          <t xml:space="preserve">Criterio:  razón = δmax / δprom ,  con δprom = (δmax + δmin)/2 entre los dos bordes del diafragma.</t>
        </is>
      </c>
    </row>
    <row r="4">
      <c r="A4" s="0" t="inlineStr">
        <is>
          <t xml:space="preserve">Regular si razón ≤ 1.20  |  Torsional 1aP (φp=0.9) si 1.20 &lt; razón ≤ 1.40  |  Extrema 1bP (φp=0.8) si &gt; 1.40</t>
        </is>
      </c>
    </row>
    <row r="5">
      <c r="A5" s="0" t="inlineStr">
        <is>
          <t xml:space="preserve">Desplazamientos de SAP2000 (Joint Displacements), TODOS los nudos de cada diafragma. U1 para Fx, U2 para Fy.</t>
        </is>
      </c>
    </row>
    <row r="6">
      <c r="A6" s="0"/>
    </row>
    <row r="7">
      <c r="A7" s="396" t="inlineStr">
        <is>
          <t xml:space="preserve">SISMO EN X (Fx)</t>
        </is>
      </c>
    </row>
    <row r="8">
      <c r="A8" s="396" t="inlineStr">
        <is>
          <t xml:space="preserve">Piso Z (m)</t>
        </is>
      </c>
      <c r="B8" s="396" t="inlineStr">
        <is>
          <t xml:space="preserve">N° nudos</t>
        </is>
      </c>
      <c r="C8" s="396" t="inlineStr">
        <is>
          <t xml:space="preserve">δmax (mm)</t>
        </is>
      </c>
      <c r="D8" s="396" t="inlineStr">
        <is>
          <t xml:space="preserve">δmin (mm)</t>
        </is>
      </c>
      <c r="E8" s="396" t="inlineStr">
        <is>
          <t xml:space="preserve">δprom (mm)</t>
        </is>
      </c>
      <c r="F8" s="396" t="inlineStr">
        <is>
          <t xml:space="preserve">razón</t>
        </is>
      </c>
      <c r="G8" s="396" t="inlineStr">
        <is>
          <t xml:space="preserve">Estado</t>
        </is>
      </c>
    </row>
    <row r="9">
      <c r="A9" s="0">
        <v>3.5</v>
      </c>
      <c r="B9" s="0">
        <v>183</v>
      </c>
      <c r="C9" s="0">
        <v>24.099</v>
      </c>
      <c r="D9" s="0">
        <v>22.986</v>
      </c>
      <c r="E9" s="0">
        <v>23.543</v>
      </c>
      <c r="F9" s="0">
        <v>1.024</v>
      </c>
      <c r="G9" s="0" t="inlineStr">
        <is>
          <t xml:space="preserve">Regular</t>
        </is>
      </c>
    </row>
    <row r="10">
      <c r="A10" s="0">
        <v>6.5</v>
      </c>
      <c r="B10" s="0">
        <v>183</v>
      </c>
      <c r="C10" s="0">
        <v>54.676</v>
      </c>
      <c r="D10" s="0">
        <v>52.244</v>
      </c>
      <c r="E10" s="0">
        <v>53.46</v>
      </c>
      <c r="F10" s="0">
        <v>1.023</v>
      </c>
      <c r="G10" s="0" t="inlineStr">
        <is>
          <t xml:space="preserve">Regular</t>
        </is>
      </c>
    </row>
    <row r="11">
      <c r="A11" s="0">
        <v>9.5</v>
      </c>
      <c r="B11" s="0">
        <v>183</v>
      </c>
      <c r="C11" s="0">
        <v>81.98</v>
      </c>
      <c r="D11" s="0">
        <v>78.404</v>
      </c>
      <c r="E11" s="0">
        <v>80.192</v>
      </c>
      <c r="F11" s="0">
        <v>1.022</v>
      </c>
      <c r="G11" s="0" t="inlineStr">
        <is>
          <t xml:space="preserve">Regular</t>
        </is>
      </c>
    </row>
    <row r="12">
      <c r="A12" s="0">
        <v>12.5</v>
      </c>
      <c r="B12" s="0">
        <v>183</v>
      </c>
      <c r="C12" s="0">
        <v>101.698</v>
      </c>
      <c r="D12" s="0">
        <v>97.317</v>
      </c>
      <c r="E12" s="0">
        <v>99.507</v>
      </c>
      <c r="F12" s="0">
        <v>1.022</v>
      </c>
      <c r="G12" s="0" t="inlineStr">
        <is>
          <t xml:space="preserve">Regular</t>
        </is>
      </c>
    </row>
    <row r="13">
      <c r="A13" s="0">
        <v>15.5</v>
      </c>
      <c r="B13" s="0">
        <v>183</v>
      </c>
      <c r="C13" s="0">
        <v>112.878</v>
      </c>
      <c r="D13" s="0">
        <v>108.069</v>
      </c>
      <c r="E13" s="0">
        <v>110.474</v>
      </c>
      <c r="F13" s="0">
        <v>1.022</v>
      </c>
      <c r="G13" s="0" t="inlineStr">
        <is>
          <t xml:space="preserve">Regular</t>
        </is>
      </c>
    </row>
    <row r="14">
      <c r="A14" s="0"/>
    </row>
    <row r="15">
      <c r="A15" s="396" t="inlineStr">
        <is>
          <t xml:space="preserve">SISMO EN Y (Fy)</t>
        </is>
      </c>
    </row>
    <row r="16">
      <c r="A16" s="396" t="inlineStr">
        <is>
          <t xml:space="preserve">Piso Z (m)</t>
        </is>
      </c>
      <c r="B16" s="396" t="inlineStr">
        <is>
          <t xml:space="preserve">N° nudos</t>
        </is>
      </c>
      <c r="C16" s="396" t="inlineStr">
        <is>
          <t xml:space="preserve">δmax (mm)</t>
        </is>
      </c>
      <c r="D16" s="396" t="inlineStr">
        <is>
          <t xml:space="preserve">δmin (mm)</t>
        </is>
      </c>
      <c r="E16" s="396" t="inlineStr">
        <is>
          <t xml:space="preserve">δprom (mm)</t>
        </is>
      </c>
      <c r="F16" s="396" t="inlineStr">
        <is>
          <t xml:space="preserve">razón</t>
        </is>
      </c>
      <c r="G16" s="396" t="inlineStr">
        <is>
          <t xml:space="preserve">Estado</t>
        </is>
      </c>
    </row>
    <row r="17">
      <c r="A17" s="0">
        <v>3.5</v>
      </c>
      <c r="B17" s="0">
        <v>183</v>
      </c>
      <c r="C17" s="0">
        <v>20.97</v>
      </c>
      <c r="D17" s="0">
        <v>20.419</v>
      </c>
      <c r="E17" s="0">
        <v>20.694</v>
      </c>
      <c r="F17" s="0">
        <v>1.013</v>
      </c>
      <c r="G17" s="0" t="inlineStr">
        <is>
          <t xml:space="preserve">Regular</t>
        </is>
      </c>
    </row>
    <row r="18">
      <c r="A18" s="0">
        <v>6.5</v>
      </c>
      <c r="B18" s="0">
        <v>183</v>
      </c>
      <c r="C18" s="0">
        <v>43.378</v>
      </c>
      <c r="D18" s="0">
        <v>42.175</v>
      </c>
      <c r="E18" s="0">
        <v>42.776</v>
      </c>
      <c r="F18" s="0">
        <v>1.014</v>
      </c>
      <c r="G18" s="0" t="inlineStr">
        <is>
          <t xml:space="preserve">Regular</t>
        </is>
      </c>
    </row>
    <row r="19">
      <c r="A19" s="0">
        <v>9.5</v>
      </c>
      <c r="B19" s="0">
        <v>183</v>
      </c>
      <c r="C19" s="0">
        <v>62.5</v>
      </c>
      <c r="D19" s="0">
        <v>60.732</v>
      </c>
      <c r="E19" s="0">
        <v>61.616</v>
      </c>
      <c r="F19" s="0">
        <v>1.014</v>
      </c>
      <c r="G19" s="0" t="inlineStr">
        <is>
          <t xml:space="preserve">Regular</t>
        </is>
      </c>
    </row>
    <row r="20">
      <c r="A20" s="0">
        <v>12.5</v>
      </c>
      <c r="B20" s="0">
        <v>183</v>
      </c>
      <c r="C20" s="0">
        <v>75.919</v>
      </c>
      <c r="D20" s="0">
        <v>73.753</v>
      </c>
      <c r="E20" s="0">
        <v>74.836</v>
      </c>
      <c r="F20" s="0">
        <v>1.014</v>
      </c>
      <c r="G20" s="0" t="inlineStr">
        <is>
          <t xml:space="preserve">Regular</t>
        </is>
      </c>
    </row>
    <row r="21">
      <c r="A21" s="0">
        <v>15.5</v>
      </c>
      <c r="B21" s="0">
        <v>183</v>
      </c>
      <c r="C21" s="0">
        <v>82.785</v>
      </c>
      <c r="D21" s="0">
        <v>80.409</v>
      </c>
      <c r="E21" s="0">
        <v>81.597</v>
      </c>
      <c r="F21" s="0">
        <v>1.015</v>
      </c>
      <c r="G21" s="0" t="inlineStr">
        <is>
          <t xml:space="preserve">Regular</t>
        </is>
      </c>
    </row>
    <row r="22">
      <c r="A22" s="0"/>
    </row>
    <row r="23">
      <c r="A23" s="397" t="inlineStr">
        <is>
          <t xml:space="preserve">RAZÓN MÁXIMA = 1.024  &lt;  1.20   →   NO HAY IRREGULARIDAD TORSIONAL   →   φp = 1.0</t>
        </is>
      </c>
    </row>
    <row r="24">
      <c r="A24" s="0"/>
    </row>
    <row r="25">
      <c r="A25" s="0" t="inlineStr">
        <is>
          <t xml:space="preserve">Con planta, altura y redundancia regulares:  R = R0·φa·φp·φr = 5·1·1·1 = 5.0</t>
        </is>
      </c>
    </row>
  </sheetData>
</worksheet>
</file>

<file path=xl/worksheets/sheet15.xml><?xml version="1.0" encoding="utf-8"?>
<worksheet xmlns="http://schemas.openxmlformats.org/spreadsheetml/2006/main"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397" t="inlineStr">
        <is>
          <t xml:space="preserve">DISEÑO DE VIGUETAS — Momentos por coeficientes NSR-10 C.8.3.3 (según tipo de apoyo)</t>
        </is>
      </c>
    </row>
    <row r="2">
      <c r="A2" s="0"/>
    </row>
    <row r="3">
      <c r="A3" s="0" t="inlineStr">
        <is>
          <t xml:space="preserve">Losa aligerada en una dirección. Nervio 0.15 x 0.34 m + loseta 0.06 m. Sep. 0.80 m. d=304 mm. As_min=152 mm². 2 Nº4 = 258 mm².</t>
        </is>
      </c>
    </row>
    <row r="4">
      <c r="A4" s="0"/>
    </row>
    <row r="5">
      <c r="A5" s="396" t="inlineStr">
        <is>
          <t xml:space="preserve">Código de apoyo</t>
        </is>
      </c>
      <c r="B5" s="396" t="inlineStr">
        <is>
          <t xml:space="preserve">Condición</t>
        </is>
      </c>
      <c r="C5" s="396" t="inlineStr">
        <is>
          <t xml:space="preserve">M+ (positivo)</t>
        </is>
      </c>
      <c r="D5" s="396" t="inlineStr">
        <is>
          <t xml:space="preserve">M- (negativo)</t>
        </is>
      </c>
    </row>
    <row r="6">
      <c r="A6" s="0" t="inlineStr">
        <is>
          <t xml:space="preserve">1EC</t>
        </is>
      </c>
      <c r="B6" s="0" t="inlineStr">
        <is>
          <t xml:space="preserve">Vano extremo (un extremo continuo)</t>
        </is>
      </c>
      <c r="C6" s="0" t="inlineStr">
        <is>
          <t xml:space="preserve">wu·ln²/14</t>
        </is>
      </c>
      <c r="D6" s="0" t="inlineStr">
        <is>
          <t xml:space="preserve">1er apoyo interior: wu·ln²/10</t>
        </is>
      </c>
    </row>
    <row r="7">
      <c r="A7" s="0" t="inlineStr">
        <is>
          <t xml:space="preserve">2EC</t>
        </is>
      </c>
      <c r="B7" s="0" t="inlineStr">
        <is>
          <t xml:space="preserve">Vano interior (dos extremos continuos)</t>
        </is>
      </c>
      <c r="C7" s="0" t="inlineStr">
        <is>
          <t xml:space="preserve">wu·ln²/16</t>
        </is>
      </c>
      <c r="D7" s="0" t="inlineStr">
        <is>
          <t xml:space="preserve">en apoyos: wu·ln²/11</t>
        </is>
      </c>
    </row>
    <row r="8">
      <c r="A8" s="0" t="inlineStr">
        <is>
          <t xml:space="preserve">(ext.)</t>
        </is>
      </c>
      <c r="B8" s="0" t="inlineStr">
        <is>
          <t xml:space="preserve">Apoyo exterior monolítico con viga</t>
        </is>
      </c>
      <c r="C8" s="0" t="inlineStr">
        <is>
          <t xml:space="preserve">—</t>
        </is>
      </c>
      <c r="D8" s="0" t="inlineStr">
        <is>
          <t xml:space="preserve">wu·ln²/24</t>
        </is>
      </c>
    </row>
    <row r="9">
      <c r="A9" s="0" t="inlineStr">
        <is>
          <t xml:space="preserve">V</t>
        </is>
      </c>
      <c r="B9" s="0" t="inlineStr">
        <is>
          <t xml:space="preserve">Voladizo</t>
        </is>
      </c>
      <c r="C9" s="0" t="inlineStr">
        <is>
          <t xml:space="preserve">—</t>
        </is>
      </c>
      <c r="D9" s="0" t="inlineStr">
        <is>
          <t xml:space="preserve">wu·L²/2</t>
        </is>
      </c>
    </row>
    <row r="10">
      <c r="A10" s="0"/>
    </row>
    <row r="11">
      <c r="A11" s="0" t="inlineStr">
        <is>
          <t xml:space="preserve">Verificación de los casos gobernantes (wu entrepiso=9.06 kN/m; cubierta terraza=10.6 kN/m):</t>
        </is>
      </c>
    </row>
    <row r="12">
      <c r="A12" s="396" t="inlineStr">
        <is>
          <t xml:space="preserve">Caso gobernante</t>
        </is>
      </c>
      <c r="B12" s="396" t="inlineStr">
        <is>
          <t xml:space="preserve">ln (m)</t>
        </is>
      </c>
      <c r="C12" s="396" t="inlineStr">
        <is>
          <t xml:space="preserve">wu (kN/m)</t>
        </is>
      </c>
      <c r="D12" s="396" t="inlineStr">
        <is>
          <t xml:space="preserve">M- (kN·m)</t>
        </is>
      </c>
      <c r="E12" s="396" t="inlineStr">
        <is>
          <t xml:space="preserve">M+ (kN·m)</t>
        </is>
      </c>
      <c r="F12" s="396" t="inlineStr">
        <is>
          <t xml:space="preserve">As req (mm²)</t>
        </is>
      </c>
      <c r="G12" s="396" t="inlineStr">
        <is>
          <t xml:space="preserve">Refuerzo</t>
        </is>
      </c>
    </row>
    <row r="13">
      <c r="A13" s="0" t="inlineStr">
        <is>
          <t xml:space="preserve">Entrepiso, vano extremo 1EC</t>
        </is>
      </c>
      <c r="B13" s="0">
        <v>4.75</v>
      </c>
      <c r="C13" s="0">
        <v>9.06</v>
      </c>
      <c r="D13" s="0">
        <v>20.4</v>
      </c>
      <c r="E13" s="0">
        <v>14.6</v>
      </c>
      <c r="F13" s="0">
        <v>185</v>
      </c>
      <c r="G13" s="0" t="inlineStr">
        <is>
          <t xml:space="preserve">2 Nº4</t>
        </is>
      </c>
    </row>
    <row r="14">
      <c r="A14" s="0" t="inlineStr">
        <is>
          <t xml:space="preserve">Cubierta, vano 1EC (terraza L=5)</t>
        </is>
      </c>
      <c r="B14" s="0">
        <v>4.75</v>
      </c>
      <c r="C14" s="0">
        <v>10.6</v>
      </c>
      <c r="D14" s="0">
        <v>23.9</v>
      </c>
      <c r="E14" s="0">
        <v>17.1</v>
      </c>
      <c r="F14" s="0">
        <v>217</v>
      </c>
      <c r="G14" s="0" t="inlineStr">
        <is>
          <t xml:space="preserve">2 Nº4</t>
        </is>
      </c>
    </row>
    <row r="15">
      <c r="A15" s="0" t="inlineStr">
        <is>
          <t xml:space="preserve">Voladizo V 1.5 m</t>
        </is>
      </c>
      <c r="B15" s="0">
        <v>1.27</v>
      </c>
      <c r="C15" s="0">
        <v>9.06</v>
      </c>
      <c r="D15" s="0">
        <v>10.2</v>
      </c>
      <c r="E15" s="0" t="inlineStr">
        <is>
          <t xml:space="preserve">—</t>
        </is>
      </c>
      <c r="F15" s="0">
        <v>152</v>
      </c>
      <c r="G15" s="0" t="inlineStr">
        <is>
          <t xml:space="preserve">2 Nº4</t>
        </is>
      </c>
    </row>
    <row r="16">
      <c r="A16" s="0"/>
    </row>
    <row r="17">
      <c r="A17" s="397" t="inlineStr">
        <is>
          <t xml:space="preserve">CONCLUSIÓN: aun con el coeficiente más exigente de cada apoyo, As req (máx 217 mm²) &lt; 2 Nº4 (258) → gobierna acero mínimo.</t>
        </is>
      </c>
    </row>
    <row r="18">
      <c r="A18" s="0" t="inlineStr">
        <is>
          <t xml:space="preserve">Cortante: Vu,máx = 29.3 kN &lt; φ·(1.1·Vc) → no se requieren estribos (C.8.3.3 permite incrementar Vc 10% en viguetas).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57c39d-2cd1-4bbc-adb5-99c106770e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F96FF611D84E4E9999ED5C7C9C09F7" ma:contentTypeVersion="8" ma:contentTypeDescription="Crear nuevo documento." ma:contentTypeScope="" ma:versionID="c479fb62bcbdd1dd1b7d3e693c40466a">
  <xsd:schema xmlns:xsd="http://www.w3.org/2001/XMLSchema" xmlns:xs="http://www.w3.org/2001/XMLSchema" xmlns:p="http://schemas.microsoft.com/office/2006/metadata/properties" xmlns:ns3="7757c39d-2cd1-4bbc-adb5-99c106770ece" xmlns:ns4="b2cc5507-542f-4d51-baf8-bd02d55fa173" targetNamespace="http://schemas.microsoft.com/office/2006/metadata/properties" ma:root="true" ma:fieldsID="1ec94729fdca41ecf29a173ab5091749" ns3:_="" ns4:_="">
    <xsd:import namespace="7757c39d-2cd1-4bbc-adb5-99c106770ece"/>
    <xsd:import namespace="b2cc5507-542f-4d51-baf8-bd02d55fa1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57c39d-2cd1-4bbc-adb5-99c106770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c5507-542f-4d51-baf8-bd02d55fa1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E0CCF2-FCB0-467D-8ADD-9A7F579A5A34}"/>
</file>

<file path=customXml/itemProps2.xml><?xml version="1.0" encoding="utf-8"?>
<ds:datastoreItem xmlns:ds="http://schemas.openxmlformats.org/officeDocument/2006/customXml" ds:itemID="{0C1B3B08-41F2-499B-AA21-F6351667C278}"/>
</file>

<file path=customXml/itemProps3.xml><?xml version="1.0" encoding="utf-8"?>
<ds:datastoreItem xmlns:ds="http://schemas.openxmlformats.org/officeDocument/2006/customXml" ds:itemID="{2248CA8F-61C7-4B5D-9817-E3FC5A17EE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crisrian bautista</dc:creator>
  <cp:keywords/>
  <dc:description/>
  <cp:lastModifiedBy/>
  <cp:revision/>
  <dcterms:created xsi:type="dcterms:W3CDTF">2026-03-03T14:48:37Z</dcterms:created>
  <dcterms:modified xsi:type="dcterms:W3CDTF">2026-06-19T00:52:42Z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0x01010052F96FF611D84E4E9999ED5C7C9C09F7</vt:lpwstr>
  </property>
</Properties>
</file>