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I:\Unidades compartidas\Inverconstruccion\San Miguel (Caldas) (Inverconstrucción)\RECURSOS HUMANOS\KPI´S\"/>
    </mc:Choice>
  </mc:AlternateContent>
  <xr:revisionPtr revIDLastSave="0" documentId="13_ncr:1_{D0FC8F62-8A6A-4E06-ABE5-E05A2412F688}" xr6:coauthVersionLast="47" xr6:coauthVersionMax="47" xr10:uidLastSave="{00000000-0000-0000-0000-000000000000}"/>
  <bookViews>
    <workbookView xWindow="-28920" yWindow="-120" windowWidth="29040" windowHeight="15720" firstSheet="4" activeTab="8" xr2:uid="{2FA2B17B-18E6-4E42-AC1D-DE409D425E2C}"/>
  </bookViews>
  <sheets>
    <sheet name="Tablero Oct" sheetId="6" state="hidden" r:id="rId1"/>
    <sheet name="Tablero Nov" sheetId="12" state="hidden" r:id="rId2"/>
    <sheet name="Tablero Dic25-Ene26" sheetId="13" state="hidden" r:id="rId3"/>
    <sheet name="Tablero Feb26" sheetId="14" state="hidden" r:id="rId4"/>
    <sheet name="Tablero Mar-26" sheetId="16" r:id="rId5"/>
    <sheet name="KPI´s Sara" sheetId="8" r:id="rId6"/>
    <sheet name="KPI´s Sara Ago-Sept" sheetId="1" state="hidden" r:id="rId7"/>
    <sheet name="KPI´s Ingrid" sheetId="4" r:id="rId8"/>
    <sheet name="KPI´s Natalia" sheetId="11" r:id="rId9"/>
    <sheet name="KPI´s Paola" sheetId="15" r:id="rId10"/>
    <sheet name="KPI´s Alzurak" sheetId="10" state="hidden" r:id="rId11"/>
  </sheets>
  <calcPr calcId="191029"/>
  <pivotCaches>
    <pivotCache cacheId="24" r:id="rId12"/>
    <pivotCache cacheId="25" r:id="rId13"/>
    <pivotCache cacheId="26" r:id="rId14"/>
    <pivotCache cacheId="27" r:id="rId15"/>
    <pivotCache cacheId="28" r:id="rId16"/>
    <pivotCache cacheId="29" r:id="rId17"/>
    <pivotCache cacheId="30" r:id="rId18"/>
    <pivotCache cacheId="31" r:id="rId19"/>
    <pivotCache cacheId="32" r:id="rId20"/>
    <pivotCache cacheId="33" r:id="rId21"/>
    <pivotCache cacheId="34"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5" l="1"/>
  <c r="S11" i="15"/>
  <c r="V11" i="15"/>
  <c r="BI32" i="4"/>
  <c r="BH32" i="4"/>
  <c r="BI29" i="4"/>
  <c r="BH29" i="4"/>
  <c r="BI15" i="4"/>
  <c r="BI16" i="4"/>
  <c r="BI17" i="4"/>
  <c r="BI18" i="4"/>
  <c r="BI19" i="4"/>
  <c r="BI20" i="4"/>
  <c r="BI14" i="4"/>
  <c r="BJ13" i="4" s="1"/>
  <c r="BI12" i="4"/>
  <c r="BG12" i="4"/>
  <c r="BG9" i="4"/>
  <c r="BI9" i="4" s="1"/>
  <c r="BG7" i="4"/>
  <c r="BG5" i="4"/>
  <c r="BI3" i="4"/>
  <c r="BG22" i="4" s="1"/>
  <c r="BG3" i="4"/>
  <c r="BG11" i="4" s="1"/>
  <c r="BL27" i="4"/>
  <c r="BN27" i="4" s="1"/>
  <c r="BO27" i="4" s="1"/>
  <c r="BL26" i="4"/>
  <c r="BN25" i="4" s="1"/>
  <c r="BO25" i="4" s="1"/>
  <c r="BJ24" i="4"/>
  <c r="BJ23" i="4"/>
  <c r="BI11" i="4"/>
  <c r="BJ11" i="11"/>
  <c r="BJ10" i="11"/>
  <c r="BI8" i="11"/>
  <c r="BI6" i="11"/>
  <c r="BI4" i="11"/>
  <c r="T29" i="15"/>
  <c r="T32" i="15"/>
  <c r="U32" i="15"/>
  <c r="V12" i="15"/>
  <c r="U4" i="15"/>
  <c r="S21" i="15"/>
  <c r="U13" i="15"/>
  <c r="U14" i="15"/>
  <c r="U15" i="15"/>
  <c r="U16" i="15"/>
  <c r="U17" i="15"/>
  <c r="U18" i="15"/>
  <c r="U19" i="15"/>
  <c r="U20" i="15"/>
  <c r="U11" i="15"/>
  <c r="S8" i="15"/>
  <c r="S6" i="15"/>
  <c r="S4" i="15"/>
  <c r="U3" i="15"/>
  <c r="S22" i="15" s="1"/>
  <c r="S3" i="15"/>
  <c r="X27" i="15"/>
  <c r="Z27" i="15" s="1"/>
  <c r="AA27" i="15" s="1"/>
  <c r="AA25" i="15"/>
  <c r="V21" i="15"/>
  <c r="X11" i="15"/>
  <c r="U8" i="15"/>
  <c r="V8" i="15" s="1"/>
  <c r="V4" i="15"/>
  <c r="BI29" i="11"/>
  <c r="BH29" i="11"/>
  <c r="BI28" i="11"/>
  <c r="BG21" i="11"/>
  <c r="BJ21" i="11" s="1"/>
  <c r="BL21" i="11" s="1"/>
  <c r="BI14" i="11"/>
  <c r="BI15" i="11"/>
  <c r="BI16" i="11"/>
  <c r="BI17" i="11"/>
  <c r="BI13" i="11"/>
  <c r="BJ12" i="11" s="1"/>
  <c r="BG11" i="11"/>
  <c r="BI11" i="11"/>
  <c r="BG8" i="11"/>
  <c r="BG6" i="11"/>
  <c r="BG4" i="11"/>
  <c r="BJ4" i="11" s="1"/>
  <c r="BI3" i="11"/>
  <c r="BG3" i="11"/>
  <c r="BL26" i="11"/>
  <c r="BN26" i="11" s="1"/>
  <c r="BO26" i="11" s="1"/>
  <c r="BL25" i="11"/>
  <c r="BN24" i="11"/>
  <c r="BO24" i="11" s="1"/>
  <c r="BJ20" i="11"/>
  <c r="BI10" i="11"/>
  <c r="BJ6" i="11"/>
  <c r="BL4" i="11"/>
  <c r="BJ3" i="11"/>
  <c r="BG10" i="11"/>
  <c r="B45" i="15"/>
  <c r="B102" i="11"/>
  <c r="B82" i="4"/>
  <c r="BE38" i="8"/>
  <c r="BG99" i="8"/>
  <c r="BE99" i="8"/>
  <c r="BH64" i="8"/>
  <c r="BG64" i="8"/>
  <c r="BE64" i="8"/>
  <c r="BC64" i="8"/>
  <c r="BA4" i="11"/>
  <c r="BI5" i="4" l="1"/>
  <c r="BJ22" i="4"/>
  <c r="BL22" i="4"/>
  <c r="BJ12" i="4"/>
  <c r="BI7" i="4"/>
  <c r="BJ7" i="4" s="1"/>
  <c r="BJ5" i="4"/>
  <c r="BJ3" i="4"/>
  <c r="BL3" i="4" s="1"/>
  <c r="BG21" i="4"/>
  <c r="BJ21" i="4" s="1"/>
  <c r="BL21" i="4" s="1"/>
  <c r="BJ9" i="4"/>
  <c r="BJ11" i="4"/>
  <c r="BL11" i="4" s="1"/>
  <c r="U6" i="15"/>
  <c r="V6" i="15" s="1"/>
  <c r="V3" i="15"/>
  <c r="X3" i="15" s="1"/>
  <c r="AA3" i="15" s="1"/>
  <c r="AA34" i="15" s="1"/>
  <c r="V22" i="15"/>
  <c r="S10" i="15"/>
  <c r="U10" i="15"/>
  <c r="V10" i="15" s="1"/>
  <c r="BL11" i="11"/>
  <c r="BJ8" i="11"/>
  <c r="BL10" i="11"/>
  <c r="BN3" i="11" s="1"/>
  <c r="BO3" i="11" s="1"/>
  <c r="BO33" i="11" s="1"/>
  <c r="BC10" i="8"/>
  <c r="BC8" i="8"/>
  <c r="BE4" i="8"/>
  <c r="K12" i="15"/>
  <c r="J11" i="15"/>
  <c r="H11" i="15"/>
  <c r="H8" i="15"/>
  <c r="H6" i="15"/>
  <c r="H4" i="15"/>
  <c r="H3" i="15"/>
  <c r="AY21" i="11"/>
  <c r="BA21" i="11" s="1"/>
  <c r="AV21" i="11"/>
  <c r="AV20" i="11"/>
  <c r="AY12" i="11"/>
  <c r="AX11" i="11"/>
  <c r="AV11" i="11"/>
  <c r="AV8" i="11"/>
  <c r="AX8" i="11" s="1"/>
  <c r="AY8" i="11" s="1"/>
  <c r="AV6" i="11"/>
  <c r="AX6" i="11" s="1"/>
  <c r="AY6" i="11" s="1"/>
  <c r="AV4" i="11"/>
  <c r="AX4" i="11" s="1"/>
  <c r="AY4" i="11" s="1"/>
  <c r="AX3" i="11"/>
  <c r="AV3" i="11"/>
  <c r="AV10" i="11" s="1"/>
  <c r="BA26" i="11"/>
  <c r="BC26" i="11" s="1"/>
  <c r="BD26" i="11" s="1"/>
  <c r="BA25" i="11"/>
  <c r="BC24" i="11" s="1"/>
  <c r="BD24" i="11" s="1"/>
  <c r="AY20" i="11"/>
  <c r="AY11" i="11"/>
  <c r="BA11" i="11" s="1"/>
  <c r="AX10" i="11"/>
  <c r="AY3" i="11"/>
  <c r="AY24" i="4"/>
  <c r="AY23" i="4"/>
  <c r="AV22" i="4"/>
  <c r="AY22" i="4" s="1"/>
  <c r="BA22" i="4" s="1"/>
  <c r="AY13" i="4"/>
  <c r="AX12" i="4"/>
  <c r="AV12" i="4"/>
  <c r="AV9" i="4"/>
  <c r="AV7" i="4"/>
  <c r="AV5" i="4"/>
  <c r="AV3" i="4"/>
  <c r="AV11" i="4" s="1"/>
  <c r="BA27" i="4"/>
  <c r="BC27" i="4" s="1"/>
  <c r="BA26" i="4"/>
  <c r="BC25" i="4" s="1"/>
  <c r="BD25" i="4" s="1"/>
  <c r="AX21" i="4"/>
  <c r="AX11" i="4"/>
  <c r="AV21" i="4"/>
  <c r="AY21" i="4" s="1"/>
  <c r="BA21" i="4" s="1"/>
  <c r="F115" i="16"/>
  <c r="F117" i="16" s="1"/>
  <c r="J112" i="16"/>
  <c r="F101" i="16"/>
  <c r="F103" i="16" s="1"/>
  <c r="J98" i="16"/>
  <c r="F87" i="16"/>
  <c r="F89" i="16" s="1"/>
  <c r="J84" i="16"/>
  <c r="F73" i="16"/>
  <c r="F75" i="16" s="1"/>
  <c r="J70" i="16"/>
  <c r="AL5" i="16"/>
  <c r="AL4" i="16"/>
  <c r="AL3" i="16"/>
  <c r="AL2" i="16"/>
  <c r="M27" i="15"/>
  <c r="O27" i="15" s="1"/>
  <c r="P27" i="15" s="1"/>
  <c r="B40" i="15"/>
  <c r="J3" i="15" s="1"/>
  <c r="P25" i="15"/>
  <c r="H21" i="15"/>
  <c r="K21" i="15" s="1"/>
  <c r="M21" i="15" s="1"/>
  <c r="B97" i="11"/>
  <c r="B77" i="4"/>
  <c r="AX3" i="4" s="1"/>
  <c r="AY3" i="4" s="1"/>
  <c r="BB76" i="8"/>
  <c r="BB77" i="8"/>
  <c r="BB78" i="8"/>
  <c r="BB79" i="8"/>
  <c r="BB80" i="8"/>
  <c r="BB81" i="8"/>
  <c r="BB82" i="8"/>
  <c r="BB83" i="8"/>
  <c r="BB84" i="8"/>
  <c r="BB85" i="8"/>
  <c r="BB86" i="8"/>
  <c r="BB87" i="8"/>
  <c r="BB88" i="8"/>
  <c r="BA57" i="8"/>
  <c r="AZ57" i="8"/>
  <c r="BB17" i="8"/>
  <c r="AZ16" i="8"/>
  <c r="BB15" i="8"/>
  <c r="BC15" i="8" s="1"/>
  <c r="AZ15" i="8"/>
  <c r="BB12" i="8"/>
  <c r="BC12" i="8" s="1"/>
  <c r="BB9" i="8"/>
  <c r="BC9" i="8" s="1"/>
  <c r="AZ9" i="8"/>
  <c r="BB8" i="8"/>
  <c r="AZ11" i="8" s="1"/>
  <c r="BB11" i="8" s="1"/>
  <c r="BC11" i="8" s="1"/>
  <c r="AZ8" i="8"/>
  <c r="AY12" i="4" l="1"/>
  <c r="AX9" i="4"/>
  <c r="AX7" i="4"/>
  <c r="AY7" i="4" s="1"/>
  <c r="AX5" i="4"/>
  <c r="AY5" i="4" s="1"/>
  <c r="AY11" i="4"/>
  <c r="BA11" i="4" s="1"/>
  <c r="BN3" i="4"/>
  <c r="BO3" i="4" s="1"/>
  <c r="BO35" i="4" s="1"/>
  <c r="K11" i="15"/>
  <c r="J4" i="15"/>
  <c r="BD27" i="4"/>
  <c r="M11" i="15"/>
  <c r="AY10" i="11"/>
  <c r="BA10" i="11" s="1"/>
  <c r="BC3" i="11" s="1"/>
  <c r="BD3" i="11" s="1"/>
  <c r="BD33" i="11" s="1"/>
  <c r="BA3" i="4"/>
  <c r="AY9" i="4"/>
  <c r="K4" i="15"/>
  <c r="M4" i="15" s="1"/>
  <c r="J10" i="15"/>
  <c r="J6" i="15"/>
  <c r="K6" i="15" s="1"/>
  <c r="J8" i="15"/>
  <c r="K8" i="15" s="1"/>
  <c r="H22" i="15"/>
  <c r="K22" i="15" s="1"/>
  <c r="K3" i="15"/>
  <c r="M3" i="15" s="1"/>
  <c r="O3" i="15" s="1"/>
  <c r="P3" i="15" s="1"/>
  <c r="P34" i="15" s="1"/>
  <c r="H10" i="15"/>
  <c r="BC3" i="4" l="1"/>
  <c r="BD3" i="4" s="1"/>
  <c r="K10" i="15"/>
  <c r="BD35" i="4"/>
  <c r="BC100" i="8"/>
  <c r="BD99" i="8"/>
  <c r="AZ98" i="8"/>
  <c r="BB98" i="8" s="1"/>
  <c r="AZ97" i="8"/>
  <c r="BB97" i="8" s="1"/>
  <c r="AZ96" i="8"/>
  <c r="BB96" i="8" s="1"/>
  <c r="BC95" i="8" s="1"/>
  <c r="BB75" i="8"/>
  <c r="BC74" i="8" s="1"/>
  <c r="BB63" i="8"/>
  <c r="BB62" i="8"/>
  <c r="BB61" i="8"/>
  <c r="BC60" i="8" s="1"/>
  <c r="BE60" i="8" s="1"/>
  <c r="BG53" i="8" s="1"/>
  <c r="BH53" i="8" s="1"/>
  <c r="BE59" i="8"/>
  <c r="BB56" i="8"/>
  <c r="BB55" i="8"/>
  <c r="BB54" i="8"/>
  <c r="BC50" i="8"/>
  <c r="BB48" i="8"/>
  <c r="BB49" i="8" s="1"/>
  <c r="BC38" i="8" s="1"/>
  <c r="BA48" i="8"/>
  <c r="BA49" i="8" s="1"/>
  <c r="AZ48" i="8"/>
  <c r="AZ49" i="8" s="1"/>
  <c r="BC17" i="8"/>
  <c r="AZ17" i="8"/>
  <c r="BC19" i="8" s="1"/>
  <c r="BB16" i="8"/>
  <c r="AZ14" i="8"/>
  <c r="BC14" i="8" s="1"/>
  <c r="BC7" i="8"/>
  <c r="BC6" i="8"/>
  <c r="BC5" i="8"/>
  <c r="BE5" i="8" s="1"/>
  <c r="BC4" i="8"/>
  <c r="BC3" i="8"/>
  <c r="F115" i="14"/>
  <c r="F117" i="14" s="1"/>
  <c r="J112" i="14"/>
  <c r="F101" i="14"/>
  <c r="F103" i="14" s="1"/>
  <c r="J98" i="14"/>
  <c r="F87" i="14"/>
  <c r="F89" i="14" s="1"/>
  <c r="J84" i="14"/>
  <c r="F73" i="14"/>
  <c r="F75" i="14" s="1"/>
  <c r="J70" i="14"/>
  <c r="AL5" i="14"/>
  <c r="AL4" i="14"/>
  <c r="AL3" i="14"/>
  <c r="AL2" i="14"/>
  <c r="AQ27" i="4"/>
  <c r="AQ25" i="11"/>
  <c r="AN21" i="4"/>
  <c r="AR49" i="8"/>
  <c r="AS38" i="8" s="1"/>
  <c r="AU38" i="8" s="1"/>
  <c r="AR48" i="8"/>
  <c r="AP49" i="8"/>
  <c r="AQ48" i="8"/>
  <c r="AQ49" i="8" s="1"/>
  <c r="AP48" i="8"/>
  <c r="AR70" i="8"/>
  <c r="AR69" i="8"/>
  <c r="AR68" i="8"/>
  <c r="AS64" i="8" s="1"/>
  <c r="BC53" i="8" l="1"/>
  <c r="BB57" i="8"/>
  <c r="BC16" i="8"/>
  <c r="BG3" i="8"/>
  <c r="BH3" i="8" s="1"/>
  <c r="BC99" i="8"/>
  <c r="AZ13" i="8"/>
  <c r="BB13" i="8" s="1"/>
  <c r="BC13" i="8" s="1"/>
  <c r="AU7" i="8"/>
  <c r="AS7" i="8"/>
  <c r="AS6" i="8"/>
  <c r="AS5" i="8"/>
  <c r="AU5" i="8" s="1"/>
  <c r="BH99" i="8" l="1"/>
  <c r="BH104" i="8" s="1"/>
  <c r="AO26" i="10"/>
  <c r="AN30" i="10"/>
  <c r="AS3" i="10"/>
  <c r="AQ23" i="10"/>
  <c r="AQ25" i="10"/>
  <c r="AQ21" i="10"/>
  <c r="AQ11" i="10"/>
  <c r="AQ10" i="10"/>
  <c r="AQ8" i="10"/>
  <c r="AQ4" i="10"/>
  <c r="AQ3" i="10"/>
  <c r="AQ26" i="10"/>
  <c r="AS26" i="10" s="1"/>
  <c r="AT26" i="10" s="1"/>
  <c r="AN11" i="10"/>
  <c r="AL11" i="10"/>
  <c r="AO10" i="10"/>
  <c r="AO21" i="10"/>
  <c r="AL21" i="10"/>
  <c r="AO20" i="10"/>
  <c r="AQ20" i="10" s="1"/>
  <c r="AO11" i="10"/>
  <c r="AN10" i="10"/>
  <c r="AL8" i="10"/>
  <c r="AN6" i="10"/>
  <c r="AL6" i="10"/>
  <c r="AO6" i="10" s="1"/>
  <c r="AN4" i="10"/>
  <c r="AL4" i="10"/>
  <c r="AO4" i="10" s="1"/>
  <c r="AN3" i="10"/>
  <c r="AL3" i="10"/>
  <c r="AS24" i="10"/>
  <c r="AT24" i="10" s="1"/>
  <c r="AL20" i="10"/>
  <c r="AN19" i="10"/>
  <c r="AN18" i="10"/>
  <c r="AN17" i="10"/>
  <c r="AN16" i="10"/>
  <c r="AN15" i="10"/>
  <c r="AN14" i="10"/>
  <c r="AN13" i="10"/>
  <c r="AO12" i="10" s="1"/>
  <c r="AL10" i="10"/>
  <c r="AL21" i="11"/>
  <c r="AO21" i="11" s="1"/>
  <c r="AQ21" i="11" s="1"/>
  <c r="AN13" i="11"/>
  <c r="AO12" i="11" s="1"/>
  <c r="AN11" i="11"/>
  <c r="AL11" i="11"/>
  <c r="AN10" i="11"/>
  <c r="AL8" i="11"/>
  <c r="AL6" i="11"/>
  <c r="AN6" i="11" s="1"/>
  <c r="AO6" i="11" s="1"/>
  <c r="AL4" i="11"/>
  <c r="AN3" i="11"/>
  <c r="AL3" i="11"/>
  <c r="AP44" i="11"/>
  <c r="AP43" i="11"/>
  <c r="AP45" i="11" s="1"/>
  <c r="AK36" i="11"/>
  <c r="AQ26" i="11"/>
  <c r="AS26" i="11" s="1"/>
  <c r="AT26" i="11" s="1"/>
  <c r="AS24" i="11"/>
  <c r="AT24" i="11" s="1"/>
  <c r="AO20" i="11"/>
  <c r="AQ20" i="11" s="1"/>
  <c r="AO11" i="11"/>
  <c r="AQ11" i="11" s="1"/>
  <c r="AN8" i="11"/>
  <c r="AO8" i="11" s="1"/>
  <c r="AL22" i="4"/>
  <c r="AO22" i="4" s="1"/>
  <c r="AQ22" i="4" s="1"/>
  <c r="AN16" i="4"/>
  <c r="AN17" i="4"/>
  <c r="AN18" i="4"/>
  <c r="AN14" i="4"/>
  <c r="AO13" i="4" s="1"/>
  <c r="AL12" i="4"/>
  <c r="AN12" i="4"/>
  <c r="AO12" i="4" s="1"/>
  <c r="AN11" i="4"/>
  <c r="AL9" i="4"/>
  <c r="AL7" i="4"/>
  <c r="AN7" i="4" s="1"/>
  <c r="AO7" i="4" s="1"/>
  <c r="AL5" i="4"/>
  <c r="AN5" i="4" s="1"/>
  <c r="AO5" i="4" s="1"/>
  <c r="AN3" i="4"/>
  <c r="AO3" i="4" s="1"/>
  <c r="AL3" i="4"/>
  <c r="AL11" i="4" s="1"/>
  <c r="AK38" i="4"/>
  <c r="AS27" i="4"/>
  <c r="AT27" i="4" s="1"/>
  <c r="AN27" i="4"/>
  <c r="AQ26" i="4"/>
  <c r="AS25" i="4" s="1"/>
  <c r="AT25" i="4" s="1"/>
  <c r="B67" i="10"/>
  <c r="B90" i="11"/>
  <c r="B70" i="4"/>
  <c r="AR79" i="8"/>
  <c r="AR16" i="8"/>
  <c r="AP16" i="8"/>
  <c r="AR15" i="8"/>
  <c r="AP9" i="8"/>
  <c r="AR8" i="8"/>
  <c r="AP119" i="8"/>
  <c r="AS100" i="8"/>
  <c r="AT99" i="8"/>
  <c r="AP98" i="8"/>
  <c r="AR98" i="8" s="1"/>
  <c r="AP97" i="8"/>
  <c r="AR97" i="8" s="1"/>
  <c r="AP96" i="8"/>
  <c r="AR96" i="8" s="1"/>
  <c r="AR78" i="8"/>
  <c r="AR77" i="8"/>
  <c r="AR76" i="8"/>
  <c r="AR75" i="8"/>
  <c r="AS99" i="8"/>
  <c r="AU99" i="8" s="1"/>
  <c r="AR63" i="8"/>
  <c r="AR62" i="8"/>
  <c r="AR61" i="8"/>
  <c r="AU59" i="8"/>
  <c r="AQ57" i="8"/>
  <c r="AP57" i="8"/>
  <c r="AR56" i="8"/>
  <c r="AR55" i="8"/>
  <c r="AR54" i="8"/>
  <c r="AS53" i="8" s="1"/>
  <c r="AS50" i="8"/>
  <c r="AP17" i="8"/>
  <c r="AP15" i="8"/>
  <c r="AS12" i="8"/>
  <c r="AS10" i="8"/>
  <c r="AS4" i="8"/>
  <c r="AS3" i="8"/>
  <c r="AU3" i="8" s="1"/>
  <c r="F115" i="13"/>
  <c r="F117" i="13" s="1"/>
  <c r="J112" i="13"/>
  <c r="F101" i="13"/>
  <c r="F103" i="13" s="1"/>
  <c r="J98" i="13"/>
  <c r="F87" i="13"/>
  <c r="F89" i="13" s="1"/>
  <c r="J84" i="13"/>
  <c r="F73" i="13"/>
  <c r="F75" i="13" s="1"/>
  <c r="J70" i="13"/>
  <c r="AL5" i="13"/>
  <c r="AL4" i="13"/>
  <c r="AL3" i="13"/>
  <c r="AL2" i="13"/>
  <c r="AG25" i="11"/>
  <c r="AD21" i="11"/>
  <c r="AD14" i="11"/>
  <c r="AD15" i="11"/>
  <c r="AD16" i="11"/>
  <c r="AD17" i="11"/>
  <c r="AD18" i="11"/>
  <c r="AD19" i="11"/>
  <c r="AD13" i="11"/>
  <c r="AE12" i="11" s="1"/>
  <c r="AJ3" i="10"/>
  <c r="AG21" i="10"/>
  <c r="AG26" i="10"/>
  <c r="AD22" i="4"/>
  <c r="AD21" i="10"/>
  <c r="AG20" i="10"/>
  <c r="AE12" i="10"/>
  <c r="AD14" i="10"/>
  <c r="AD15" i="10"/>
  <c r="AD16" i="10"/>
  <c r="AD17" i="10"/>
  <c r="AD18" i="10"/>
  <c r="AD19" i="10"/>
  <c r="AD13" i="10"/>
  <c r="AB4" i="10"/>
  <c r="AB3" i="10"/>
  <c r="AB4" i="11"/>
  <c r="AB3" i="11"/>
  <c r="AG27" i="4"/>
  <c r="AI27" i="4" s="1"/>
  <c r="AJ27" i="4" s="1"/>
  <c r="AG26" i="4"/>
  <c r="AI25" i="4" s="1"/>
  <c r="AJ25" i="4" s="1"/>
  <c r="AD29" i="4"/>
  <c r="AD27" i="4"/>
  <c r="AN9" i="4" l="1"/>
  <c r="AO9" i="4" s="1"/>
  <c r="AL21" i="4"/>
  <c r="AO21" i="4" s="1"/>
  <c r="AQ21" i="4" s="1"/>
  <c r="AS74" i="8"/>
  <c r="AP13" i="8"/>
  <c r="AS8" i="8"/>
  <c r="AW99" i="8"/>
  <c r="AX99" i="8" s="1"/>
  <c r="AS19" i="8"/>
  <c r="AS17" i="8"/>
  <c r="AS60" i="8"/>
  <c r="AN8" i="10"/>
  <c r="AO8" i="10" s="1"/>
  <c r="AO3" i="10"/>
  <c r="AN4" i="11"/>
  <c r="AO4" i="11" s="1"/>
  <c r="AL10" i="11"/>
  <c r="AO10" i="11" s="1"/>
  <c r="AQ10" i="11" s="1"/>
  <c r="AS3" i="11" s="1"/>
  <c r="AT3" i="11" s="1"/>
  <c r="AT33" i="11" s="1"/>
  <c r="AO3" i="11"/>
  <c r="AQ3" i="4"/>
  <c r="AO11" i="4"/>
  <c r="AQ11" i="4" s="1"/>
  <c r="AS95" i="8"/>
  <c r="AU95" i="8" s="1"/>
  <c r="AR57" i="8"/>
  <c r="AU53" i="8"/>
  <c r="AW53" i="8" s="1"/>
  <c r="AX53" i="8" s="1"/>
  <c r="AR9" i="8"/>
  <c r="AS9" i="8" s="1"/>
  <c r="AP11" i="8"/>
  <c r="AR11" i="8" s="1"/>
  <c r="AS11" i="8" s="1"/>
  <c r="AW3" i="8"/>
  <c r="AX3" i="8" s="1"/>
  <c r="AS15" i="8"/>
  <c r="AS16" i="8"/>
  <c r="AU64" i="8"/>
  <c r="AR13" i="8"/>
  <c r="AS13" i="8" s="1"/>
  <c r="AP14" i="8"/>
  <c r="AS14" i="8" s="1"/>
  <c r="AW64" i="8" l="1"/>
  <c r="AX64" i="8" s="1"/>
  <c r="AX104" i="8" s="1"/>
  <c r="AT3" i="10"/>
  <c r="AT33" i="10" s="1"/>
  <c r="AS3" i="4"/>
  <c r="AT3" i="4" s="1"/>
  <c r="AT35" i="4" s="1"/>
  <c r="AB22" i="4"/>
  <c r="AE22" i="4" s="1"/>
  <c r="AG22" i="4" s="1"/>
  <c r="AD21" i="4"/>
  <c r="AD16" i="4"/>
  <c r="AD17" i="4"/>
  <c r="AD18" i="4"/>
  <c r="AD19" i="4"/>
  <c r="AD20" i="4"/>
  <c r="AD14" i="4"/>
  <c r="AE13" i="4" s="1"/>
  <c r="AD12" i="4"/>
  <c r="AI8" i="8"/>
  <c r="AI5" i="8" l="1"/>
  <c r="AK5" i="8" s="1"/>
  <c r="AI4" i="8"/>
  <c r="AK4" i="8" s="1"/>
  <c r="AH48" i="8"/>
  <c r="AH49" i="8" s="1"/>
  <c r="AI19" i="8"/>
  <c r="U10" i="8"/>
  <c r="U8" i="8"/>
  <c r="AI3" i="8" l="1"/>
  <c r="AB21" i="10"/>
  <c r="AD20" i="10"/>
  <c r="AB20" i="10"/>
  <c r="AD11" i="10"/>
  <c r="AB11" i="10"/>
  <c r="AB10" i="10"/>
  <c r="AB8" i="10"/>
  <c r="AB6" i="10"/>
  <c r="AD6" i="10" s="1"/>
  <c r="AE6" i="10" s="1"/>
  <c r="AG6" i="10" s="1"/>
  <c r="B60" i="10"/>
  <c r="B53" i="10"/>
  <c r="AD3" i="10" s="1"/>
  <c r="AF43" i="10"/>
  <c r="AF42" i="10"/>
  <c r="AB31" i="10"/>
  <c r="AI26" i="10"/>
  <c r="AJ26" i="10" s="1"/>
  <c r="AJ33" i="10" s="1"/>
  <c r="AG25" i="10"/>
  <c r="AI24" i="10" s="1"/>
  <c r="AJ24" i="10" s="1"/>
  <c r="AB21" i="11"/>
  <c r="AD20" i="11"/>
  <c r="AB20" i="11"/>
  <c r="AD11" i="11"/>
  <c r="AB11" i="11"/>
  <c r="AB10" i="11"/>
  <c r="AB8" i="11"/>
  <c r="AB6" i="11"/>
  <c r="B83" i="11"/>
  <c r="B75" i="11"/>
  <c r="AD3" i="11" s="1"/>
  <c r="AB12" i="4"/>
  <c r="AB9" i="4"/>
  <c r="AB21" i="4" s="1"/>
  <c r="AE21" i="4" s="1"/>
  <c r="AG21" i="4" s="1"/>
  <c r="AB7" i="4"/>
  <c r="AD7" i="4" s="1"/>
  <c r="AE7" i="4" s="1"/>
  <c r="AB5" i="4"/>
  <c r="AB3" i="4"/>
  <c r="AF44" i="11"/>
  <c r="AF43" i="11"/>
  <c r="AA36" i="11"/>
  <c r="AG26" i="11"/>
  <c r="AI26" i="11" s="1"/>
  <c r="AJ26" i="11" s="1"/>
  <c r="AI24" i="11"/>
  <c r="AJ24" i="11" s="1"/>
  <c r="AE21" i="11"/>
  <c r="AG21" i="11" s="1"/>
  <c r="B63" i="4"/>
  <c r="AD3" i="4" s="1"/>
  <c r="AE3" i="4" s="1"/>
  <c r="AG3" i="4" s="1"/>
  <c r="AA38" i="4"/>
  <c r="AD11" i="4" l="1"/>
  <c r="AB11" i="4"/>
  <c r="AE11" i="11"/>
  <c r="AE3" i="11"/>
  <c r="AG3" i="11" s="1"/>
  <c r="AD4" i="11"/>
  <c r="AE4" i="11" s="1"/>
  <c r="AF44" i="10"/>
  <c r="AE3" i="10"/>
  <c r="AD4" i="10"/>
  <c r="AE4" i="10" s="1"/>
  <c r="AG4" i="10" s="1"/>
  <c r="AD8" i="10"/>
  <c r="AE8" i="10" s="1"/>
  <c r="AG8" i="10" s="1"/>
  <c r="AE20" i="10"/>
  <c r="AG3" i="10"/>
  <c r="AD10" i="10"/>
  <c r="AE10" i="10" s="1"/>
  <c r="AG10" i="10" s="1"/>
  <c r="AE11" i="10"/>
  <c r="AG11" i="10" s="1"/>
  <c r="AE21" i="10"/>
  <c r="AF45" i="11"/>
  <c r="AD8" i="11"/>
  <c r="AE8" i="11" s="1"/>
  <c r="AE20" i="11"/>
  <c r="AG20" i="11" s="1"/>
  <c r="AD6" i="11"/>
  <c r="AE6" i="11" s="1"/>
  <c r="AG11" i="11"/>
  <c r="AD9" i="4"/>
  <c r="AE9" i="4" s="1"/>
  <c r="AD5" i="4"/>
  <c r="AE5" i="4" s="1"/>
  <c r="AE11" i="4"/>
  <c r="AG11" i="4" s="1"/>
  <c r="AE12" i="4"/>
  <c r="AG12" i="4" s="1"/>
  <c r="AH76" i="8"/>
  <c r="AH77" i="8"/>
  <c r="AH78" i="8"/>
  <c r="AH75" i="8"/>
  <c r="AD87" i="8"/>
  <c r="AD88" i="8"/>
  <c r="AD89" i="8"/>
  <c r="AD75" i="8"/>
  <c r="AD86" i="8"/>
  <c r="AD85" i="8"/>
  <c r="AD84" i="8"/>
  <c r="AD83" i="8"/>
  <c r="AD82" i="8"/>
  <c r="AD81" i="8"/>
  <c r="AD80" i="8"/>
  <c r="AD79" i="8"/>
  <c r="AD78" i="8"/>
  <c r="AD77" i="8"/>
  <c r="AD76" i="8"/>
  <c r="AG48" i="8"/>
  <c r="AG49" i="8" s="1"/>
  <c r="AF48" i="8"/>
  <c r="AF49" i="8" s="1"/>
  <c r="AC48" i="8"/>
  <c r="AC49" i="8" s="1"/>
  <c r="AB48" i="8"/>
  <c r="AB49" i="8" s="1"/>
  <c r="AD15" i="8"/>
  <c r="AB15" i="8"/>
  <c r="AB14" i="8"/>
  <c r="AB13" i="8"/>
  <c r="AD13" i="8" s="1"/>
  <c r="AB12" i="8"/>
  <c r="AB11" i="8"/>
  <c r="AD11" i="8" s="1"/>
  <c r="AF9" i="8"/>
  <c r="AH9" i="8" s="1"/>
  <c r="AB9" i="8"/>
  <c r="AD9" i="8" s="1"/>
  <c r="AB6" i="8"/>
  <c r="AI6" i="8" s="1"/>
  <c r="AF98" i="8"/>
  <c r="AH98" i="8" s="1"/>
  <c r="AF97" i="8"/>
  <c r="AH97" i="8" s="1"/>
  <c r="AF96" i="8"/>
  <c r="AH96" i="8" s="1"/>
  <c r="AH70" i="8"/>
  <c r="AH69" i="8"/>
  <c r="AH68" i="8"/>
  <c r="AH63" i="8"/>
  <c r="AH62" i="8"/>
  <c r="AH61" i="8"/>
  <c r="AG57" i="8"/>
  <c r="AF57" i="8"/>
  <c r="AH56" i="8"/>
  <c r="AH55" i="8"/>
  <c r="AH54" i="8"/>
  <c r="AF17" i="8"/>
  <c r="AH16" i="8"/>
  <c r="AF16" i="8"/>
  <c r="AH15" i="8"/>
  <c r="AF15" i="8"/>
  <c r="AF14" i="8"/>
  <c r="AF13" i="8"/>
  <c r="AH13" i="8" s="1"/>
  <c r="AF11" i="8"/>
  <c r="AH11" i="8" s="1"/>
  <c r="AB119" i="8"/>
  <c r="AI100" i="8"/>
  <c r="AB98" i="8"/>
  <c r="AD98" i="8" s="1"/>
  <c r="AB97" i="8"/>
  <c r="AD97" i="8" s="1"/>
  <c r="AB96" i="8"/>
  <c r="AD96" i="8" s="1"/>
  <c r="AD70" i="8"/>
  <c r="AD69" i="8"/>
  <c r="AD68" i="8"/>
  <c r="AD63" i="8"/>
  <c r="AD62" i="8"/>
  <c r="AD61" i="8"/>
  <c r="AK59" i="8"/>
  <c r="AC57" i="8"/>
  <c r="AB57" i="8"/>
  <c r="AD56" i="8"/>
  <c r="AD55" i="8"/>
  <c r="AD54" i="8"/>
  <c r="AI50" i="8"/>
  <c r="AD48" i="8"/>
  <c r="AD49" i="8" s="1"/>
  <c r="AI38" i="8" s="1"/>
  <c r="AK38" i="8" s="1"/>
  <c r="AB17" i="8"/>
  <c r="AD16" i="8"/>
  <c r="AB16" i="8"/>
  <c r="AK3" i="8"/>
  <c r="AI3" i="4" l="1"/>
  <c r="AJ3" i="4" s="1"/>
  <c r="AJ35" i="4" s="1"/>
  <c r="AI14" i="8"/>
  <c r="AH57" i="8"/>
  <c r="AI9" i="8"/>
  <c r="AI16" i="8"/>
  <c r="AK16" i="8" s="1"/>
  <c r="AI12" i="8"/>
  <c r="AK12" i="8" s="1"/>
  <c r="AI15" i="8"/>
  <c r="AK15" i="8" s="1"/>
  <c r="AI74" i="8"/>
  <c r="AI17" i="8"/>
  <c r="AK17" i="8" s="1"/>
  <c r="AI10" i="8"/>
  <c r="AK10" i="8" s="1"/>
  <c r="AI95" i="8"/>
  <c r="AK95" i="8" s="1"/>
  <c r="AI60" i="8"/>
  <c r="AK60" i="8" s="1"/>
  <c r="AI3" i="10"/>
  <c r="AD10" i="11"/>
  <c r="AE10" i="11" s="1"/>
  <c r="AG10" i="11" s="1"/>
  <c r="AI64" i="8"/>
  <c r="AD57" i="8"/>
  <c r="AI53" i="8" s="1"/>
  <c r="AK53" i="8" s="1"/>
  <c r="AM3" i="8" l="1"/>
  <c r="AN3" i="8" s="1"/>
  <c r="AM53" i="8"/>
  <c r="AN53" i="8" s="1"/>
  <c r="AI99" i="8"/>
  <c r="AK99" i="8" s="1"/>
  <c r="AM99" i="8" s="1"/>
  <c r="AN99" i="8" s="1"/>
  <c r="AK64" i="8"/>
  <c r="AM64" i="8" s="1"/>
  <c r="AN64" i="8" s="1"/>
  <c r="AI3" i="11"/>
  <c r="AJ3" i="11" s="1"/>
  <c r="AJ33" i="11" s="1"/>
  <c r="AN104" i="8" l="1"/>
  <c r="F115" i="12"/>
  <c r="F117" i="12" s="1"/>
  <c r="J112" i="12"/>
  <c r="F101" i="12"/>
  <c r="F103" i="12" s="1"/>
  <c r="J98" i="12"/>
  <c r="F87" i="12"/>
  <c r="F89" i="12" s="1"/>
  <c r="J84" i="12"/>
  <c r="F73" i="12"/>
  <c r="F75" i="12" s="1"/>
  <c r="J70" i="12"/>
  <c r="AL5" i="12"/>
  <c r="AL4" i="12"/>
  <c r="AL3" i="12"/>
  <c r="AL2" i="12"/>
  <c r="K19" i="8"/>
  <c r="T48" i="8"/>
  <c r="T49" i="8" s="1"/>
  <c r="U38" i="8" s="1"/>
  <c r="S48" i="8"/>
  <c r="V99" i="8"/>
  <c r="W25" i="10"/>
  <c r="W26" i="10"/>
  <c r="Y26" i="10" s="1"/>
  <c r="W26" i="11"/>
  <c r="Y26" i="11" s="1"/>
  <c r="W11" i="4"/>
  <c r="T27" i="4"/>
  <c r="U27" i="4" s="1"/>
  <c r="W27" i="4" s="1"/>
  <c r="T68" i="8"/>
  <c r="T70" i="8"/>
  <c r="T69" i="8"/>
  <c r="U64" i="8" l="1"/>
  <c r="U99" i="8" s="1"/>
  <c r="W99" i="8" s="1"/>
  <c r="Y99" i="8" s="1"/>
  <c r="Z99" i="8" s="1"/>
  <c r="Y24" i="10"/>
  <c r="Z24" i="10" s="1"/>
  <c r="W25" i="11"/>
  <c r="Y24" i="11" s="1"/>
  <c r="Z24" i="11" s="1"/>
  <c r="W26" i="4"/>
  <c r="Y25" i="4" s="1"/>
  <c r="Z25" i="4" s="1"/>
  <c r="W59" i="8"/>
  <c r="U20" i="11"/>
  <c r="W20" i="11" s="1"/>
  <c r="U100" i="8"/>
  <c r="T62" i="8"/>
  <c r="T61" i="8"/>
  <c r="U50" i="8"/>
  <c r="T12" i="8"/>
  <c r="R13" i="8"/>
  <c r="U12" i="8"/>
  <c r="R9" i="8"/>
  <c r="T9" i="8" s="1"/>
  <c r="U9" i="8" s="1"/>
  <c r="U7" i="8"/>
  <c r="U5" i="8"/>
  <c r="U4" i="8"/>
  <c r="K4" i="8"/>
  <c r="U3" i="8"/>
  <c r="W3" i="8" s="1"/>
  <c r="T16" i="11"/>
  <c r="T14" i="11"/>
  <c r="T15" i="11"/>
  <c r="T13" i="11"/>
  <c r="R11" i="11"/>
  <c r="R10" i="11"/>
  <c r="R8" i="11"/>
  <c r="R6" i="11"/>
  <c r="R3" i="11"/>
  <c r="F66" i="11"/>
  <c r="F53" i="11" s="1"/>
  <c r="R4" i="11" s="1"/>
  <c r="D64" i="11"/>
  <c r="D66" i="11" s="1"/>
  <c r="C54" i="11" s="1"/>
  <c r="E64" i="11"/>
  <c r="E66" i="11" s="1"/>
  <c r="R31" i="10"/>
  <c r="R20" i="10"/>
  <c r="U20" i="10" s="1"/>
  <c r="W20" i="10" s="1"/>
  <c r="U12" i="10"/>
  <c r="R4" i="10"/>
  <c r="R8" i="10"/>
  <c r="R6" i="10"/>
  <c r="R3" i="10"/>
  <c r="T7" i="4"/>
  <c r="U7" i="4" s="1"/>
  <c r="R3" i="4"/>
  <c r="T87" i="8"/>
  <c r="T54" i="8"/>
  <c r="R57" i="8"/>
  <c r="R119" i="8"/>
  <c r="R16" i="8"/>
  <c r="T15" i="8"/>
  <c r="B58" i="11"/>
  <c r="T3" i="11" s="1"/>
  <c r="U3" i="11" s="1"/>
  <c r="V44" i="11"/>
  <c r="V43" i="11"/>
  <c r="Q36" i="11"/>
  <c r="Z26" i="11"/>
  <c r="B46" i="10"/>
  <c r="T3" i="10" s="1"/>
  <c r="R21" i="10" s="1"/>
  <c r="U21" i="10" s="1"/>
  <c r="W21" i="10" s="1"/>
  <c r="V43" i="10"/>
  <c r="V42" i="10"/>
  <c r="R11" i="10"/>
  <c r="U11" i="10" s="1"/>
  <c r="W11" i="10" s="1"/>
  <c r="B49" i="4"/>
  <c r="C50" i="4" s="1"/>
  <c r="Q38" i="4"/>
  <c r="Y27" i="4"/>
  <c r="Z27" i="4" s="1"/>
  <c r="U21" i="4"/>
  <c r="W21" i="4" s="1"/>
  <c r="T20" i="4"/>
  <c r="T19" i="4"/>
  <c r="T18" i="4"/>
  <c r="T17" i="4"/>
  <c r="T16" i="4"/>
  <c r="T14" i="4"/>
  <c r="R12" i="4"/>
  <c r="S49" i="8"/>
  <c r="R48" i="8"/>
  <c r="R49" i="8" s="1"/>
  <c r="R98" i="8"/>
  <c r="T98" i="8" s="1"/>
  <c r="R97" i="8"/>
  <c r="T97" i="8" s="1"/>
  <c r="R96" i="8"/>
  <c r="T96" i="8" s="1"/>
  <c r="T86" i="8"/>
  <c r="T85" i="8"/>
  <c r="T84" i="8"/>
  <c r="T83" i="8"/>
  <c r="T82" i="8"/>
  <c r="T81" i="8"/>
  <c r="T80" i="8"/>
  <c r="T79" i="8"/>
  <c r="T78" i="8"/>
  <c r="T77" i="8"/>
  <c r="T76" i="8"/>
  <c r="T75" i="8"/>
  <c r="T63" i="8"/>
  <c r="S57" i="8"/>
  <c r="T56" i="8"/>
  <c r="T55" i="8"/>
  <c r="W38" i="8"/>
  <c r="R17" i="8"/>
  <c r="T16" i="8"/>
  <c r="R15" i="8"/>
  <c r="R14" i="8"/>
  <c r="U14" i="8" s="1"/>
  <c r="R11" i="8"/>
  <c r="T11" i="8" s="1"/>
  <c r="U11" i="8" s="1"/>
  <c r="T6" i="8"/>
  <c r="U6" i="8" s="1"/>
  <c r="H12" i="4"/>
  <c r="K3" i="8"/>
  <c r="M26" i="11"/>
  <c r="O26" i="11" s="1"/>
  <c r="P26" i="11" s="1"/>
  <c r="W64" i="8" l="1"/>
  <c r="U60" i="8"/>
  <c r="U12" i="11"/>
  <c r="T8" i="10"/>
  <c r="U8" i="10" s="1"/>
  <c r="V44" i="10"/>
  <c r="Z26" i="10" s="1"/>
  <c r="T6" i="10"/>
  <c r="U6" i="10" s="1"/>
  <c r="V45" i="11"/>
  <c r="R21" i="11"/>
  <c r="U21" i="11" s="1"/>
  <c r="W21" i="11" s="1"/>
  <c r="T11" i="11"/>
  <c r="U11" i="11" s="1"/>
  <c r="W11" i="11" s="1"/>
  <c r="U13" i="4"/>
  <c r="U16" i="8"/>
  <c r="U95" i="8"/>
  <c r="W95" i="8" s="1"/>
  <c r="Y64" i="8" s="1"/>
  <c r="Z64" i="8" s="1"/>
  <c r="U15" i="8"/>
  <c r="U74" i="8"/>
  <c r="Y3" i="8"/>
  <c r="Z3" i="8" s="1"/>
  <c r="U17" i="8"/>
  <c r="U19" i="8"/>
  <c r="T57" i="8"/>
  <c r="T13" i="8"/>
  <c r="U13" i="8" s="1"/>
  <c r="U53" i="8"/>
  <c r="W53" i="8" s="1"/>
  <c r="T6" i="11"/>
  <c r="U6" i="11" s="1"/>
  <c r="T4" i="10"/>
  <c r="U4" i="10" s="1"/>
  <c r="U3" i="10"/>
  <c r="W3" i="10" s="1"/>
  <c r="Y3" i="10" s="1"/>
  <c r="Z3" i="10" s="1"/>
  <c r="Z33" i="10" s="1"/>
  <c r="T10" i="10"/>
  <c r="R10" i="10"/>
  <c r="T3" i="4"/>
  <c r="U3" i="4" s="1"/>
  <c r="U12" i="4"/>
  <c r="W12" i="4" s="1"/>
  <c r="Y3" i="4" s="1"/>
  <c r="T9" i="4"/>
  <c r="U9" i="4" s="1"/>
  <c r="T4" i="11"/>
  <c r="U4" i="11" s="1"/>
  <c r="T8" i="11"/>
  <c r="U8" i="11" s="1"/>
  <c r="T10" i="11"/>
  <c r="W3" i="11"/>
  <c r="R11" i="4"/>
  <c r="H17" i="8"/>
  <c r="K17" i="8" s="1"/>
  <c r="K12" i="11"/>
  <c r="H11" i="11"/>
  <c r="H3" i="11"/>
  <c r="H10" i="11" s="1"/>
  <c r="E49" i="11"/>
  <c r="E50" i="11" s="1"/>
  <c r="E51" i="11" s="1"/>
  <c r="D49" i="11"/>
  <c r="C36" i="11" s="1"/>
  <c r="J11" i="11" s="1"/>
  <c r="U10" i="10" l="1"/>
  <c r="U10" i="11"/>
  <c r="W10" i="11" s="1"/>
  <c r="Y3" i="11" s="1"/>
  <c r="Z3" i="11" s="1"/>
  <c r="Z33" i="11" s="1"/>
  <c r="D50" i="11"/>
  <c r="D51" i="11" s="1"/>
  <c r="F36" i="11" s="1"/>
  <c r="H4" i="11" s="1"/>
  <c r="T11" i="4"/>
  <c r="U11" i="4" s="1"/>
  <c r="Y53" i="8"/>
  <c r="Z53" i="8" s="1"/>
  <c r="Z104" i="8" s="1"/>
  <c r="T5" i="4"/>
  <c r="U5" i="4" s="1"/>
  <c r="R22" i="4"/>
  <c r="U22" i="4" s="1"/>
  <c r="Z3" i="4"/>
  <c r="Z35" i="4" s="1"/>
  <c r="K11" i="11"/>
  <c r="M11" i="11" s="1"/>
  <c r="L44" i="11"/>
  <c r="L43" i="11"/>
  <c r="B40" i="11"/>
  <c r="J3" i="11" s="1"/>
  <c r="P24" i="11"/>
  <c r="H20" i="11"/>
  <c r="H8" i="11"/>
  <c r="H6" i="11"/>
  <c r="L43" i="10"/>
  <c r="L42" i="10"/>
  <c r="K12" i="10"/>
  <c r="H20" i="10"/>
  <c r="K20" i="10" s="1"/>
  <c r="M20" i="10" s="1"/>
  <c r="K12" i="4"/>
  <c r="H14" i="8"/>
  <c r="K14" i="8" s="1"/>
  <c r="B39" i="10"/>
  <c r="J3" i="10" s="1"/>
  <c r="P24" i="10"/>
  <c r="H11" i="10"/>
  <c r="K11" i="10" s="1"/>
  <c r="M11" i="10" s="1"/>
  <c r="H8" i="10"/>
  <c r="H6" i="10"/>
  <c r="H4" i="10"/>
  <c r="H3" i="10"/>
  <c r="H10" i="10" s="1"/>
  <c r="P25" i="4"/>
  <c r="M27" i="4"/>
  <c r="O27" i="4" s="1"/>
  <c r="P27" i="4" s="1"/>
  <c r="H9" i="4"/>
  <c r="K21" i="4"/>
  <c r="M21" i="4" s="1"/>
  <c r="O99" i="8"/>
  <c r="K100" i="8"/>
  <c r="L99" i="8"/>
  <c r="K64" i="8"/>
  <c r="K99" i="8" s="1"/>
  <c r="L44" i="10" l="1"/>
  <c r="K26" i="10" s="1"/>
  <c r="M26" i="10" s="1"/>
  <c r="O26" i="10" s="1"/>
  <c r="P26" i="10" s="1"/>
  <c r="K3" i="10"/>
  <c r="L45" i="11"/>
  <c r="J6" i="10"/>
  <c r="K6" i="10" s="1"/>
  <c r="J4" i="10"/>
  <c r="K4" i="10" s="1"/>
  <c r="J8" i="10"/>
  <c r="K8" i="10" s="1"/>
  <c r="H21" i="11"/>
  <c r="K21" i="11" s="1"/>
  <c r="M21" i="11" s="1"/>
  <c r="K3" i="11"/>
  <c r="M3" i="11" s="1"/>
  <c r="J10" i="11"/>
  <c r="K10" i="11" s="1"/>
  <c r="M10" i="11" s="1"/>
  <c r="K20" i="11"/>
  <c r="J8" i="11"/>
  <c r="K8" i="11" s="1"/>
  <c r="J6" i="11"/>
  <c r="K6" i="11" s="1"/>
  <c r="J4" i="11"/>
  <c r="K4" i="11" s="1"/>
  <c r="J10" i="10"/>
  <c r="K10" i="10" s="1"/>
  <c r="H21" i="10"/>
  <c r="K21" i="10" s="1"/>
  <c r="M3" i="10"/>
  <c r="I57" i="8"/>
  <c r="H57" i="8"/>
  <c r="I52" i="8"/>
  <c r="K50" i="8" s="1"/>
  <c r="J16" i="8"/>
  <c r="K16" i="8" s="1"/>
  <c r="I48" i="8"/>
  <c r="I49" i="8" s="1"/>
  <c r="J48" i="8"/>
  <c r="J49" i="8" s="1"/>
  <c r="H48" i="8"/>
  <c r="H49" i="8" s="1"/>
  <c r="H13" i="8"/>
  <c r="K12" i="8"/>
  <c r="K7" i="8"/>
  <c r="K38" i="8" l="1"/>
  <c r="M38" i="8" s="1"/>
  <c r="M20" i="11"/>
  <c r="O3" i="11"/>
  <c r="P3" i="11" s="1"/>
  <c r="P33" i="11" s="1"/>
  <c r="O3" i="10"/>
  <c r="P3" i="10" s="1"/>
  <c r="P33" i="10" s="1"/>
  <c r="K5" i="8"/>
  <c r="J6" i="8"/>
  <c r="K6" i="8" s="1"/>
  <c r="H15" i="8"/>
  <c r="K15" i="8" s="1"/>
  <c r="J13" i="8"/>
  <c r="K13" i="8" s="1"/>
  <c r="K10" i="8"/>
  <c r="H11" i="8"/>
  <c r="H9" i="8"/>
  <c r="J9" i="8" s="1"/>
  <c r="K9" i="8" s="1"/>
  <c r="K8" i="8"/>
  <c r="B42" i="4"/>
  <c r="J3" i="4" s="1"/>
  <c r="J11" i="8" l="1"/>
  <c r="K11" i="8" s="1"/>
  <c r="M12" i="4" l="1"/>
  <c r="H7" i="4"/>
  <c r="J9" i="4" s="1"/>
  <c r="K9" i="4" s="1"/>
  <c r="H22" i="4"/>
  <c r="K22" i="4" s="1"/>
  <c r="H3" i="4"/>
  <c r="F38" i="4"/>
  <c r="H5" i="4" s="1"/>
  <c r="J5" i="4" s="1"/>
  <c r="K5" i="4" s="1"/>
  <c r="J20" i="4"/>
  <c r="J19" i="4"/>
  <c r="J18" i="4"/>
  <c r="J17" i="4"/>
  <c r="J16" i="4"/>
  <c r="J14" i="4"/>
  <c r="J61" i="8"/>
  <c r="M3" i="8"/>
  <c r="J54" i="8"/>
  <c r="J55" i="8"/>
  <c r="J56" i="8"/>
  <c r="J62" i="8"/>
  <c r="J63" i="8"/>
  <c r="J75" i="8"/>
  <c r="J76" i="8"/>
  <c r="J77" i="8"/>
  <c r="J78" i="8"/>
  <c r="J79" i="8"/>
  <c r="J80" i="8"/>
  <c r="J81" i="8"/>
  <c r="J82" i="8"/>
  <c r="J83" i="8"/>
  <c r="J84" i="8"/>
  <c r="J85" i="8"/>
  <c r="J86" i="8"/>
  <c r="H96" i="8"/>
  <c r="J96" i="8" s="1"/>
  <c r="H97" i="8"/>
  <c r="J97" i="8" s="1"/>
  <c r="H98" i="8"/>
  <c r="J98" i="8" s="1"/>
  <c r="P99" i="8"/>
  <c r="L102" i="8"/>
  <c r="O3" i="8" l="1"/>
  <c r="P3" i="8" s="1"/>
  <c r="K60" i="8"/>
  <c r="J11" i="4"/>
  <c r="H11" i="4"/>
  <c r="J7" i="4"/>
  <c r="K7" i="4" s="1"/>
  <c r="K53" i="8"/>
  <c r="M53" i="8" s="1"/>
  <c r="O53" i="8" s="1"/>
  <c r="P53" i="8" s="1"/>
  <c r="J57" i="8"/>
  <c r="K74" i="8"/>
  <c r="K13" i="4"/>
  <c r="M13" i="4" s="1"/>
  <c r="K3" i="4"/>
  <c r="M3" i="4" s="1"/>
  <c r="K95" i="8"/>
  <c r="M95" i="8" s="1"/>
  <c r="O3" i="4" l="1"/>
  <c r="P3" i="4" s="1"/>
  <c r="P35" i="4" s="1"/>
  <c r="K11" i="4"/>
  <c r="O64" i="8"/>
  <c r="P64" i="8" s="1"/>
  <c r="P104" i="8" s="1"/>
  <c r="Z43" i="1"/>
  <c r="Z78" i="1"/>
  <c r="Z32" i="1"/>
  <c r="Z3" i="1"/>
  <c r="Y78" i="1"/>
  <c r="Y43" i="1"/>
  <c r="Y32" i="1"/>
  <c r="Y3" i="1"/>
  <c r="W74" i="1"/>
  <c r="U74" i="1"/>
  <c r="U38" i="1"/>
  <c r="U32" i="1"/>
  <c r="W32" i="1"/>
  <c r="T14" i="1"/>
  <c r="W7" i="1"/>
  <c r="W5" i="1"/>
  <c r="T76" i="1"/>
  <c r="T77" i="1"/>
  <c r="T75" i="1"/>
  <c r="T65" i="1"/>
  <c r="T66" i="1"/>
  <c r="T67" i="1"/>
  <c r="T68" i="1"/>
  <c r="T69" i="1"/>
  <c r="T70" i="1"/>
  <c r="T71" i="1"/>
  <c r="T72" i="1"/>
  <c r="T73" i="1"/>
  <c r="T55" i="1"/>
  <c r="T56" i="1"/>
  <c r="T57" i="1"/>
  <c r="T58" i="1"/>
  <c r="T59" i="1"/>
  <c r="T60" i="1"/>
  <c r="T61" i="1"/>
  <c r="T62" i="1"/>
  <c r="T63" i="1"/>
  <c r="T64" i="1"/>
  <c r="T54" i="1"/>
  <c r="T18" i="1"/>
  <c r="U17" i="1" s="1"/>
  <c r="T16" i="1"/>
  <c r="U15" i="1" s="1"/>
  <c r="U13" i="1"/>
  <c r="T8" i="1"/>
  <c r="T10" i="1" s="1"/>
  <c r="U9" i="1" s="1"/>
  <c r="U6" i="1"/>
  <c r="U7" i="1"/>
  <c r="U5" i="1"/>
  <c r="T12" i="1"/>
  <c r="U11" i="1" s="1"/>
  <c r="Z81" i="1" l="1"/>
  <c r="U8" i="1"/>
  <c r="U10" i="1"/>
  <c r="AL2" i="6" l="1"/>
  <c r="O32" i="1"/>
  <c r="P32" i="1" s="1"/>
  <c r="O78" i="1"/>
  <c r="P78" i="1" s="1"/>
  <c r="J10" i="1"/>
  <c r="K19" i="1"/>
  <c r="L79" i="1" l="1"/>
  <c r="L78" i="1"/>
  <c r="H77" i="1"/>
  <c r="J77" i="1" s="1"/>
  <c r="H76" i="1"/>
  <c r="J76" i="1" s="1"/>
  <c r="H75" i="1"/>
  <c r="J75" i="1" s="1"/>
  <c r="J55" i="1"/>
  <c r="J56" i="1"/>
  <c r="J57" i="1"/>
  <c r="J58" i="1"/>
  <c r="J59" i="1"/>
  <c r="J60" i="1"/>
  <c r="J61" i="1"/>
  <c r="J62" i="1"/>
  <c r="J63" i="1"/>
  <c r="J64" i="1"/>
  <c r="J54" i="1"/>
  <c r="J44" i="1"/>
  <c r="J46" i="1"/>
  <c r="J47" i="1"/>
  <c r="J48" i="1"/>
  <c r="J49" i="1"/>
  <c r="J50" i="1"/>
  <c r="J51" i="1"/>
  <c r="J52" i="1"/>
  <c r="J45" i="1"/>
  <c r="K29" i="1"/>
  <c r="K3" i="1"/>
  <c r="M3" i="1" s="1"/>
  <c r="K74" i="1" l="1"/>
  <c r="M74" i="1" s="1"/>
  <c r="O43" i="1" s="1"/>
  <c r="P43" i="1" s="1"/>
  <c r="K53" i="1"/>
  <c r="K43" i="1"/>
  <c r="K78" i="1" s="1"/>
  <c r="J39" i="1"/>
  <c r="J42" i="1"/>
  <c r="J40" i="1"/>
  <c r="J34" i="1"/>
  <c r="J35" i="1"/>
  <c r="J33" i="1"/>
  <c r="H5" i="1"/>
  <c r="K5" i="1" s="1"/>
  <c r="M5" i="1" s="1"/>
  <c r="O3" i="1" s="1"/>
  <c r="P3" i="1" s="1"/>
  <c r="P81" i="1" s="1"/>
  <c r="J14" i="1"/>
  <c r="J12" i="1"/>
  <c r="H14" i="1"/>
  <c r="H12" i="1"/>
  <c r="H10" i="1"/>
  <c r="K9" i="1" s="1"/>
  <c r="K8" i="1"/>
  <c r="K4" i="1"/>
  <c r="K32" i="1" l="1"/>
  <c r="K38" i="1"/>
  <c r="K11" i="1"/>
  <c r="K13" i="1"/>
  <c r="AS23" i="6" l="1"/>
  <c r="AS22" i="6"/>
  <c r="AS21" i="6"/>
  <c r="AS20" i="6"/>
  <c r="AL14" i="6"/>
  <c r="AL13" i="6"/>
  <c r="AL12" i="6"/>
  <c r="AL11" i="6"/>
  <c r="AL10" i="6"/>
  <c r="AL9" i="6"/>
  <c r="AL8" i="6"/>
  <c r="AL7" i="6"/>
  <c r="AL6" i="6"/>
  <c r="AL5" i="6"/>
  <c r="AL4" i="6"/>
  <c r="AL3" i="6"/>
  <c r="F115" i="6"/>
  <c r="F117" i="6" s="1"/>
  <c r="J112" i="6"/>
  <c r="F101" i="6"/>
  <c r="F103" i="6" s="1"/>
  <c r="J98" i="6"/>
  <c r="F87" i="6"/>
  <c r="F89" i="6" s="1"/>
  <c r="J84" i="6"/>
  <c r="F73" i="6"/>
  <c r="F75" i="6" s="1"/>
  <c r="J7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E10" authorId="0" shapeId="0" xr:uid="{756BCE0C-47BB-490F-B2A2-4A6F710EB93D}">
      <text>
        <r>
          <rPr>
            <b/>
            <sz val="9"/>
            <color indexed="81"/>
            <rFont val="Tahoma"/>
            <family val="2"/>
          </rPr>
          <t>ASUS:</t>
        </r>
        <r>
          <rPr>
            <sz val="9"/>
            <color indexed="81"/>
            <rFont val="Tahoma"/>
            <family val="2"/>
          </rPr>
          <t xml:space="preserve">
Meta según agencia= 8%</t>
        </r>
      </text>
    </comment>
  </commentList>
</comments>
</file>

<file path=xl/sharedStrings.xml><?xml version="1.0" encoding="utf-8"?>
<sst xmlns="http://schemas.openxmlformats.org/spreadsheetml/2006/main" count="4390" uniqueCount="978">
  <si>
    <t>Área</t>
  </si>
  <si>
    <t>Indicador</t>
  </si>
  <si>
    <t>Definición</t>
  </si>
  <si>
    <t>Meta</t>
  </si>
  <si>
    <t>Fórmula / Método de Cálculo</t>
  </si>
  <si>
    <t>A. Estrategia y Planificación Comercial</t>
  </si>
  <si>
    <t>Cumplimiento de la Meta Global de Ventas</t>
  </si>
  <si>
    <t>Mide el porcentaje de cumplimiento de las metas de ventas mensual, trimestral y anual.</t>
  </si>
  <si>
    <t>100% o más de la meta mensual.</t>
  </si>
  <si>
    <t>(Ventas Realizadas / Meta de Ventas) × 100</t>
  </si>
  <si>
    <t>Costo por Lead (CPL) Promedio</t>
  </si>
  <si>
    <t>Evalúa la eficiencia de las campañas digitales para generar leads calificados.</t>
  </si>
  <si>
    <t>≤ $10.000 por lead.</t>
  </si>
  <si>
    <t>Costo Total de Campañas Digitales / Número de Leads Calificados</t>
  </si>
  <si>
    <t>Mide la efectividad del embudo comercial. Meta leads: 600.</t>
  </si>
  <si>
    <t>Participación de Mercado</t>
  </si>
  <si>
    <t>Compara la cuota de mercado de la empresa frente a la competencia.</t>
  </si>
  <si>
    <t>Igual o superior al promedio del mercado.</t>
  </si>
  <si>
    <t>(Ventas Empresa / Ventas Totales del Mercado) × 100</t>
  </si>
  <si>
    <t>Número de Alianzas Estratégicas Formalizadas</t>
  </si>
  <si>
    <t>Mide la generación de sinergias y alianzas útiles.</t>
  </si>
  <si>
    <t>≥ 6 nuevas alianzas por trimestre.</t>
  </si>
  <si>
    <t>Conteo de alianzas firmadas y activas en el trimestre</t>
  </si>
  <si>
    <t>B. Liderazgo y Gestión del Equipo Comercial</t>
  </si>
  <si>
    <t>Cumplimiento de Meta Individual del Equipo</t>
  </si>
  <si>
    <t>Promedio de cumplimiento de metas individuales de asesores.</t>
  </si>
  <si>
    <t>≥ 90% de promedio de cumplimiento.</t>
  </si>
  <si>
    <t>(Σ % Cumplimiento de cada asesor / Nº de asesores)</t>
  </si>
  <si>
    <t>Rotación del Personal Comercial</t>
  </si>
  <si>
    <t>Mide la estabilidad y permanencia del equipo.</t>
  </si>
  <si>
    <t>&lt; 15% anual.</t>
  </si>
  <si>
    <t>(Número de bajas en el año / Promedio de personal comercial) × 100</t>
  </si>
  <si>
    <t>Nivel de Satisfacción del Equipo Comercial</t>
  </si>
  <si>
    <t>Evalúa clima laboral y percepción del liderazgo.</t>
  </si>
  <si>
    <t>≥ 4/5 en encuestas.</t>
  </si>
  <si>
    <t>Promedio de calificaciones de encuestas de clima laboral</t>
  </si>
  <si>
    <t>Índice de Productividad por Asesor</t>
  </si>
  <si>
    <t>Mide ventas por asesor frente a leads asignados o tiempo invertido.</t>
  </si>
  <si>
    <t>Ventas por Asesor / Nº Leads Asignados (o Tiempo Dedicado)</t>
  </si>
  <si>
    <t>C. Gestión Operativa y Control de Ventas</t>
  </si>
  <si>
    <t>Precisión y Actualización del CRM</t>
  </si>
  <si>
    <t>Calidad y actualidad de datos en CRM.</t>
  </si>
  <si>
    <t>98% de negocios completos y actualizados.</t>
  </si>
  <si>
    <t>(Nº Negocios completos y actualizados / Total negocios en CRM) × 100</t>
  </si>
  <si>
    <t>Tiempo Promedio de Cierre de Negocios</t>
  </si>
  <si>
    <t>Eficiencia en cierre desde primer contacto hasta firma.</t>
  </si>
  <si>
    <t>30 días promedio o reducción del 50%.</t>
  </si>
  <si>
    <t>Σ Días de cierre / Nº negocios cerrados</t>
  </si>
  <si>
    <t>Porcentaje de Ventas por Canal</t>
  </si>
  <si>
    <t>Distribución de ventas por origen del cliente.</t>
  </si>
  <si>
    <t>50% digital, 30% tradicional, 20% referidos (o meta fijada).</t>
  </si>
  <si>
    <t>(Ventas canal X / Ventas totales) × 100</t>
  </si>
  <si>
    <t>D. Gestión Documental y Procesos Legales/Internos</t>
  </si>
  <si>
    <t>% Documentación Comercial Archivada Correctamente</t>
  </si>
  <si>
    <t>Organización y cumplimiento en archivo y disponibilidad.</t>
  </si>
  <si>
    <t>100% cumplimiento.</t>
  </si>
  <si>
    <t>(Nº documentos completos y archivados / Total documentos generados) × 100</t>
  </si>
  <si>
    <t>Tiempo Promedio de Respuesta a Derechos de Petición/Desistimientos</t>
  </si>
  <si>
    <t>Cumplimiento de tiempos legales y manual de procedimientos.</t>
  </si>
  <si>
    <t>100% en tiempo establecido.</t>
  </si>
  <si>
    <t>Σ Días respuesta / Nº solicitudes</t>
  </si>
  <si>
    <t>Nº de Fallas Operativas o Errores Procesales Reportados y Solucionados</t>
  </si>
  <si>
    <t>Proactividad en la identificación y resolución de problemas.</t>
  </si>
  <si>
    <t>100% de las fallas solucionadas.</t>
  </si>
  <si>
    <t>Conteo de fallas detectadas vs. solucionadas</t>
  </si>
  <si>
    <t>% de Tareas Asignadas con Seguimiento Semanal</t>
  </si>
  <si>
    <t>Disciplina en seguimiento de tareas.</t>
  </si>
  <si>
    <t>100% de tareas de cartera con seguimiento semanal.</t>
  </si>
  <si>
    <t>(Tareas con seguimiento semanal / Total tareas asignadas) × 100</t>
  </si>
  <si>
    <t>% de Tareas Asignadas Cumplidas en el Drive</t>
  </si>
  <si>
    <t>Cumplimiento de compromisos inter-áreas.</t>
  </si>
  <si>
    <t>100% dentro del plazo.</t>
  </si>
  <si>
    <t>(Tareas cumplidas en plazo / Total tareas asignadas) × 100</t>
  </si>
  <si>
    <t>Descripción</t>
  </si>
  <si>
    <t>Gestión de Clientes y Leads</t>
  </si>
  <si>
    <t>Tiempo Promedio de Cierre</t>
  </si>
  <si>
    <t>Formalización Post-Cierre</t>
  </si>
  <si>
    <t>Relaciones y Servicio</t>
  </si>
  <si>
    <t>Calidad del Servicio al Cliente</t>
  </si>
  <si>
    <t>Satisfacción promedio en encuestas postventa.</t>
  </si>
  <si>
    <t>≥ 4.5 / 5</t>
  </si>
  <si>
    <t>Contribución al Ambiente Laboral</t>
  </si>
  <si>
    <t>Evaluación de colaboración y actitud.</t>
  </si>
  <si>
    <t>Retroalimentación positiva</t>
  </si>
  <si>
    <t>Evaluación 360° / Feedback Interno</t>
  </si>
  <si>
    <t>Indicadores de Desempeño</t>
  </si>
  <si>
    <t>KPI´S</t>
  </si>
  <si>
    <t>INCIDENCIAS       -      CALIFICACIÓN</t>
  </si>
  <si>
    <t>CALIFICACIÓN</t>
  </si>
  <si>
    <t>TRAZA</t>
  </si>
  <si>
    <t>Planificación y Seguimiento Operativo</t>
  </si>
  <si>
    <t>Enero</t>
  </si>
  <si>
    <t>INCIDENCIA</t>
  </si>
  <si>
    <t>Muy mal</t>
  </si>
  <si>
    <t>Febrero</t>
  </si>
  <si>
    <t>Mal</t>
  </si>
  <si>
    <t>Marzo</t>
  </si>
  <si>
    <t>Regular</t>
  </si>
  <si>
    <t>Abril</t>
  </si>
  <si>
    <t>Bueno</t>
  </si>
  <si>
    <t>Mayo</t>
  </si>
  <si>
    <t>Muy bueno</t>
  </si>
  <si>
    <t>Junio</t>
  </si>
  <si>
    <t>Total</t>
  </si>
  <si>
    <t>Julio</t>
  </si>
  <si>
    <t>Agosto</t>
  </si>
  <si>
    <t>Valor</t>
  </si>
  <si>
    <t>Septiembre</t>
  </si>
  <si>
    <t>Octubre</t>
  </si>
  <si>
    <t>Antes</t>
  </si>
  <si>
    <t>Noviembre</t>
  </si>
  <si>
    <t>Puntero</t>
  </si>
  <si>
    <t>Diciembre</t>
  </si>
  <si>
    <t>Despues</t>
  </si>
  <si>
    <t>CARGO</t>
  </si>
  <si>
    <t>INDICADOR</t>
  </si>
  <si>
    <t xml:space="preserve">CARGO </t>
  </si>
  <si>
    <t>ÁREA COMERCIAL</t>
  </si>
  <si>
    <t>DIRECTORA COMERCIAL - LIDER SALA DE VENTAS - ASESORA COMERCIAL - ASESORA COMERCIAL ADMON</t>
  </si>
  <si>
    <t>SARA ELENA MORENO OROZCO</t>
  </si>
  <si>
    <t>INGRID PAOLA OSPICIO PACHECO</t>
  </si>
  <si>
    <t>NATALIA ANDREA POSADA RAVE</t>
  </si>
  <si>
    <t>ALZURAK DELIROSS MENDOZA DE FRANCO</t>
  </si>
  <si>
    <t>Incidencia</t>
  </si>
  <si>
    <t>Estrategia y Planificación Comercial</t>
  </si>
  <si>
    <t>Liderazgo y Gestión del Equipo Comercial</t>
  </si>
  <si>
    <t>Gestión Operativa y Control de Ventas</t>
  </si>
  <si>
    <t>Gestión Documental y Procesos Legales/Internos</t>
  </si>
  <si>
    <t>DIRECTORA COMERCIAL</t>
  </si>
  <si>
    <t>LIDER SALA DE VENTAS</t>
  </si>
  <si>
    <t>ASESORA COMERCIAL</t>
  </si>
  <si>
    <t>ASESORA COMERCIAL ADMIN</t>
  </si>
  <si>
    <t>EVALUACIÓN</t>
  </si>
  <si>
    <t>Cierres</t>
  </si>
  <si>
    <t>$8,602</t>
  </si>
  <si>
    <t>$1,194</t>
  </si>
  <si>
    <t>CPL Julio</t>
  </si>
  <si>
    <t>CPL Agosto</t>
  </si>
  <si>
    <t>El CPL bajo debido a campaña "Aplica Subsidio Cuota Inicial", sin embargo se apago 14 agosto por implementación de Zoho</t>
  </si>
  <si>
    <t>Conversiones a Citas</t>
  </si>
  <si>
    <t>Conversión leads a citas</t>
  </si>
  <si>
    <t>≥ 10%/mes</t>
  </si>
  <si>
    <t>Zoho CRM</t>
  </si>
  <si>
    <t>Tasa de Conversión a Citas (%)</t>
  </si>
  <si>
    <t>Conversión leads a citas (%)</t>
  </si>
  <si>
    <t>Conversiones a Visitas</t>
  </si>
  <si>
    <t>Conversión leads a visitas</t>
  </si>
  <si>
    <t>Conversión a visitas del ,74%, bajo respecto al mes anterior. Meta: Incremento del 10%</t>
  </si>
  <si>
    <t>Tasa de Conversión a Visitas (%)</t>
  </si>
  <si>
    <t>Conversión leads a visitas (%)</t>
  </si>
  <si>
    <t>Ventas por canales digitales</t>
  </si>
  <si>
    <t xml:space="preserve">Conversion a ventas </t>
  </si>
  <si>
    <t>Conversión a ventas del ,37%, bajo respecto al mes anterior. Meta: Incremento del 10%</t>
  </si>
  <si>
    <t>Tasa de Conversión a Ventas (%)</t>
  </si>
  <si>
    <t>Conversion a ventas  (%)</t>
  </si>
  <si>
    <t>N° de leads generados</t>
  </si>
  <si>
    <t>≥ 200/mes</t>
  </si>
  <si>
    <t>(Numero de ventas / Total Leads) * 100</t>
  </si>
  <si>
    <t>Total leads</t>
  </si>
  <si>
    <t>Ventas</t>
  </si>
  <si>
    <t>Fondo nacional del ahorro</t>
  </si>
  <si>
    <t xml:space="preserve">Ventas </t>
  </si>
  <si>
    <t>Sumimedical</t>
  </si>
  <si>
    <t>DistriHogar</t>
  </si>
  <si>
    <t>Ingrid</t>
  </si>
  <si>
    <t>Natalia</t>
  </si>
  <si>
    <t>Alzurak</t>
  </si>
  <si>
    <t>Agosto: El equipo permanece igual</t>
  </si>
  <si>
    <t>Se medira a partir de septiembre</t>
  </si>
  <si>
    <t>Se medira a partir de septiembre con encuestas 360</t>
  </si>
  <si>
    <t>Archivo comercial T1</t>
  </si>
  <si>
    <t>Archivo comercial T2</t>
  </si>
  <si>
    <t>Archivo comercial T3</t>
  </si>
  <si>
    <t>Otrosí T1</t>
  </si>
  <si>
    <t>Otrosí T2</t>
  </si>
  <si>
    <t>Otrosí T3</t>
  </si>
  <si>
    <t>Otrosí T4</t>
  </si>
  <si>
    <t>Parqueaderos</t>
  </si>
  <si>
    <t>Croma</t>
  </si>
  <si>
    <t>Venta 1</t>
  </si>
  <si>
    <t>Venta 2</t>
  </si>
  <si>
    <t>Venta 3</t>
  </si>
  <si>
    <t>Venta 4</t>
  </si>
  <si>
    <t>Venta 5</t>
  </si>
  <si>
    <t>Venta 6</t>
  </si>
  <si>
    <t>Venta 7</t>
  </si>
  <si>
    <t>Venta 8</t>
  </si>
  <si>
    <t>Venta 9</t>
  </si>
  <si>
    <t>Venta 10</t>
  </si>
  <si>
    <t>Venta 11</t>
  </si>
  <si>
    <t>Venta digital</t>
  </si>
  <si>
    <t>Referidos</t>
  </si>
  <si>
    <t>Tradicional</t>
  </si>
  <si>
    <t>Total tareas</t>
  </si>
  <si>
    <t>con seguimiento</t>
  </si>
  <si>
    <t>nuevas</t>
  </si>
  <si>
    <t>Se logró el 55% de la meta</t>
  </si>
  <si>
    <t>Incrementó el Nro de Leads calificados - Campañas se apagaron 14 agosto por implementación de Zoho. No se logró la meta de 600 Leads</t>
  </si>
  <si>
    <t>3 alianzas en 1 mes. 8 ventas cerradas</t>
  </si>
  <si>
    <t>Rotación</t>
  </si>
  <si>
    <t>Cumplimiento de la meta</t>
  </si>
  <si>
    <t>-</t>
  </si>
  <si>
    <t>Conversión Leads a ventas</t>
  </si>
  <si>
    <t>VENTAS</t>
  </si>
  <si>
    <t>CARPETA OK</t>
  </si>
  <si>
    <t>LEADS</t>
  </si>
  <si>
    <t>ASESOR</t>
  </si>
  <si>
    <t>META</t>
  </si>
  <si>
    <t>% CUMPL</t>
  </si>
  <si>
    <t>% VENTAS</t>
  </si>
  <si>
    <t>FECHA INICIAL</t>
  </si>
  <si>
    <t xml:space="preserve">CIERRE </t>
  </si>
  <si>
    <t>DÍAS</t>
  </si>
  <si>
    <t>Días promedio para el cierre de negocios</t>
  </si>
  <si>
    <t>REAL</t>
  </si>
  <si>
    <t>Ver evaluación Item Precisión y Actualización del CRM</t>
  </si>
  <si>
    <t>Dashboard desistimientos</t>
  </si>
  <si>
    <t>Respuesta 7 días calendario</t>
  </si>
  <si>
    <t>Se medirá a partir de Septiembre de acuerdo al informe del Lider contratación y gestión documental</t>
  </si>
  <si>
    <t>RESULTADO 08/2025</t>
  </si>
  <si>
    <t>TOTAL</t>
  </si>
  <si>
    <t>CALIFICACIÓN AGOSTO</t>
  </si>
  <si>
    <t>CIUDADELA SAN MIGUEL</t>
  </si>
  <si>
    <t>CIUDAD JARDIN</t>
  </si>
  <si>
    <t>TIERRA DULCE (EME)</t>
  </si>
  <si>
    <t>FONTANAR (BIENES Y BIENES)</t>
  </si>
  <si>
    <t>SONORA MONTANA (CONINSA)</t>
  </si>
  <si>
    <t>MAZZÚ (CONTEX)</t>
  </si>
  <si>
    <t>FERRATORE (CENTROSUR)</t>
  </si>
  <si>
    <t>ANACONAS</t>
  </si>
  <si>
    <t>AZZURI (NUEVO LANZAMIENTO)</t>
  </si>
  <si>
    <t>PROYECTO</t>
  </si>
  <si>
    <t>JUNIO</t>
  </si>
  <si>
    <t>JULIO</t>
  </si>
  <si>
    <t>AGOSTO</t>
  </si>
  <si>
    <t>Ventas por encima del promedio del mercado</t>
  </si>
  <si>
    <t xml:space="preserve">Convesión a citas del 8,92%, subio respecto al mes anterior. Meta: Incremento del 10%. </t>
  </si>
  <si>
    <t>≥2 % mensual</t>
  </si>
  <si>
    <t>Etiquetas de fila</t>
  </si>
  <si>
    <t>Total general</t>
  </si>
  <si>
    <t>Suma de INCIDENCIA</t>
  </si>
  <si>
    <t>Suma de CALIFICACIÓN</t>
  </si>
  <si>
    <t>EVALUACIÓN DE DESEMPEÑO</t>
  </si>
  <si>
    <t>Se logró el 100% de la meta</t>
  </si>
  <si>
    <t>CPL Septiembre</t>
  </si>
  <si>
    <t>$1,130</t>
  </si>
  <si>
    <t>El CPL bajo debido a campaña "Aplica Subsidio Cuota Inicial", bajó $64 pesos por lead</t>
  </si>
  <si>
    <t>SEPTIEMBRE</t>
  </si>
  <si>
    <t>Aún sin datos</t>
  </si>
  <si>
    <t>Feria La Lonja</t>
  </si>
  <si>
    <t>Catiyamotos</t>
  </si>
  <si>
    <t>Septiembre: El equipo permanece igual</t>
  </si>
  <si>
    <t>VENTAS DIGITALES</t>
  </si>
  <si>
    <t>Venta 12</t>
  </si>
  <si>
    <t>Venta 13</t>
  </si>
  <si>
    <t>Venta 14</t>
  </si>
  <si>
    <t>Venta 15</t>
  </si>
  <si>
    <t>Venta 16</t>
  </si>
  <si>
    <t>Venta 17</t>
  </si>
  <si>
    <t>Venta 18</t>
  </si>
  <si>
    <t>Venta 19</t>
  </si>
  <si>
    <t>Venta 20</t>
  </si>
  <si>
    <t>RESULTADO 09/2025</t>
  </si>
  <si>
    <t>CALIFICACIÓN SEPTIEMBRE</t>
  </si>
  <si>
    <r>
      <t xml:space="preserve">Convesión a citas del 11,63%, subio respecto al mes anterior. </t>
    </r>
    <r>
      <rPr>
        <b/>
        <sz val="11"/>
        <color theme="1"/>
        <rFont val="Aptos Narrow"/>
        <family val="2"/>
        <scheme val="minor"/>
      </rPr>
      <t>Meta: Incremento del 10% Cumplida</t>
    </r>
  </si>
  <si>
    <r>
      <t xml:space="preserve">Conversión a visitas del 40%, subio respecto al mes anterior. </t>
    </r>
    <r>
      <rPr>
        <b/>
        <sz val="11"/>
        <color theme="1"/>
        <rFont val="Aptos Narrow"/>
        <family val="2"/>
        <scheme val="minor"/>
      </rPr>
      <t>Meta: Incremento del 10% Cumplida</t>
    </r>
  </si>
  <si>
    <t>Ventas por canales tradicionales</t>
  </si>
  <si>
    <t>Meta 6 mensuales (10% Leads)</t>
  </si>
  <si>
    <t xml:space="preserve">Meta 6 mensuales  </t>
  </si>
  <si>
    <t>Ventas por referidos</t>
  </si>
  <si>
    <t xml:space="preserve">Meta 8 mensuales  </t>
  </si>
  <si>
    <t>Tasa de Conversión General de Leads DIGITALES a Venta</t>
  </si>
  <si>
    <t>Tasa de Conversión General de Leads TRADICIONAL a Venta</t>
  </si>
  <si>
    <t>Tasa de Conversión General de Leads REFERIDOS O CONVENIO EMPRESA a Venta</t>
  </si>
  <si>
    <t>Mide la efectividad del embudo comercial. Meta leads: 60</t>
  </si>
  <si>
    <t>10% de Leads convertidos a ventas= 6 ventas</t>
  </si>
  <si>
    <t>Mide la efectividad del embudo comercial. Meta leads: 80</t>
  </si>
  <si>
    <t>10% de Leads convertidos a ventas= 8 ventas</t>
  </si>
  <si>
    <t>4% de Leads convertidos a ventas= 24 ventas</t>
  </si>
  <si>
    <t>Leads Calificados DIGITALES</t>
  </si>
  <si>
    <r>
      <t xml:space="preserve">Conversión a ventas TRADICIONALES del 1,44%, </t>
    </r>
    <r>
      <rPr>
        <b/>
        <sz val="11"/>
        <color theme="1"/>
        <rFont val="Aptos Narrow"/>
        <family val="2"/>
        <scheme val="minor"/>
      </rPr>
      <t xml:space="preserve">Meta: 6 mensuales. Incumplida.  </t>
    </r>
  </si>
  <si>
    <r>
      <t>Conversión a ventas REFERIDOS del 40%, subioo respecto al mes anterior.</t>
    </r>
    <r>
      <rPr>
        <b/>
        <sz val="11"/>
        <color theme="1"/>
        <rFont val="Aptos Narrow"/>
        <family val="2"/>
        <scheme val="minor"/>
      </rPr>
      <t xml:space="preserve"> Meta: 8 mensuales. Cumplida y superada</t>
    </r>
  </si>
  <si>
    <t>Camila</t>
  </si>
  <si>
    <t>79% de la meta solo en Leads digitales</t>
  </si>
  <si>
    <t>Sobrepasa la meta</t>
  </si>
  <si>
    <t>Se debe hacer mas enfasis en referidos</t>
  </si>
  <si>
    <t xml:space="preserve">Disminución de Leads digitales </t>
  </si>
  <si>
    <r>
      <t xml:space="preserve">Conversión a ventas DIGITALES del 0,84%, subioo respecto al mes anterior. </t>
    </r>
    <r>
      <rPr>
        <b/>
        <sz val="11"/>
        <color theme="1"/>
        <rFont val="Aptos Narrow"/>
        <family val="2"/>
        <scheme val="minor"/>
      </rPr>
      <t xml:space="preserve">Meta: 6 ventas digitales mensuales. Incumplida. </t>
    </r>
  </si>
  <si>
    <t>3 alianzas en 1 mes. 6 ventas cerradas</t>
  </si>
  <si>
    <t>Se medira a partir de octubre con encuestas 360</t>
  </si>
  <si>
    <t>Conversión Leads a ventas, lo ideaal es llegar al 10%. Meta actual 2%. Incumplida</t>
  </si>
  <si>
    <t xml:space="preserve">0 avance con respecto a gestión de firma de Otrosí del area comercial </t>
  </si>
  <si>
    <t>Tasa de contacto inicial</t>
  </si>
  <si>
    <t>&gt; 85 %</t>
  </si>
  <si>
    <t>Mide qué porcentaje de los leads recibidos fueron contactados efectivamente. Refleja la agilidad del equipo en el primer acercamiento.</t>
  </si>
  <si>
    <t>Tiempo promedio de respuesta</t>
  </si>
  <si>
    <t>&lt; 5 minutos</t>
  </si>
  <si>
    <t>Cuánto tarda en atenderse un nuevo lead desde su llegada. Es crítico en leads digitales: a menor tiempo, mayor conversión.</t>
  </si>
  <si>
    <t>Tasa de cita agendada</t>
  </si>
  <si>
    <t>&gt; 40 %</t>
  </si>
  <si>
    <t>Porcentaje de contactos que logran concretar una cita (virtual o presencial). Indica la calidad del discurso comercial inicial.</t>
  </si>
  <si>
    <t>Tasa de cierre (ventas / leads)</t>
  </si>
  <si>
    <t>2 – 5 %</t>
  </si>
  <si>
    <t>Conversión total del embudo. Permite evaluar la efectividad global de la estrategia comercial y del seguimiento.</t>
  </si>
  <si>
    <t>Costo por lead (CPL)</t>
  </si>
  <si>
    <t>&lt; $800 COP aprox.</t>
  </si>
  <si>
    <t>Eficiencia de la inversión  </t>
  </si>
  <si>
    <t>Valor presupuesto aprobado mes para pauta digital</t>
  </si>
  <si>
    <t>Total inversión mes</t>
  </si>
  <si>
    <t>Octubre: El equipo permanece igual</t>
  </si>
  <si>
    <t>Referido Inver</t>
  </si>
  <si>
    <t>Feria inmobiliaria</t>
  </si>
  <si>
    <t>OCTUBRE</t>
  </si>
  <si>
    <t>Conversion de visitas a ventas   (%)</t>
  </si>
  <si>
    <t xml:space="preserve">Septiembre  </t>
  </si>
  <si>
    <t>Leads Calificados</t>
  </si>
  <si>
    <t>CPL Octubre</t>
  </si>
  <si>
    <t>RESULTADO 10/2025</t>
  </si>
  <si>
    <t>CALIFICACIÓN OCTUBRE</t>
  </si>
  <si>
    <t>Total invertido</t>
  </si>
  <si>
    <t>Total invertido / Total presupuesto mes</t>
  </si>
  <si>
    <t>Presupuesto</t>
  </si>
  <si>
    <t>Leads perdidos</t>
  </si>
  <si>
    <t>No contesta seguimiento</t>
  </si>
  <si>
    <t>Im posible contacto</t>
  </si>
  <si>
    <t>Perdio interes</t>
  </si>
  <si>
    <t>Causa desconocida</t>
  </si>
  <si>
    <t xml:space="preserve">Duplicado </t>
  </si>
  <si>
    <t>Aplaza compra</t>
  </si>
  <si>
    <t>Furioso</t>
  </si>
  <si>
    <t>Busca en otro sector</t>
  </si>
  <si>
    <t>Ya compro</t>
  </si>
  <si>
    <t xml:space="preserve">No le gusta el producto </t>
  </si>
  <si>
    <t>Cercano al río</t>
  </si>
  <si>
    <t>Busca en otra ciudad</t>
  </si>
  <si>
    <t xml:space="preserve">Futuros proyectos </t>
  </si>
  <si>
    <t>Busca renta</t>
  </si>
  <si>
    <t xml:space="preserve">Reporte en centrales de riesgo </t>
  </si>
  <si>
    <t>Leads gestionados</t>
  </si>
  <si>
    <t>Leads calificados</t>
  </si>
  <si>
    <t>Se medira a partir de noviembre con encuestas 360</t>
  </si>
  <si>
    <t>Porcentaje de gestión baja</t>
  </si>
  <si>
    <t>Porcentaje de gestión baja = leads gestión baja / leads totales *100</t>
  </si>
  <si>
    <t>Crear link para servicio al cliente a perdido o a cerrado</t>
  </si>
  <si>
    <t>LEADS ASIGNADOS</t>
  </si>
  <si>
    <t>GESTIONES</t>
  </si>
  <si>
    <t>REUNIONES</t>
  </si>
  <si>
    <t>VISITAS</t>
  </si>
  <si>
    <t>Venta 1 (INGRID)</t>
  </si>
  <si>
    <t>Venta 3 (INGRID)</t>
  </si>
  <si>
    <t>Venta 6 (INGRID)</t>
  </si>
  <si>
    <t>Venta 7 (INGRID)</t>
  </si>
  <si>
    <t>Venta 8 (INGRID)</t>
  </si>
  <si>
    <t>Venta 9 (INGRID)</t>
  </si>
  <si>
    <t>Venta 2 (ALZURAK)</t>
  </si>
  <si>
    <t>Venta 5 (ALZURAK)</t>
  </si>
  <si>
    <t>Venta 12 (ALZURAK)</t>
  </si>
  <si>
    <t>Venta 4 (NATALIA)</t>
  </si>
  <si>
    <t>Venta 10 (NATALIA)</t>
  </si>
  <si>
    <t>Venta 11 (NATALIA)</t>
  </si>
  <si>
    <t>Leads asignados</t>
  </si>
  <si>
    <t>Gestiones</t>
  </si>
  <si>
    <t>Gestión de leads</t>
  </si>
  <si>
    <t>CITAS</t>
  </si>
  <si>
    <t>CIERRES</t>
  </si>
  <si>
    <t>Tasa conversión a citas</t>
  </si>
  <si>
    <t>Citas agendadas</t>
  </si>
  <si>
    <t>Visitas logradas</t>
  </si>
  <si>
    <t>Tasa conversión a visitas</t>
  </si>
  <si>
    <t>Ventas logradas</t>
  </si>
  <si>
    <t>Tasa conversión a ventas</t>
  </si>
  <si>
    <t>Leads no gestionados</t>
  </si>
  <si>
    <t>No gestionados</t>
  </si>
  <si>
    <t>VENTAS LOGRADAS</t>
  </si>
  <si>
    <t>Total gestiones</t>
  </si>
  <si>
    <t>Venta 1 (INGRID) NEGOCIO COMPLEJO</t>
  </si>
  <si>
    <t>Gestión baja</t>
  </si>
  <si>
    <t>Canjes</t>
  </si>
  <si>
    <t>Traslados</t>
  </si>
  <si>
    <t>Novedades vinculaciones</t>
  </si>
  <si>
    <t>Vendidos: 30</t>
  </si>
  <si>
    <t>Carpeta OK: 30</t>
  </si>
  <si>
    <t>Falta firma: 24</t>
  </si>
  <si>
    <t>Vendidos: 16</t>
  </si>
  <si>
    <t>Carpeta OK: 15</t>
  </si>
  <si>
    <t>Se calificará a partir de noviembre</t>
  </si>
  <si>
    <t>LEADS GESTIONADOS</t>
  </si>
  <si>
    <t>LEADS SIN GESTIÓN</t>
  </si>
  <si>
    <t>Falta firma: 26</t>
  </si>
  <si>
    <t>Firmas período: 0</t>
  </si>
  <si>
    <t>Archivo comercial T3 (FALTAN 0)</t>
  </si>
  <si>
    <t>Carpetas Faltantes: 0/87</t>
  </si>
  <si>
    <t>Carpetas período: 7/87</t>
  </si>
  <si>
    <t>≥ 1500/mes</t>
  </si>
  <si>
    <t>Cumplen perfil del cliente objetivo (capacidad económica, interés real, etapa de decisión temprana o intermedia)</t>
  </si>
  <si>
    <t>Conversión leads a citas-Se logró comunicación directa y seguimiento</t>
  </si>
  <si>
    <t>Conversión leads a visitas-Agendan y asisten a sala de ventas o recorrido virtual/presencial</t>
  </si>
  <si>
    <t>% calificados</t>
  </si>
  <si>
    <t>% conversión citas</t>
  </si>
  <si>
    <t>% conversión visitas</t>
  </si>
  <si>
    <t>Leads generados</t>
  </si>
  <si>
    <t>Presupuesto para Meta</t>
  </si>
  <si>
    <t>Invertido Octubre</t>
  </si>
  <si>
    <t>Presupuesto Google Ads</t>
  </si>
  <si>
    <t>Mide el porcentaje de leads que no avanzan en el embudo de ventas y se pierden antes de concretar una oportunidad o cierre, identificando las principales causas para tomar acciones correctivas en la gestión comercial y en la estrategia de generación de leads.</t>
  </si>
  <si>
    <t>Nivel</t>
  </si>
  <si>
    <t>% de leads perdidos</t>
  </si>
  <si>
    <t>Interpretación</t>
  </si>
  <si>
    <r>
      <t xml:space="preserve">🟢 </t>
    </r>
    <r>
      <rPr>
        <b/>
        <sz val="11"/>
        <color theme="1"/>
        <rFont val="Aptos Narrow"/>
        <family val="2"/>
        <scheme val="minor"/>
      </rPr>
      <t>Excelente</t>
    </r>
  </si>
  <si>
    <t>0–30 %</t>
  </si>
  <si>
    <t>Gestión comercial sólida y trazabilidad efectiva</t>
  </si>
  <si>
    <r>
      <t xml:space="preserve">🟡 </t>
    </r>
    <r>
      <rPr>
        <b/>
        <sz val="11"/>
        <color theme="1"/>
        <rFont val="Aptos Narrow"/>
        <family val="2"/>
        <scheme val="minor"/>
      </rPr>
      <t>Aceptable</t>
    </r>
  </si>
  <si>
    <t>31–45 %</t>
  </si>
  <si>
    <t>Buen desempeño, pero requiere ajustes</t>
  </si>
  <si>
    <r>
      <t xml:space="preserve">🟠 </t>
    </r>
    <r>
      <rPr>
        <b/>
        <sz val="11"/>
        <color theme="1"/>
        <rFont val="Aptos Narrow"/>
        <family val="2"/>
        <scheme val="minor"/>
      </rPr>
      <t>En riesgo</t>
    </r>
  </si>
  <si>
    <t>46–60 %</t>
  </si>
  <si>
    <t>Fallas relevantes en seguimiento</t>
  </si>
  <si>
    <r>
      <t xml:space="preserve">🔴 </t>
    </r>
    <r>
      <rPr>
        <b/>
        <sz val="11"/>
        <color theme="1"/>
        <rFont val="Aptos Narrow"/>
        <family val="2"/>
        <scheme val="minor"/>
      </rPr>
      <t>Deficiente</t>
    </r>
  </si>
  <si>
    <t>&gt; 60 %</t>
  </si>
  <si>
    <t>Gestión ineficiente, pérdidas críticas</t>
  </si>
  <si>
    <t>De 1709 Leads, se perdieron 480 en total. 👉 Resultado: 28 % de leads perdidos
👉 Leads  calificados: 72 %</t>
  </si>
  <si>
    <t>Ventas totales mercado</t>
  </si>
  <si>
    <t>Nivel	Participación vs promedio mercado	Interpretación
🟢 Excelente	≥ 15 %	Alta competitividad y liderazgo
🟡 Aceptable	10–14 %	En línea con el promedio del mercado
🟠 En riesgo	7–9 %	Disminución de posicionamiento
🔴 Deficiente	&lt; 7 %	Bajo desempeño frente a la competencia</t>
  </si>
  <si>
    <t>Reducir los leads perdidos por causas de contacto en un 20 % en el próximo trimestre, pasando del 81 % al 65 %.
Aumentar la tasa de contacto efectiva (leads con comunicación establecida dentro de los primeros 5 días) al 85 %.
Implementar reprocesamiento semanal de leads no contactados para agotar los intentos antes de clasificarlos como perdidos.
Capacitar al equipo comercial en gestión de CRM, argumentación de valor y recuperación de leads fríos.                                                                                                  Nivel	% de leads perdidos	Interpretación
🟢 Excelente	0–30 %	Gestión comercial sólida y trazabilidad efectiva
🟡 Aceptable	31–45 %	Buen desempeño, pero requiere ajustes
🟠 En riesgo	46–60 %	Fallas relevantes en seguimiento
🔴 Deficiente	&gt; 60 %	Gestión ineficiente, pérdidas críticas</t>
  </si>
  <si>
    <t>% Participación SM</t>
  </si>
  <si>
    <t>Nivel	Cumplimiento	Calificación
🟢 Excelente	≥ 100 %	Meta alcanzada o superada
🟡 Aceptable	80–99 %	Buen desempeño, requiere seguimiento
🟠 En riesgo	60–79 %	Bajo cumplimiento, tendencia descendente
🔴 Deficiente	&lt; 60 %	Incumplimiento crítico</t>
  </si>
  <si>
    <r>
      <rPr>
        <b/>
        <sz val="11"/>
        <color theme="1"/>
        <rFont val="Aptos Narrow"/>
        <family val="2"/>
        <scheme val="minor"/>
      </rPr>
      <t>Análisis:</t>
    </r>
    <r>
      <rPr>
        <sz val="11"/>
        <color theme="1"/>
        <rFont val="Aptos Narrow"/>
        <family val="2"/>
        <scheme val="minor"/>
      </rPr>
      <t xml:space="preserve">
Durante el mes evaluado, se logró un cumplimiento del 60 % de la meta de ventas, con 12 cierres frente a una meta proyectada de 20 unidades. Aunque se mantiene una actividad comercial constante, el resultado refleja una brecha del 40 % frente al objetivo mensual. Las causas pueden estar relacionadas con la alta tasa de leads no contactados y la disminución en la participación de mercado observada en el mismo periodo.
</t>
    </r>
    <r>
      <rPr>
        <b/>
        <sz val="11"/>
        <color theme="1"/>
        <rFont val="Aptos Narrow"/>
        <family val="2"/>
        <scheme val="minor"/>
      </rPr>
      <t>Conclusión:</t>
    </r>
    <r>
      <rPr>
        <sz val="11"/>
        <color theme="1"/>
        <rFont val="Aptos Narrow"/>
        <family val="2"/>
        <scheme val="minor"/>
      </rPr>
      <t xml:space="preserve">
El indicador se ubica en nivel en riesgo, evidenciando la necesidad de fortalecer la conversión de leads gestionados en cierres efectivos y de reforzar las estrategias comerciales para los próximos meses.
</t>
    </r>
    <r>
      <rPr>
        <b/>
        <sz val="11"/>
        <color theme="1"/>
        <rFont val="Aptos Narrow"/>
        <family val="2"/>
        <scheme val="minor"/>
      </rPr>
      <t>Plan de acción / Meta:</t>
    </r>
    <r>
      <rPr>
        <sz val="11"/>
        <color theme="1"/>
        <rFont val="Aptos Narrow"/>
        <family val="2"/>
        <scheme val="minor"/>
      </rPr>
      <t xml:space="preserve">
Aumentar el cumplimiento al 85 % para el siguiente mes (17 cierres).
Implementar seguimiento reforzado a leads calientes y en negociación.
Aplicar incentivos al equipo comercial orientados al cierre oportuno.
Revisar estrategias de oferta y beneficios para acelerar decisiones de compra.</t>
    </r>
  </si>
  <si>
    <t>Nivel	Cumplimiento	Calificación
🟢 Óptimo	90–100 % del presupuesto	Gasto controlado y eficiente
🟡 Aceptable	80–89 % del presupuesto	Subutilización moderada
🔴 Inadecuado	&lt;80 % del presupuesto	Subutilización significativa</t>
  </si>
  <si>
    <r>
      <rPr>
        <b/>
        <sz val="11"/>
        <color theme="1"/>
        <rFont val="Aptos Narrow"/>
        <family val="2"/>
        <scheme val="minor"/>
      </rPr>
      <t>Análisis:</t>
    </r>
    <r>
      <rPr>
        <sz val="11"/>
        <color theme="1"/>
        <rFont val="Aptos Narrow"/>
        <family val="2"/>
        <scheme val="minor"/>
      </rPr>
      <t xml:space="preserve">
Durante el mes de octubre, la ejecución presupuestal de marketing se mantuvo dentro de los márgenes establecidos, con un 99 % de cumplimiento en campañas Meta y 95 % en Google Ads. Esto refleja una buena planeación y control del gasto, manteniendo el rendimiento de las campañas sin sobrepasar los recursos aprobados.
</t>
    </r>
    <r>
      <rPr>
        <b/>
        <sz val="11"/>
        <color theme="1"/>
        <rFont val="Aptos Narrow"/>
        <family val="2"/>
        <scheme val="minor"/>
      </rPr>
      <t>Conclusión:</t>
    </r>
    <r>
      <rPr>
        <sz val="11"/>
        <color theme="1"/>
        <rFont val="Aptos Narrow"/>
        <family val="2"/>
        <scheme val="minor"/>
      </rPr>
      <t xml:space="preserve">
El indicador presenta cumplimiento óptimo, evidenciando eficiencia en la gestión presupuestal del área de mercadeo.
</t>
    </r>
    <r>
      <rPr>
        <b/>
        <sz val="11"/>
        <color theme="1"/>
        <rFont val="Aptos Narrow"/>
        <family val="2"/>
        <scheme val="minor"/>
      </rPr>
      <t>Plan de acción / Meta:</t>
    </r>
    <r>
      <rPr>
        <sz val="11"/>
        <color theme="1"/>
        <rFont val="Aptos Narrow"/>
        <family val="2"/>
        <scheme val="minor"/>
      </rPr>
      <t xml:space="preserve">
Mantener la ejecución entre 95 % y 100 % del presupuesto mensual.
Revisar rendimiento de anuncios para maximizar retorno por peso invertido (ROAS).
Ajustar la inversión del siguiente mes con base en conversiones efectivas de cada plataforma.</t>
    </r>
  </si>
  <si>
    <t>Nivel	CPL alcanzado	Calificación
🟢 Óptimo	≤ $3.000	Eficiencia sobresaliente
🟡 Bueno	$3.001 – $7.000	Rendimiento adecuado
🔵 Aceptable	$7.001 – $10.000	Meta cumplida, optimizable
🔴 Deficiente	&gt; $10.000	Meta no cumplida</t>
  </si>
  <si>
    <r>
      <rPr>
        <b/>
        <sz val="11"/>
        <color theme="1"/>
        <rFont val="Aptos Narrow"/>
        <family val="2"/>
        <scheme val="minor"/>
      </rPr>
      <t>Análisis:</t>
    </r>
    <r>
      <rPr>
        <sz val="11"/>
        <color theme="1"/>
        <rFont val="Aptos Narrow"/>
        <family val="2"/>
        <scheme val="minor"/>
      </rPr>
      <t xml:space="preserve">
Durante octubre, el costo por lead se redujo de $1.130 a $857, reflejando una optimización del 24 % respecto al mes anterior. La estrategia del subsidio permitió captar leads calificados a un costo muy inferior al promedio histórico, consolidando un excelente retorno de inversión publicitaria.
</t>
    </r>
    <r>
      <rPr>
        <b/>
        <sz val="11"/>
        <color theme="1"/>
        <rFont val="Aptos Narrow"/>
        <family val="2"/>
        <scheme val="minor"/>
      </rPr>
      <t>Conclusión:</t>
    </r>
    <r>
      <rPr>
        <sz val="11"/>
        <color theme="1"/>
        <rFont val="Aptos Narrow"/>
        <family val="2"/>
        <scheme val="minor"/>
      </rPr>
      <t xml:space="preserve">
El indicador presenta cumplimiento óptimo. Se evidencia eficiencia en la gestión de campañas digitales y mejora continua en el costo de adquisición de clientes potenciales.
</t>
    </r>
    <r>
      <rPr>
        <b/>
        <sz val="11"/>
        <color theme="1"/>
        <rFont val="Aptos Narrow"/>
        <family val="2"/>
        <scheme val="minor"/>
      </rPr>
      <t>Plan de acción:</t>
    </r>
    <r>
      <rPr>
        <sz val="11"/>
        <color theme="1"/>
        <rFont val="Aptos Narrow"/>
        <family val="2"/>
        <scheme val="minor"/>
      </rPr>
      <t xml:space="preserve">
Mantener estrategias de segmentación similares a las de la campaña del subsidio.
Replicar anuncios de mayor conversión en Meta Ads.
Realizar seguimiento al CPL por canal (Meta vs Google Ads) para mantener el promedio mensual por debajo de $1.000.</t>
    </r>
  </si>
  <si>
    <t>Cumplimiento de Meta de Leads Generados</t>
  </si>
  <si>
    <t>Mide el grado de cumplimiento de la meta establecida de generación de leads mensuales a través de las campañas digitales: Ago-Sept= 600. Oct= 1500</t>
  </si>
  <si>
    <r>
      <rPr>
        <b/>
        <sz val="11"/>
        <color theme="1"/>
        <rFont val="Aptos Narrow"/>
        <family val="2"/>
        <scheme val="minor"/>
      </rPr>
      <t>Conclusión:</t>
    </r>
    <r>
      <rPr>
        <sz val="11"/>
        <color theme="1"/>
        <rFont val="Aptos Narrow"/>
        <family val="2"/>
        <scheme val="minor"/>
      </rPr>
      <t xml:space="preserve">
Durante octubre se generaron 1.709 leads, superando la meta de 1.500. Este desempeño evidencia una excelente ejecución en la atracción digital y una mejora sostenida en la eficiencia publicitaria, apoyada por la optimización del presupuesto y la reducción del CPL.
El volumen de leads captados garantiza un flujo constante para la gestión comercial durante el mes siguiente.
</t>
    </r>
    <r>
      <rPr>
        <b/>
        <sz val="11"/>
        <color theme="1"/>
        <rFont val="Aptos Narrow"/>
        <family val="2"/>
        <scheme val="minor"/>
      </rPr>
      <t>Plan de acción:</t>
    </r>
    <r>
      <rPr>
        <sz val="11"/>
        <color theme="1"/>
        <rFont val="Aptos Narrow"/>
        <family val="2"/>
        <scheme val="minor"/>
      </rPr>
      <t xml:space="preserve">
Mantener la estrategia de segmentación y pauta utilizada en octubre.
Analizar la calidad de los leads generados (tasa de calificación y conversión posterior).
Incrementar el presupuesto progresivamente si el CPL se mantiene por debajo de $1.000.</t>
    </r>
  </si>
  <si>
    <r>
      <t xml:space="preserve">1709 generados - 480 leads perdidos = 1339 leads calificados, incremento del 108% respecto al periodo anterior.                                                                                                                                                                        </t>
    </r>
    <r>
      <rPr>
        <b/>
        <sz val="11"/>
        <color theme="1"/>
        <rFont val="Aptos Narrow"/>
        <family val="2"/>
        <scheme val="minor"/>
      </rPr>
      <t>Conclusión:</t>
    </r>
    <r>
      <rPr>
        <sz val="11"/>
        <color theme="1"/>
        <rFont val="Aptos Narrow"/>
        <family val="2"/>
        <scheme val="minor"/>
      </rPr>
      <t xml:space="preserve">
El 78 % de los leads generados en octubre fueron calificados, evidenciando una excelente segmentación y efectividad de las campañas digitales.
La calidad de los contactos obtenidos respalda la eficiencia del gasto publicitario y fortalece la etapa de conversión comercial.</t>
    </r>
  </si>
  <si>
    <t>Nivel	Cumplimiento	Evaluación
🟢 Óptimo	30 %–50 %	Cumple o supera la meta
🟡 Aceptable	15 %–29 %	En rango de mejora
🔴 Bajo	&lt; 15 %	No cumple la meta</t>
  </si>
  <si>
    <t>Nivel	Cumplimiento	Evaluación
🟢 Óptimo	60 %–80 %	Cumple o supera la meta
🟡 Aceptable	40 %–59 %	Desempeño moderado
🔴 Bajo	&lt; 40 %	No cumple con la meta</t>
  </si>
  <si>
    <t>Nivel	Cumplimiento	Evaluación
🟢 Óptimo	&gt; 40 %	Supera ampliamente la meta
🟡 Aceptable	25 – 40 %	Dentro del rango esperado
🔴 Bajo	&lt; 25 %	No cumple con el objetivo</t>
  </si>
  <si>
    <t>Nivel	Cumplimiento	Evaluación
🟢 Óptimo	3 %–8 %	Cumple o supera la meta
🟡 Aceptable	1 %–2,9 %	En rango de mejora
🔴 Bajo	&lt; 1 %	No cumple la meta</t>
  </si>
  <si>
    <t>Leads Calificados = Nuˊmero de leads calificados​ / Total leads generados</t>
  </si>
  <si>
    <t>Cumplimiento meta generación leads = Leads generados / Meta Leads)</t>
  </si>
  <si>
    <t>CPL = Costo Total de Campañas Digitales / Número de Leads Calificados</t>
  </si>
  <si>
    <t xml:space="preserve">Tasa de Conversión a Citas (%)= Número de citas agendadas / Total leads calificados </t>
  </si>
  <si>
    <t>Tasa de Conversión a Visitas (%) = Número de visitas efectivas / total de leads calificados</t>
  </si>
  <si>
    <t>Tasa de Conversión ventas canales digitales (%) = Ventas digitales / Ventas totales</t>
  </si>
  <si>
    <t>Ventas digitales</t>
  </si>
  <si>
    <t>Ventas totales</t>
  </si>
  <si>
    <t>Ventas digitales totales</t>
  </si>
  <si>
    <t>Mide el porcentaje de ventas totales del proyecto que se originaron desde canales digitales (campañas pagas, redes sociales, formularios web, CRM, etc.).
Permite identificar la efectividad del canal digital como fuente de cierres y su aporte a los resultados comerciales generales.</t>
  </si>
  <si>
    <t>Nivel	Cumplimiento	Evaluación
🟢 Óptimo	≥ 50 %	Alta participación digital
🟡 Aceptable	30 %–49 %	Participación moderada
🔴 Bajo	&lt; 30 %	Baja contribución del canal digital</t>
  </si>
  <si>
    <r>
      <rPr>
        <b/>
        <sz val="11"/>
        <color theme="1"/>
        <rFont val="Aptos Narrow"/>
        <family val="2"/>
        <scheme val="minor"/>
      </rPr>
      <t>Conclusión ejecutiva:</t>
    </r>
    <r>
      <rPr>
        <sz val="11"/>
        <color theme="1"/>
        <rFont val="Aptos Narrow"/>
        <family val="2"/>
        <scheme val="minor"/>
      </rPr>
      <t xml:space="preserve">
En octubre, el canal digital representó dos tercios (66,67 %) de las ventas totales del proyecto Ciudadela San Miguel, consolidándose como la principal fuente de captación y cierre.
Esto refleja una estrategia digital sólida y bien dirigida, aunque es necesario optimizar las etapas intermedias del embudo (cita y visita) para mejorar la tasa final de conversión.
</t>
    </r>
    <r>
      <rPr>
        <b/>
        <sz val="11"/>
        <color theme="1"/>
        <rFont val="Aptos Narrow"/>
        <family val="2"/>
        <scheme val="minor"/>
      </rPr>
      <t>Plan de acción:</t>
    </r>
    <r>
      <rPr>
        <sz val="11"/>
        <color theme="1"/>
        <rFont val="Aptos Narrow"/>
        <family val="2"/>
        <scheme val="minor"/>
      </rPr>
      <t xml:space="preserve">
Mantener la inversión y segmentación de las campañas digitales.
Integrar seguimiento prioritario para leads provenientes de pauta (alto potencial de cierre).
Realizar análisis mensual de ventas digitales vs. presenciales para identificar patrones de comportamiento.
Diseñar estrategias de remarketing y fidelización de clientes digitales.</t>
    </r>
  </si>
  <si>
    <t>Participación de Ventas por Canales Digitales</t>
  </si>
  <si>
    <r>
      <rPr>
        <b/>
        <sz val="11"/>
        <color theme="1"/>
        <rFont val="Aptos Narrow"/>
        <family val="2"/>
        <scheme val="minor"/>
      </rPr>
      <t xml:space="preserve">Conclusión: </t>
    </r>
    <r>
      <rPr>
        <sz val="11"/>
        <color theme="1"/>
        <rFont val="Aptos Narrow"/>
        <family val="2"/>
        <scheme val="minor"/>
      </rPr>
      <t>Con 28 % de leads perdidos, el indicador se ubica en el rango verde (Excelente), lo que demuestra una muy buena eficiencia comercial general.
Aunque el resultado global es positivo, sigue siendo importante revisar las causas internas de pérdida:
El 81 % de los leads perdidos se concentraron en “Imposible contacto” y “No contesta seguimiento”.
Esto indica que, si bien el volumen total de pérdidas es bajo, la mayoría de las causas siguen siendo operativas (contacto, trazabilidad o validación de datos).
Por tanto, el desempeño global es bueno, pero la calidad del seguimiento inicial aún requiere mejora para no depender tanto del volumen de leads entrantes.</t>
    </r>
  </si>
  <si>
    <r>
      <t xml:space="preserve">En octubre, Ciudadela San Miguel registró una participación de mercado del 7,2 %, ubicándose en nivel en riesgo frente a la competencia. La disminución se relaciona con el protagonismo de proyectos nuevos como Azzuri y Tierra Dulce, que concentraron más del 50 % de las ventas del mercado.
</t>
    </r>
    <r>
      <rPr>
        <b/>
        <sz val="11"/>
        <color theme="1"/>
        <rFont val="Aptos Narrow"/>
        <family val="2"/>
        <scheme val="minor"/>
      </rPr>
      <t>Conclusión:</t>
    </r>
    <r>
      <rPr>
        <sz val="11"/>
        <color theme="1"/>
        <rFont val="Aptos Narrow"/>
        <family val="2"/>
        <scheme val="minor"/>
      </rPr>
      <t xml:space="preserve">
El indicador evidencia una disminución en el posicionamiento del proyecto, lo que requiere reactivar estrategias comerciales para recuperar cuota y visibilidad frente a los nuevos competidores.
</t>
    </r>
    <r>
      <rPr>
        <b/>
        <sz val="11"/>
        <color theme="1"/>
        <rFont val="Aptos Narrow"/>
        <family val="2"/>
        <scheme val="minor"/>
      </rPr>
      <t>Plan de acción :</t>
    </r>
    <r>
      <rPr>
        <sz val="11"/>
        <color theme="1"/>
        <rFont val="Aptos Narrow"/>
        <family val="2"/>
        <scheme val="minor"/>
      </rPr>
      <t xml:space="preserve">
Incrementar la participación al mínimo 10 % para el mes siguiente.
Reforzar la presencia comercial y digital en canales de alto tráfico.
Potenciar las visitas y cierres con estrategias de acompañamiento post-visita y beneficios temporales.</t>
    </r>
  </si>
  <si>
    <t>Participación de mercado %= Ventas Empresa / Ventas Totales del Mercado</t>
  </si>
  <si>
    <t>Cumplimiento de Alianzas (%) = Número de alianzas formalizadas / Meta trimestral</t>
  </si>
  <si>
    <t>≥ 6 nuevas alianzas por trimestre. Nivel	Cumplimiento	Evaluación
🟢 Óptimo	≥ 100 %	Meta cumplida o superada
🟡 Aceptable	70–99 %	Avance favorable, en curso
🔴 Bajo	&lt; 70 %	Avance insuficiente</t>
  </si>
  <si>
    <t>Total alianzas</t>
  </si>
  <si>
    <r>
      <rPr>
        <b/>
        <sz val="11"/>
        <color theme="1"/>
        <rFont val="Aptos Narrow"/>
        <family val="2"/>
        <scheme val="minor"/>
      </rPr>
      <t>Análisis:</t>
    </r>
    <r>
      <rPr>
        <sz val="11"/>
        <color theme="1"/>
        <rFont val="Aptos Narrow"/>
        <family val="2"/>
        <scheme val="minor"/>
      </rPr>
      <t xml:space="preserve">
Durante octubre se formalizaron 4 ventas en alianzas (3 por participación en feria y 1 por programa de referidos), alcanzando un 83 % de la meta trimestral en el primer mes.
Estas 4 ventas directas, demuestran efectividad comercial y retorno tangible de las estrategias implementadas.
Con una sola alianza adicional, se logrará cumplir al 100 % la meta antes del cierre del trimestre, proyectando un desempeño sobresaliente en la gestión comercial y de marketing.                      </t>
    </r>
    <r>
      <rPr>
        <b/>
        <sz val="11"/>
        <color theme="1"/>
        <rFont val="Aptos Narrow"/>
        <family val="2"/>
        <scheme val="minor"/>
      </rPr>
      <t>Proyección noviembre–diciembre:</t>
    </r>
    <r>
      <rPr>
        <sz val="11"/>
        <color theme="1"/>
        <rFont val="Aptos Narrow"/>
        <family val="2"/>
        <scheme val="minor"/>
      </rPr>
      <t xml:space="preserve">
Meta: formalizar al menos una alianza adicional para cumplir la meta trimestral (≥6).
Enfoque sugerido: consolidar alianzas con entidades financieras, empresas locales o convenios corporativos, buscando aumentar el flujo de referidos y cierres por canal externo.</t>
    </r>
  </si>
  <si>
    <t>Promedio de Cumplimiento (%) = ∑% Cumplimiento individual​ /  Nº de asesores</t>
  </si>
  <si>
    <t>Promedio equipo</t>
  </si>
  <si>
    <t>Nivel	Cumplimiento Promedio	Evaluación
🟢 Óptimo	≥ 90 %	Meta cumplida
🟡 Aceptable	70–89 %	Avance moderado
🔴 Bajo	&lt; 70 %	Desempeño bajo</t>
  </si>
  <si>
    <r>
      <rPr>
        <b/>
        <sz val="11"/>
        <color theme="1"/>
        <rFont val="Aptos Narrow"/>
        <family val="2"/>
        <scheme val="minor"/>
      </rPr>
      <t>Análisis:</t>
    </r>
    <r>
      <rPr>
        <sz val="11"/>
        <color theme="1"/>
        <rFont val="Aptos Narrow"/>
        <family val="2"/>
        <scheme val="minor"/>
      </rPr>
      <t xml:space="preserve">
El equipo comercial obtuvo un promedio general de cumplimiento del 68 %, ubicándose por debajo de la meta establecida (≥90 %).
Solo Ingrid alcanzó un desempeño cercano al objetivo (86 %), mientras que Natalia y Alzurak presentaron resultados inferiores, reflejando baja efectividad individual y necesidad de refuerzo en gestión comercial.
Entre los factores que pueden influir se identifican:
Dificultades en seguimiento de leads y cierres.
Periodo de transición en estrategias digitales.
Altos volúmenes de leads nuevos que aún no se convierten en ventas.
Se recomienda establecer un plan de mejora por asesor, con metas semanales de cierres y seguimiento diferenciado según desempeño histórico.</t>
    </r>
  </si>
  <si>
    <t>🟢 “Óptimo”: ≥ 2,5 %
🟡 “Aceptable”: 1,8 % – &lt; 2,5 %
🔴 “Bajo”: &lt; 1,8 %</t>
  </si>
  <si>
    <r>
      <rPr>
        <b/>
        <sz val="11"/>
        <color theme="1"/>
        <rFont val="Aptos Narrow"/>
        <family val="2"/>
        <scheme val="minor"/>
      </rPr>
      <t>Análisis:</t>
    </r>
    <r>
      <rPr>
        <sz val="11"/>
        <color theme="1"/>
        <rFont val="Aptos Narrow"/>
        <family val="2"/>
        <scheme val="minor"/>
      </rPr>
      <t xml:space="preserve">
El nivel de gestión y conversión actual se encuentra por debajo de los parámetros esperados del mercado inmobiliario, donde los equipos digitales suelen alcanzar tasas de conversión del 2 % al 3 % con un volumen de gestión superior a 700–900 leads mensuales por asesor.
En este caso:El equipo está gestionando apenas una cuarta parte del volumen esperado (25 %).
Sin embargo, el índice de conversión por lead (1,24 %) indica potencial de mejora, ya que con mayor volumen y seguimiento podría escalar hacia la meta del 2 %.
Esto sugiere que el cuello de botella principal no está en la calidad de cierre, sino en la intensidad de gestión de leads: los asesores no están alcanzando el número de contactos diarios planificados.
</t>
    </r>
    <r>
      <rPr>
        <b/>
        <sz val="11"/>
        <color theme="1"/>
        <rFont val="Aptos Narrow"/>
        <family val="2"/>
        <scheme val="minor"/>
      </rPr>
      <t>Conclusión y Calificación:</t>
    </r>
    <r>
      <rPr>
        <sz val="11"/>
        <color theme="1"/>
        <rFont val="Aptos Narrow"/>
        <family val="2"/>
        <scheme val="minor"/>
      </rPr>
      <t xml:space="preserve">
Resultado actual: 1,24 % (bajo desempeño).
Meta recomendada según mercado: 2 % mínimo, 2,5 % deseado.
Cumplimiento: 62 % del estándar esperado.
Calificación: 🔴 Bajo, con potencial de mejora.
</t>
    </r>
    <r>
      <rPr>
        <b/>
        <sz val="11"/>
        <color theme="1"/>
        <rFont val="Aptos Narrow"/>
        <family val="2"/>
        <scheme val="minor"/>
      </rPr>
      <t>Plan de acción:</t>
    </r>
    <r>
      <rPr>
        <sz val="11"/>
        <color theme="1"/>
        <rFont val="Aptos Narrow"/>
        <family val="2"/>
        <scheme val="minor"/>
      </rPr>
      <t xml:space="preserve">
Reforzar seguimiento diario de leads: verificar cumplimiento del estándar de 35 contactos diarios por asesor.
Optimizar segmentación: priorizar leads calientes o con interacción reciente para elevar tasa de cierre.
Implementar tablero semanal: seguimiento de metas individuales (leads gestionados, citas, cierres).
Coaching comercial: acompañamiento en técnicas de cierre y objeciones.
Ajustar meta progresiva:
Noviembre: meta 1,6 %
Diciembre: meta 2,0 %</t>
    </r>
  </si>
  <si>
    <t>ASESORA</t>
  </si>
  <si>
    <r>
      <rPr>
        <b/>
        <sz val="11"/>
        <color theme="1"/>
        <rFont val="Aptos Narrow"/>
        <family val="2"/>
        <scheme val="minor"/>
      </rPr>
      <t xml:space="preserve">0,47% / 3% = 15,7 % del cumplimiento esperado      </t>
    </r>
    <r>
      <rPr>
        <sz val="11"/>
        <color theme="1"/>
        <rFont val="Aptos Narrow"/>
        <family val="2"/>
        <scheme val="minor"/>
      </rPr>
      <t xml:space="preserve">                                                                                      En octubre se concretaron 8 ventas originadas desde canales digitales, representando una tasa de conversión del 0,47 % frente al total de leads generados. Aunque se duplicó el número de cierres respecto a septiembre (de 4 a 8), el resultado continúa muy por debajo del rango meta (3 %–8 %).
Esto refleja una brecha importante entre el volumen de oportunidades generadas y la efectividad para concretarlas, lo que podría estar asociado a:
Falta de seguimiento personalizado posterior a la visita.
Desalineación entre el discurso comercial y las expectativas generadas en las campañas digitales.
Baja tasa de asistencia a sala de ventas (2,84 %) que limita la conversión final.                                                 </t>
    </r>
    <r>
      <rPr>
        <b/>
        <sz val="11"/>
        <color theme="1"/>
        <rFont val="Aptos Narrow"/>
        <family val="2"/>
        <scheme val="minor"/>
      </rPr>
      <t>Conclusión:</t>
    </r>
    <r>
      <rPr>
        <sz val="11"/>
        <color theme="1"/>
        <rFont val="Aptos Narrow"/>
        <family val="2"/>
        <scheme val="minor"/>
      </rPr>
      <t xml:space="preserve">
Aunque el número de ventas digitales se duplicó respecto al mes anterior, la tasa de conversión sigue siendo baja (0,47 %) frente al total de leads generados.
El embudo muestra una gran pérdida entre las etapas de calificación, cita, visita y cierre, lo cual limita la rentabilidad de la inversión digital.
</t>
    </r>
    <r>
      <rPr>
        <b/>
        <sz val="11"/>
        <color theme="1"/>
        <rFont val="Aptos Narrow"/>
        <family val="2"/>
        <scheme val="minor"/>
      </rPr>
      <t xml:space="preserve">Plan de acción:
</t>
    </r>
    <r>
      <rPr>
        <sz val="11"/>
        <color theme="1"/>
        <rFont val="Aptos Narrow"/>
        <family val="2"/>
        <scheme val="minor"/>
      </rPr>
      <t>Fortalecer la gestión post-visita y seguimiento inmediato de clientes interesados.
Implementar remarketing con enfoque en usuarios que visitaron sala o interactuaron más de una vez.
Revisar mensajes de cierre y objeciones más comunes para ajustar la comunicación comercial.
Integrar informes de Zoho CRM con campañas activas para detectar puntos de fuga del embudo.</t>
    </r>
  </si>
  <si>
    <r>
      <rPr>
        <b/>
        <sz val="11"/>
        <color theme="1"/>
        <rFont val="Aptos Narrow"/>
        <family val="2"/>
        <scheme val="minor"/>
      </rPr>
      <t xml:space="preserve">2,84 % / 30% = 9,5 % del cumplimiento esperado     </t>
    </r>
    <r>
      <rPr>
        <sz val="11"/>
        <color theme="1"/>
        <rFont val="Aptos Narrow"/>
        <family val="2"/>
        <scheme val="minor"/>
      </rPr>
      <t xml:space="preserve">                                                                          Visitas (26) + ganados (12)= 38. Durante octubre se registraron 38 visitas efectivas de 1.339 leads calificados, alcanzando una tasa de conversión del 2,84 %, muy por debajo del rango meta.
A pesar del crecimiento de 26,67 % en volumen de visitas respecto a septiembre (de 30 a 38), la proporción frente al total de leads calificados indica bajo nivel de interés en la etapa final del embudo o deficiencias en la gestión de cierre de citas a visitas. Esto puede reflejar:
Falta de seguimiento posterior a la cita agendada.
Leads que no fueron suficientemente nutridos o preparados antes de invitar a la visita.
Posible saturación del equipo comercial frente al alto volumen de leads calificados.                                 </t>
    </r>
    <r>
      <rPr>
        <b/>
        <sz val="11"/>
        <color theme="1"/>
        <rFont val="Aptos Narrow"/>
        <family val="2"/>
        <scheme val="minor"/>
      </rPr>
      <t>Conclusión:</t>
    </r>
    <r>
      <rPr>
        <sz val="11"/>
        <color theme="1"/>
        <rFont val="Aptos Narrow"/>
        <family val="2"/>
        <scheme val="minor"/>
      </rPr>
      <t xml:space="preserve">
La conversión a visitas durante octubre fue muy baja (2,84 %), lo que evidencia una brecha entre la generación de leads calificados y la atracción efectiva hacia la sala de ventas.
El indicador requiere acciones inmediatas para fortalecer la conexión entre marketing y ventas, mejorar la comunicación post-cita y reforzar el seguimiento a clientes interesados.
</t>
    </r>
    <r>
      <rPr>
        <b/>
        <sz val="11"/>
        <color theme="1"/>
        <rFont val="Aptos Narrow"/>
        <family val="2"/>
        <scheme val="minor"/>
      </rPr>
      <t>Plan de acción</t>
    </r>
    <r>
      <rPr>
        <sz val="11"/>
        <color theme="1"/>
        <rFont val="Aptos Narrow"/>
        <family val="2"/>
        <scheme val="minor"/>
      </rPr>
      <t xml:space="preserve">
Implementar recordatorios automáticos y confirmaciones previas a la visita.
Capacitar al equipo comercial en técnicas de cierre de citas a visitas.
Analizar causas de no asistencia (distancia, tiempos, expectativas del cliente).
Priorizar la gestión personalizada de los leads con mayor calificación (Zoho Score alto).</t>
    </r>
  </si>
  <si>
    <r>
      <rPr>
        <b/>
        <sz val="11"/>
        <color theme="1"/>
        <rFont val="Aptos Narrow"/>
        <family val="2"/>
        <scheme val="minor"/>
      </rPr>
      <t>13,37 % / 60 % = 22 % del cumplimiento esperado                                         Conclusión:</t>
    </r>
    <r>
      <rPr>
        <sz val="11"/>
        <color theme="1"/>
        <rFont val="Aptos Narrow"/>
        <family val="2"/>
        <scheme val="minor"/>
      </rPr>
      <t xml:space="preserve">
Aunque se evidenció un aumento en el número de citas gestionadas (297 % más que en septiembre), la efectividad comercial sigue siendo baja frente al volumen de leads calificados.
Se requiere fortalecer la estrategia de contacto y seguimiento, priorizando la gestión inmediata de leads nuevos y mejorando la tasa de respuesta en el primer contacto.
</t>
    </r>
    <r>
      <rPr>
        <b/>
        <sz val="11"/>
        <color theme="1"/>
        <rFont val="Aptos Narrow"/>
        <family val="2"/>
        <scheme val="minor"/>
      </rPr>
      <t>Plan de acción:</t>
    </r>
    <r>
      <rPr>
        <sz val="11"/>
        <color theme="1"/>
        <rFont val="Aptos Narrow"/>
        <family val="2"/>
        <scheme val="minor"/>
      </rPr>
      <t xml:space="preserve">
Implementar un protocolo de contacto rápido (respuesta en menos de 24 h) (Chatbot)
Automatizar alertas en Zoho CRM para leads sin seguimiento.
Reasignar leads inactivos o sin respuesta a otros asesores.
Medir semanalmente la tasa de contacto efectivo por asesor.</t>
    </r>
  </si>
  <si>
    <t>Vendidos: 138</t>
  </si>
  <si>
    <t>Carpeta OK: 71</t>
  </si>
  <si>
    <t>Vendidos: 87</t>
  </si>
  <si>
    <t>Carpeta OK: 66</t>
  </si>
  <si>
    <t>Vendidos: 76</t>
  </si>
  <si>
    <t>Carpeta OK: 128</t>
  </si>
  <si>
    <t>Firmados: 80</t>
  </si>
  <si>
    <t>Doc soporte: 64</t>
  </si>
  <si>
    <t>Firmados: 36</t>
  </si>
  <si>
    <t>Doc soporte: 36</t>
  </si>
  <si>
    <t>Firmados: 48</t>
  </si>
  <si>
    <t>Doc soporte: 44</t>
  </si>
  <si>
    <t>Firmados: 1</t>
  </si>
  <si>
    <t>Doc soporte: 1</t>
  </si>
  <si>
    <t>Vendidos: 26</t>
  </si>
  <si>
    <t>Carpeta OK: 25</t>
  </si>
  <si>
    <t>Vendidos: 7</t>
  </si>
  <si>
    <t>Carpeta OK: 2</t>
  </si>
  <si>
    <t>ITEM</t>
  </si>
  <si>
    <t>98% de negocios completos y actualizados.                                                          Nivel	Cumplimiento	Evaluación
🟢 Óptimo	≥ 98 %	Cumple o supera la meta
🟡 Aceptable	90 % – 97 %	En rango de mejora
🔴 Bajo	&lt; 90 %	No cumple con la meta</t>
  </si>
  <si>
    <r>
      <rPr>
        <b/>
        <sz val="11"/>
        <color theme="1"/>
        <rFont val="Aptos Narrow"/>
        <family val="2"/>
        <scheme val="minor"/>
      </rPr>
      <t xml:space="preserve">88% / 98% = 89,79% del cumplimiento esperado    </t>
    </r>
    <r>
      <rPr>
        <sz val="11"/>
        <color theme="1"/>
        <rFont val="Aptos Narrow"/>
        <family val="2"/>
        <scheme val="minor"/>
      </rPr>
      <t xml:space="preserve">                                                                                        </t>
    </r>
    <r>
      <rPr>
        <b/>
        <sz val="11"/>
        <color theme="1"/>
        <rFont val="Aptos Narrow"/>
        <family val="2"/>
        <scheme val="minor"/>
      </rPr>
      <t>Conclusión:</t>
    </r>
    <r>
      <rPr>
        <sz val="11"/>
        <color theme="1"/>
        <rFont val="Aptos Narrow"/>
        <family val="2"/>
        <scheme val="minor"/>
      </rPr>
      <t xml:space="preserve">
La precisión del CRM se encuentra en 88 %, evidenciando brechas de actualización que limitan la trazabilidad de las operaciones comerciales.
El resultado requiere acciones correctivas inmediatas en control documental y sincronización de información entre ventas, archivo y posventa.
</t>
    </r>
    <r>
      <rPr>
        <b/>
        <sz val="11"/>
        <color theme="1"/>
        <rFont val="Aptos Narrow"/>
        <family val="2"/>
        <scheme val="minor"/>
      </rPr>
      <t>Plan de acción:</t>
    </r>
    <r>
      <rPr>
        <sz val="11"/>
        <color theme="1"/>
        <rFont val="Aptos Narrow"/>
        <family val="2"/>
        <scheme val="minor"/>
      </rPr>
      <t xml:space="preserve">
Depurar y actualizar información faltante en CRM de T1 y Croma antes del 30 de noviembre.
Implementar checklist obligatorio de “Carpeta OK” previo al registro de negocio cerrado.
Asignar responsables por torre con validación semanal del avance de actualización.
Automatizar alertas en Zoho CRM para negocios sin documentos completos.
Meta noviembre: elevar precisión global al 95 %, con cumplimiento del 98 % al cierre del trimestre (diciembre).</t>
    </r>
  </si>
  <si>
    <r>
      <rPr>
        <b/>
        <sz val="11"/>
        <color theme="1"/>
        <rFont val="Aptos Narrow"/>
        <family val="2"/>
        <scheme val="minor"/>
      </rPr>
      <t>Análisis:</t>
    </r>
    <r>
      <rPr>
        <sz val="11"/>
        <color theme="1"/>
        <rFont val="Aptos Narrow"/>
        <family val="2"/>
        <scheme val="minor"/>
      </rPr>
      <t xml:space="preserve">
El tiempo promedio de cierre fue de 12,75 días, lo cual representa un desempeño altamente eficiente frente al estándar corporativo (30 días).
Esto indica un ciclo comercial ágil, con una gestión efectiva de seguimiento, argumentación y cierre.
Se observan casos puntuales (ventas 1 y 7) con ciclos más largos (35 y 37 días), pero no afectan el promedio general.
</t>
    </r>
    <r>
      <rPr>
        <b/>
        <sz val="11"/>
        <color theme="1"/>
        <rFont val="Aptos Narrow"/>
        <family val="2"/>
        <scheme val="minor"/>
      </rPr>
      <t>Posibles factores de éxito:</t>
    </r>
    <r>
      <rPr>
        <sz val="11"/>
        <color theme="1"/>
        <rFont val="Aptos Narrow"/>
        <family val="2"/>
        <scheme val="minor"/>
      </rPr>
      <t xml:space="preserve">
Campaña de subsidio que generó leads más calientes.
Mejora en tiempos de respuesta y calificación de leads.
Mayor dominio comercial por parte de Ingrid y Natalia.
</t>
    </r>
    <r>
      <rPr>
        <b/>
        <sz val="11"/>
        <color theme="1"/>
        <rFont val="Aptos Narrow"/>
        <family val="2"/>
        <scheme val="minor"/>
      </rPr>
      <t>Aspectos por vigilar:</t>
    </r>
    <r>
      <rPr>
        <sz val="11"/>
        <color theme="1"/>
        <rFont val="Aptos Narrow"/>
        <family val="2"/>
        <scheme val="minor"/>
      </rPr>
      <t xml:space="preserve">
Homogeneizar los resultados entre asesores (Ingrid concentra los cierres más rápidos y más ventas).
Evaluar si los cierres exprés (0–3 días) corresponden a clientes recurrentes o referidos (para ajustar el embudo real).                                                                                                                                                                    </t>
    </r>
    <r>
      <rPr>
        <b/>
        <sz val="11"/>
        <color theme="1"/>
        <rFont val="Aptos Narrow"/>
        <family val="2"/>
        <scheme val="minor"/>
      </rPr>
      <t>Conclusión:</t>
    </r>
    <r>
      <rPr>
        <sz val="11"/>
        <color theme="1"/>
        <rFont val="Aptos Narrow"/>
        <family val="2"/>
        <scheme val="minor"/>
      </rPr>
      <t xml:space="preserve">
El área comercial presenta una eficiencia sobresaliente en el cierre de negocios (12,75 días promedio), reflejando procesos ágiles de conversión y acompañamiento al cliente.
El resultado cumple ampliamente la meta establecida y demuestra un buen desempeño en gestión de leads calificados y seguimiento oportuno.
</t>
    </r>
    <r>
      <rPr>
        <b/>
        <sz val="11"/>
        <color theme="1"/>
        <rFont val="Aptos Narrow"/>
        <family val="2"/>
        <scheme val="minor"/>
      </rPr>
      <t>Plan de acción</t>
    </r>
    <r>
      <rPr>
        <sz val="11"/>
        <color theme="1"/>
        <rFont val="Aptos Narrow"/>
        <family val="2"/>
        <scheme val="minor"/>
      </rPr>
      <t xml:space="preserve">
Mantener el promedio ≤ 15 días para el cierre de leads calificados.
Documentar buenas prácticas de Ingrid y Natalia para replicarlas en el equipo.
Monitorear cierres mayores a 30 días para identificar causas de demora (validaciones, documentos, tiempos de escrituración).
Incorporar alerta automática en Zoho CRM cuando un lead supere 20 días sin cierre o avance de etapa.</t>
    </r>
  </si>
  <si>
    <t>Porcentaje por canal= Ventas canal X / Ventas totales</t>
  </si>
  <si>
    <t>CANAL</t>
  </si>
  <si>
    <r>
      <rPr>
        <b/>
        <sz val="11"/>
        <color theme="1"/>
        <rFont val="Aptos Narrow"/>
        <family val="2"/>
        <scheme val="minor"/>
      </rPr>
      <t>Conclusión:</t>
    </r>
    <r>
      <rPr>
        <sz val="11"/>
        <color theme="1"/>
        <rFont val="Aptos Narrow"/>
        <family val="2"/>
        <scheme val="minor"/>
      </rPr>
      <t xml:space="preserve">
Durante octubre, la distribución de ventas por canal alcanzó un cumplimiento global del 57 %, con un buen desempeño digital pero baja participación de referidos y ventas tradicionales.
El canal digital sigue siendo el más eficiente, confirmando el impacto de las campañas online, mientras que los referidos requieren un plan de fortalecimiento e incentivos para aumentar su participación.
</t>
    </r>
    <r>
      <rPr>
        <b/>
        <sz val="11"/>
        <color theme="1"/>
        <rFont val="Aptos Narrow"/>
        <family val="2"/>
        <scheme val="minor"/>
      </rPr>
      <t>Plan de acción:</t>
    </r>
    <r>
      <rPr>
        <sz val="11"/>
        <color theme="1"/>
        <rFont val="Aptos Narrow"/>
        <family val="2"/>
        <scheme val="minor"/>
      </rPr>
      <t xml:space="preserve">
Implementar un programa de referidos formal, con beneficios para clientes activos y asesores.
Reforzar presencia en puntos físicos y ferias para dinamizar el canal tradicional.
Optimizar seguimiento postventa digital para convertir compradores satisfechos en referenciadores.
Analizar rentabilidad por canal para ajustar inversión de marketing y recursos humanos.</t>
    </r>
  </si>
  <si>
    <t xml:space="preserve">Envio de informe el día viernes de cada semana </t>
  </si>
  <si>
    <t>Todos los informes enviados</t>
  </si>
  <si>
    <t>Nro informes enviados / viernes del mes</t>
  </si>
  <si>
    <t>Informes enviados</t>
  </si>
  <si>
    <t>Viernes mes octubre</t>
  </si>
  <si>
    <t>Mide la oportunidad y cumplimiento en la entrega de los informes de ventas semanales dentro de los plazos establecidos.</t>
  </si>
  <si>
    <t>Durante el mes de octubre, se logró el envío del 100 % de los informes de ventas semanales en las fechas programadas (cada viernes), garantizando la continuidad del seguimiento comercial y la trazabilidad de resultados.
El indicador refleja puntualidad, compromiso y cumplimiento administrativo del área comercial.</t>
  </si>
  <si>
    <t>Mide la proporción de leads que fueron efectivamente gestionados (contactados, atendidos o seguidos) frente al total de leads asignados de manera individual</t>
  </si>
  <si>
    <t>Gestión de Leads (%)= Leads gestionados / Leads asignados</t>
  </si>
  <si>
    <t>Nivel	Cumplimiento	Evaluación
🟢 Óptimo	95 %–100 %	Cumple plenamente
🟡 Aceptable	80 %–94 %	En rango de mejora
🔴 Bajo	&lt; 80 %	No cumple</t>
  </si>
  <si>
    <r>
      <rPr>
        <b/>
        <sz val="11"/>
        <color theme="1"/>
        <rFont val="Aptos Narrow"/>
        <family val="2"/>
        <scheme val="minor"/>
      </rPr>
      <t>Conclusión:</t>
    </r>
    <r>
      <rPr>
        <sz val="11"/>
        <color theme="1"/>
        <rFont val="Aptos Narrow"/>
        <family val="2"/>
        <scheme val="minor"/>
      </rPr>
      <t xml:space="preserve">
El indicador de gestión de leads se ubica en un nivel aceptable (85 %), lo que demuestra una buena cobertura comercial, pero aún existe margen de mejora para lograr el contacto total con los prospectos asignados.
Se recomienda reforzar la trazabilidad y reasignar leads inactivos para evitar pérdida de oportunidades.
</t>
    </r>
    <r>
      <rPr>
        <b/>
        <sz val="11"/>
        <color theme="1"/>
        <rFont val="Aptos Narrow"/>
        <family val="2"/>
        <scheme val="minor"/>
      </rPr>
      <t>Plan de acción:</t>
    </r>
    <r>
      <rPr>
        <sz val="11"/>
        <color theme="1"/>
        <rFont val="Aptos Narrow"/>
        <family val="2"/>
        <scheme val="minor"/>
      </rPr>
      <t xml:space="preserve">
Implementar alertas automáticas en Zoho CRM para leads sin contacto en 48 horas.
Reasignar leads inactivos o sin gestión a asesores disponibles.
Revisar duplicados o leads sin información válida antes de asignar.
Capacitar al equipo en priorización de leads calientes según puntaje (Zoho Score).</t>
    </r>
  </si>
  <si>
    <t>Mide la efectividad del equipo comercial para convertir los leads generados en citas efectivas agendadas, reflejando la calidad del contacto inicial y la oportunidad en la atención.</t>
  </si>
  <si>
    <t>Nivel	Cumplimiento	Evaluación
🟢 Óptimo	≥ 10 %	Cumple
🟡 Aceptable	7 % – 9,9 %	En rango de mejora
🔴 Bajo	&lt; 7 %	No cumple</t>
  </si>
  <si>
    <t>Tasa de Conversión a Citas (%)= Citas agendadas / Leads gestionados</t>
  </si>
  <si>
    <r>
      <rPr>
        <b/>
        <sz val="11"/>
        <color theme="1"/>
        <rFont val="Aptos Narrow"/>
        <family val="2"/>
        <scheme val="minor"/>
      </rPr>
      <t xml:space="preserve">5,65 % / 10 % = 56,5 % del cumplimiento esperado  </t>
    </r>
    <r>
      <rPr>
        <sz val="11"/>
        <color theme="1"/>
        <rFont val="Aptos Narrow"/>
        <family val="2"/>
        <scheme val="minor"/>
      </rPr>
      <t xml:space="preserve">                                                                     </t>
    </r>
    <r>
      <rPr>
        <b/>
        <sz val="11"/>
        <color theme="1"/>
        <rFont val="Aptos Narrow"/>
        <family val="2"/>
        <scheme val="minor"/>
      </rPr>
      <t>Conclusión:</t>
    </r>
    <r>
      <rPr>
        <sz val="11"/>
        <color theme="1"/>
        <rFont val="Aptos Narrow"/>
        <family val="2"/>
        <scheme val="minor"/>
      </rPr>
      <t xml:space="preserve">
El indicador presenta desempeño bajo (5,65 %), reflejando un bajo nivel de conversión de oportunidades a citas comerciales.
Es necesario fortalecer los procesos de contacto inicial y priorización de leads calientes para mejorar la conversión en los próximos dos meses del trimestre.
</t>
    </r>
    <r>
      <rPr>
        <b/>
        <sz val="11"/>
        <color theme="1"/>
        <rFont val="Aptos Narrow"/>
        <family val="2"/>
        <scheme val="minor"/>
      </rPr>
      <t>Plan de acción:</t>
    </r>
    <r>
      <rPr>
        <sz val="11"/>
        <color theme="1"/>
        <rFont val="Aptos Narrow"/>
        <family val="2"/>
        <scheme val="minor"/>
      </rPr>
      <t xml:space="preserve">
Implementar respuesta inmediata (&lt; 15 minutos) para leads digitales.
Filtrar leads duplicados o sin datos de contacto válidos.
Capacitación en técnicas de cierre de cita y manejo de objeciones.
Automatizar confirmaciones y recordatorios de cita desde Zoho CRM.
Revisión semanal de conversión por asesor para identificar brechas.</t>
    </r>
  </si>
  <si>
    <t>Evalúa la efectividad del proceso comercial para convertir las citas agendadas en visitas efectivas a sala de ventas o recorridos virtuales/presenciales, reflejando el nivel de interés del cliente y la gestión del asesor.</t>
  </si>
  <si>
    <t>Tasa de Conversión a Visitas (%) = Visitas efectivas / Citas agendadas</t>
  </si>
  <si>
    <t>Nivel	Cumplimiento	Evaluación
🟢 Óptimo	30 %–50 % o más	Cumple o supera la meta
🟡 Aceptable	15 %–29 %	En rango de mejora
🔴 Bajo	&lt; 15 %	No cumple la meta</t>
  </si>
  <si>
    <r>
      <rPr>
        <b/>
        <sz val="11"/>
        <color theme="1"/>
        <rFont val="Aptos Narrow"/>
        <family val="2"/>
        <scheme val="minor"/>
      </rPr>
      <t>76,92 % / 30 % = 153,8 % del cumplimiento esperado                                                           Conclusión:</t>
    </r>
    <r>
      <rPr>
        <sz val="11"/>
        <color theme="1"/>
        <rFont val="Aptos Narrow"/>
        <family val="2"/>
        <scheme val="minor"/>
      </rPr>
      <t xml:space="preserve">
El indicador evidencia un desempeño sobresaliente (76,92 %), superando el rango óptimo y demostrando fortaleza en la gestión de conversión en la etapa media del embudo comercial.
</t>
    </r>
    <r>
      <rPr>
        <b/>
        <sz val="11"/>
        <color theme="1"/>
        <rFont val="Aptos Narrow"/>
        <family val="2"/>
        <scheme val="minor"/>
      </rPr>
      <t>Plan de acción:</t>
    </r>
    <r>
      <rPr>
        <sz val="11"/>
        <color theme="1"/>
        <rFont val="Aptos Narrow"/>
        <family val="2"/>
        <scheme val="minor"/>
      </rPr>
      <t xml:space="preserve">
Mantener el protocolo de confirmación y recordatorios previos a la visita.
Documentar buenas prácticas de los asesores con mayor conversión.
Reforzar la atención personalizada y seguimiento post-visita para impulsar cierres.
Replicar la estrategia en los nuevos leads del mes siguiente.</t>
    </r>
  </si>
  <si>
    <t>Mide la efectividad del proceso comercial para transformar visitas efectivas (presenciales o virtuales) en compras confirmadas, reflejando la capacidad de cierre del equipo de ventas digital.</t>
  </si>
  <si>
    <t>Tasa de Conversión a Ventas (%) = Ventas logradas​ / visitas efectivas</t>
  </si>
  <si>
    <t>Nivel	Cumplimiento	Evaluación
🟢 Óptimo	≥ 10 %	Cumple o supera la meta
🟡 Aceptable	5 %–9,9 %	En rango de mejora
🔴 Bajo	&lt; 5 %	No cumple la meta</t>
  </si>
  <si>
    <r>
      <rPr>
        <b/>
        <sz val="11"/>
        <color theme="1"/>
        <rFont val="Aptos Narrow"/>
        <family val="2"/>
        <scheme val="minor"/>
      </rPr>
      <t>Conclusión:</t>
    </r>
    <r>
      <rPr>
        <sz val="11"/>
        <color theme="1"/>
        <rFont val="Aptos Narrow"/>
        <family val="2"/>
        <scheme val="minor"/>
      </rPr>
      <t xml:space="preserve">
El indicador evidencia un desempeño altamente eficiente (60 %), superando en seis veces la meta mensual (≥10 %).
Esto posiciona el canal digital como el más productivo del embudo comercial, confirmando la efectividad del proceso de atención, seguimiento y cierre.
</t>
    </r>
    <r>
      <rPr>
        <b/>
        <sz val="11"/>
        <color theme="1"/>
        <rFont val="Aptos Narrow"/>
        <family val="2"/>
        <scheme val="minor"/>
      </rPr>
      <t>Plan de acción:</t>
    </r>
    <r>
      <rPr>
        <sz val="11"/>
        <color theme="1"/>
        <rFont val="Aptos Narrow"/>
        <family val="2"/>
        <scheme val="minor"/>
      </rPr>
      <t xml:space="preserve">
Documentar el flujo exitoso de cierre utilizado por los asesores con mejores resultados.
Replicar la estrategia de ventas digitales en otros proyectos o canales.
Medir la retención postventa de clientes digitales para fortalecer la fidelización.
Analizar los casos no convertidos para identificar posibles brechas de servicio o precio.</t>
    </r>
  </si>
  <si>
    <t>Mide la cantidad de prospectos que no reciben ningún tipo de contacto o seguimiento dentro del mes, reflejando la eficiencia del equipo en la atención oportuna de los leads generados.</t>
  </si>
  <si>
    <t>Leads no gestionados=Total leads asignados−Total leads gestionados</t>
  </si>
  <si>
    <r>
      <rPr>
        <b/>
        <sz val="11"/>
        <color theme="1"/>
        <rFont val="Aptos Narrow"/>
        <family val="2"/>
        <scheme val="minor"/>
      </rPr>
      <t>Conclusión:</t>
    </r>
    <r>
      <rPr>
        <sz val="11"/>
        <color theme="1"/>
        <rFont val="Aptos Narrow"/>
        <family val="2"/>
        <scheme val="minor"/>
      </rPr>
      <t xml:space="preserve">
El indicador se clasifica en nivel bajo (🔴), con un 14,8 % de leads sin gestión.
Se recomienda implementar acciones correctivas inmediatas para evitar pérdida de oportunidades y garantizar que el 100 % de los leads sean contactados dentro de las primeras 24 horas.
</t>
    </r>
    <r>
      <rPr>
        <b/>
        <sz val="11"/>
        <color theme="1"/>
        <rFont val="Aptos Narrow"/>
        <family val="2"/>
        <scheme val="minor"/>
      </rPr>
      <t>Plan de acción:</t>
    </r>
    <r>
      <rPr>
        <sz val="11"/>
        <color theme="1"/>
        <rFont val="Aptos Narrow"/>
        <family val="2"/>
        <scheme val="minor"/>
      </rPr>
      <t xml:space="preserve">
Configurar alertas automáticas en Zoho CRM para leads no gestionados en las primeras 24 h.
Reasignar leads inactivos a asesores con menor carga operativa.
Hacer seguimiento semanal al indicador de gestión por asesor.
Optimizar la cantidad de leads diarios asignados (35 leads/día por asesor como máximo).</t>
    </r>
  </si>
  <si>
    <t>Gestión general de leads</t>
  </si>
  <si>
    <t>Evalúa el nivel de actividad comercial efectiva del equipo frente a la meta mensual de gestiones (contactos, seguimientos, actualizaciones o cierres) establecida. Refleja la capacidad del equipo para mantener una interacción continua con los prospectos dentro del embudo de ventas.</t>
  </si>
  <si>
    <t>Gestión General (%) = Total gestiones realizadas / Meta de gestiones</t>
  </si>
  <si>
    <t>Nivel	Cumplimiento	Evaluación
🟢 Óptimo	≥ 90 %	Cumple o supera la meta
🟡 Aceptable	70 % – 89 %	En rango de mejora
🔴 Bajo	&lt; 70 %	No cumple la meta</t>
  </si>
  <si>
    <r>
      <rPr>
        <b/>
        <sz val="11"/>
        <color theme="1"/>
        <rFont val="Aptos Narrow"/>
        <family val="2"/>
        <scheme val="minor"/>
      </rPr>
      <t>Conclusión:</t>
    </r>
    <r>
      <rPr>
        <sz val="11"/>
        <color theme="1"/>
        <rFont val="Aptos Narrow"/>
        <family val="2"/>
        <scheme val="minor"/>
      </rPr>
      <t xml:space="preserve">
El indicador se clasifica en nivel bajo (🔴).
La baja productividad general del equipo podría estar afectando directamente la tasa de conversión a citas, visitas y ventas, pues un menor número de gestiones reduce las oportunidades activas de cierre.
</t>
    </r>
    <r>
      <rPr>
        <b/>
        <sz val="11"/>
        <color theme="1"/>
        <rFont val="Aptos Narrow"/>
        <family val="2"/>
        <scheme val="minor"/>
      </rPr>
      <t>Plan de acción:</t>
    </r>
    <r>
      <rPr>
        <sz val="11"/>
        <color theme="1"/>
        <rFont val="Aptos Narrow"/>
        <family val="2"/>
        <scheme val="minor"/>
      </rPr>
      <t xml:space="preserve">
Reforzar la disciplina comercial diaria: mínimo 35 gestiones por asesor/día.
Implementar un tablero de control diario en Zoho CRM para seguimiento individual y global.
Automatizar tareas de recordatorio y seguimiento post-cita.
Revisar la distribución de leads para equilibrar la carga y mejorar la cobertura.
Capacitar al equipo en gestión del tiempo y priorización de prospectos.</t>
    </r>
  </si>
  <si>
    <t>Tiempo promedio desde primer contacto hasta cierre de negocio. Mide la eficiencia del proceso comercial desde el primer contacto con el cliente hasta la firma del negocio, diferenciando entre ventas directas (corto plazo) y negocios complejos (mayor tiempo de negociación).</t>
  </si>
  <si>
    <t>1-15 días ventas directas / 15-30 días negocios complejos                                            Tipo de negocio	Meta	Resultado	Cumplimiento	Evaluación
Ventas directas (5)	1–15 días	14,2 días	✅ Cumple	🟢 Óptimo
Negocios complejos (1)	15–30 días	35 días	❌ Excede límite	🔴 Bajo
Promedio general ponderado	1–30 días	17,0 días	Parcialmente cumple	🟡 Aceptable</t>
  </si>
  <si>
    <r>
      <rPr>
        <b/>
        <sz val="11"/>
        <color theme="1"/>
        <rFont val="Aptos Narrow"/>
        <family val="2"/>
        <scheme val="minor"/>
      </rPr>
      <t>Conclusión:</t>
    </r>
    <r>
      <rPr>
        <sz val="11"/>
        <color theme="1"/>
        <rFont val="Aptos Narrow"/>
        <family val="2"/>
        <scheme val="minor"/>
      </rPr>
      <t xml:space="preserve">
El tiempo promedio de cierre general (17 días) se mantiene dentro del rango aceptable, aunque el negocio complejo superó el límite establecido (35 días).
Las ventas directas cumplen la meta óptimamente (14,2 días), lo que refleja agilidad y eficiencia comercial en la mayoría de los casos.
Sin embargo, se recomienda revisar las causas del negocio de cierre prolongado, para evitar que procesos específicos retrasen el promedio mensual.
</t>
    </r>
    <r>
      <rPr>
        <b/>
        <sz val="11"/>
        <color theme="1"/>
        <rFont val="Aptos Narrow"/>
        <family val="2"/>
        <scheme val="minor"/>
      </rPr>
      <t>Plan de acción:</t>
    </r>
    <r>
      <rPr>
        <sz val="11"/>
        <color theme="1"/>
        <rFont val="Aptos Narrow"/>
        <family val="2"/>
        <scheme val="minor"/>
      </rPr>
      <t xml:space="preserve">
Analizar los factores que extendieron el negocio complejo (ej. validaciones financieras o documentación).
Implementar alertas en CRM para negocios con más de 25 días sin cierre.
Mantener el seguimiento ágil en ventas directas, priorizando cierres &lt; 15 días.
Reportar mensualmente la distribución de tiempos por tipo de negocio (directo vs complejo).</t>
    </r>
  </si>
  <si>
    <t>Tiempo Promedio de Cierre = Σ Días desde Primer Contacto a Cierre ÷ Nº Negocios Cerrados.  Calificación=100−( Días promedio−Límite inferior / Límite superior - Límite inferior ) * 30</t>
  </si>
  <si>
    <t>Mide la eficiencia del asesor en convertir leads en ventas.</t>
  </si>
  <si>
    <t>Nivel	Rango de Cumplimiento	Calificación (0–100)	Interpretación
🟢 Óptimo	≥ 100 %	100	Cumple o supera la meta
🟡 Aceptable	80 % – 99 %	80–99	En rango de mejora
🔴 Bajo	&lt; 80 %	&lt; 80	No cumple la meta</t>
  </si>
  <si>
    <t>La productividad de Ingrid alcanzó el 86 % del objetivo mensual, evidenciando una gestión eficiente con margen para optimizar el cierre de leads asignados.</t>
  </si>
  <si>
    <t>Índice de Productividad por Asesor = Ventas por Asesor / Meta</t>
  </si>
  <si>
    <t>≤ 10 % de leads con gestión baja (menos de 6 notas en Zoho). Nivel	Rango de Cumplimiento	Calificación (0–100)	Interpretación
🟢 Óptimo	≤ 10 %	100	Seguimiento consistente y completo
🟡 En mejora	11 % – 25 %	70–89	Gestión adecuada, requiere refuerzo
🔴 Bajo	&gt; 25 %	&lt; 70	Gestión insuficiente o con falta de seguimiento</t>
  </si>
  <si>
    <r>
      <rPr>
        <b/>
        <sz val="11"/>
        <color theme="1"/>
        <rFont val="Aptos Narrow"/>
        <family val="2"/>
        <scheme val="minor"/>
      </rPr>
      <t>Conclusión:</t>
    </r>
    <r>
      <rPr>
        <sz val="11"/>
        <color theme="1"/>
        <rFont val="Aptos Narrow"/>
        <family val="2"/>
        <scheme val="minor"/>
      </rPr>
      <t xml:space="preserve">
El 44 % de los leads gestionados tienen menos de 6 notas registradas, lo que indica un seguimiento insuficiente en casi la mitad de los casos.
Esto sugiere falta de continuidad en la relación comercial o deficiencias en la documentación de contactos dentro del CRM.
</t>
    </r>
    <r>
      <rPr>
        <b/>
        <sz val="11"/>
        <color theme="1"/>
        <rFont val="Aptos Narrow"/>
        <family val="2"/>
        <scheme val="minor"/>
      </rPr>
      <t>Recomendaciones:</t>
    </r>
    <r>
      <rPr>
        <sz val="11"/>
        <color theme="1"/>
        <rFont val="Aptos Narrow"/>
        <family val="2"/>
        <scheme val="minor"/>
      </rPr>
      <t xml:space="preserve">
Establecer mínimo 2 interacciones semanales por lead activo (nota, llamada o correo).
Configurar alertas automáticas en Zoho para leads con más de 5 días sin gestión.
Capacitar en registro completo de gestiones, asegurando trazabilidad de cada oportunidad.
Monitorear semanalmente el avance para reducir el porcentaje por debajo del 25 % antes de diciembre.</t>
    </r>
  </si>
  <si>
    <t xml:space="preserve">Se comenzará a evaluar el siguiente mes una vez se lancen las encuestas por Zoho </t>
  </si>
  <si>
    <t>Precisión CRM (%) = Nº Negocios completos y actualizados / Total negocios en CRM</t>
  </si>
  <si>
    <t>Tiempo promedio (días)= Σ Días de cierre / Nº negocios cerrados</t>
  </si>
  <si>
    <t xml:space="preserve">Ventas por Asesor / Nº Leads Asignados (o Tiempo Dedicado) 35 leads/día×24 días/mes=840 leads/asesor/mes       </t>
  </si>
  <si>
    <t>Calidad y actualidad de datos en CRM. Garantizar la integridad, exactitud y actualización de los datos comerciales registrados en Zoho CRM.</t>
  </si>
  <si>
    <t xml:space="preserve">Novedades </t>
  </si>
  <si>
    <r>
      <rPr>
        <b/>
        <sz val="11"/>
        <color theme="1"/>
        <rFont val="Aptos Narrow"/>
        <family val="2"/>
        <scheme val="minor"/>
      </rPr>
      <t>Conclusión:</t>
    </r>
    <r>
      <rPr>
        <sz val="11"/>
        <color theme="1"/>
        <rFont val="Aptos Narrow"/>
        <family val="2"/>
        <scheme val="minor"/>
      </rPr>
      <t xml:space="preserve">
El 67 % de los leads asignados fueron efectivamente gestionados durante octubre, lo que evidencia una brecha del 28 % respecto al mínimo esperado (95 %).
Esto sugiere que una parte significativa de los leads no está recibiendo atención oportuna, lo cual puede afectar directamente la conversión a citas y visitas.
</t>
    </r>
    <r>
      <rPr>
        <b/>
        <sz val="11"/>
        <color theme="1"/>
        <rFont val="Aptos Narrow"/>
        <family val="2"/>
        <scheme val="minor"/>
      </rPr>
      <t>Causas probables:</t>
    </r>
    <r>
      <rPr>
        <sz val="11"/>
        <color theme="1"/>
        <rFont val="Aptos Narrow"/>
        <family val="2"/>
        <scheme val="minor"/>
      </rPr>
      <t xml:space="preserve">
Falta de seguimiento automático o alertas de vencimiento de tareas.
Procesos manuales que retrasan la gestión inmediata tras la asignación.
</t>
    </r>
    <r>
      <rPr>
        <b/>
        <sz val="11"/>
        <color theme="1"/>
        <rFont val="Aptos Narrow"/>
        <family val="2"/>
        <scheme val="minor"/>
      </rPr>
      <t>Plan de acción:</t>
    </r>
    <r>
      <rPr>
        <sz val="11"/>
        <color theme="1"/>
        <rFont val="Aptos Narrow"/>
        <family val="2"/>
        <scheme val="minor"/>
      </rPr>
      <t xml:space="preserve">
Reasignar leads no gestionados a asesores con mayor capacidad o disponibilidad.
Implementar alertas automáticas en Zoho CRM para leads sin contacto en las primeras 24 h.
Capacitar al equipo comercial en gestión de volumen alto de leads, priorizando los más calificados.
Monitorear semanalmente el % de gestión efectiva por asesor y realizar retroalimentación individual.
Meta noviembre: alcanzar ≥ 90 % de gestión para acercarse al rango aceptable.</t>
    </r>
  </si>
  <si>
    <t>Tasa de Conversión a Ventas (%) = Número de ventas digitales confirmadas / Total visitas</t>
  </si>
  <si>
    <t>Total visitas</t>
  </si>
  <si>
    <r>
      <rPr>
        <b/>
        <sz val="11"/>
        <color theme="1"/>
        <rFont val="Aptos Narrow"/>
        <family val="2"/>
        <scheme val="minor"/>
      </rPr>
      <t xml:space="preserve">Conclusión:
</t>
    </r>
    <r>
      <rPr>
        <sz val="11"/>
        <color theme="1"/>
        <rFont val="Aptos Narrow"/>
        <family val="2"/>
        <scheme val="minor"/>
      </rPr>
      <t>La tasa obtenida (21,05 %) supera ampliamente el rango óptimo establecido (3 %–8 %).
Esto evidencia una excelente capacidad de cierre comercial, indicando que el equipo logra convertir una proporción muy alta de las visitas en ventas efectivas.
El resultado sugiere una gestión comercial altamente efectiva y una alineación adecuada entre marketing digital y ventas.</t>
    </r>
  </si>
  <si>
    <t>Tasa de Conversión Global de ventas (%)</t>
  </si>
  <si>
    <t>Mide la efectividad total del proceso comercial para convertir todos los leads generados (de cualquier canal) en ventas efectivas.</t>
  </si>
  <si>
    <r>
      <rPr>
        <b/>
        <sz val="11"/>
        <color theme="1"/>
        <rFont val="Aptos Narrow"/>
        <family val="2"/>
        <scheme val="minor"/>
      </rPr>
      <t>Conclusiones:</t>
    </r>
    <r>
      <rPr>
        <sz val="11"/>
        <color theme="1"/>
        <rFont val="Aptos Narrow"/>
        <family val="2"/>
        <scheme val="minor"/>
      </rPr>
      <t xml:space="preserve">
Durante octubre, el 33 % de los leads asignados (55 de 165) no recibió ningún tipo de gestión o seguimiento.
Este resultado refleja un incumplimiento significativo frente a la meta de 0 leads sin atención, lo cual puede impactar negativamente el embudo comercial desde su fase inicial.
El alto porcentaje de leads sin gestión sugiere posibles causas como:
Sobrecarga operativa o mala distribución de leads entre asesores.
Falta de alertas o controles de seguimiento en el CRM.
Despriorización de leads con baja calificación inicial (sin filtro adecuado).
</t>
    </r>
    <r>
      <rPr>
        <b/>
        <sz val="11"/>
        <color theme="1"/>
        <rFont val="Aptos Narrow"/>
        <family val="2"/>
        <scheme val="minor"/>
      </rPr>
      <t>Plan de acción:</t>
    </r>
    <r>
      <rPr>
        <sz val="11"/>
        <color theme="1"/>
        <rFont val="Aptos Narrow"/>
        <family val="2"/>
        <scheme val="minor"/>
      </rPr>
      <t xml:space="preserve">
Implementar alertas automáticas en Zoho CRM para detectar leads sin primer contacto en 48 horas.
Redistribuir los leads inactivos a asesores con mayor disponibilidad.
Revisar el proceso de asignación de leads, asegurando balance y prioridad a los más calificados.
Monitorear semanalmente el cumplimiento del 100 % de contacto inicial.</t>
    </r>
  </si>
  <si>
    <r>
      <rPr>
        <b/>
        <sz val="11"/>
        <color theme="1"/>
        <rFont val="Aptos Narrow"/>
        <family val="2"/>
        <scheme val="minor"/>
      </rPr>
      <t>Conclusiones:</t>
    </r>
    <r>
      <rPr>
        <sz val="11"/>
        <color theme="1"/>
        <rFont val="Aptos Narrow"/>
        <family val="2"/>
        <scheme val="minor"/>
      </rPr>
      <t xml:space="preserve">
Durante octubre, el cumplimiento de la meta de gestiones alcanzó solo el 35,24 %, muy por debajo del nivel esperado.
Esto indica un bajo nivel de actividad comercial efectiva, lo que puede reflejar:
Falta de disciplina o control en la gestión diaria de leads.
Sobrecarga de trabajo en algunos asesores o deficiente distribución de leads.
Escasa automatización o seguimiento de tareas en el CRM.
Desconexión entre la planificación de metas y la capacidad real del equipo.
La baja cantidad de gestiones impacta directamente la conversión en todas las etapas del embudo (citas, visitas y cierres), reduciendo la efectividad comercial general.
</t>
    </r>
    <r>
      <rPr>
        <b/>
        <sz val="11"/>
        <color theme="1"/>
        <rFont val="Aptos Narrow"/>
        <family val="2"/>
        <scheme val="minor"/>
      </rPr>
      <t>Plan de acción:</t>
    </r>
    <r>
      <rPr>
        <sz val="11"/>
        <color theme="1"/>
        <rFont val="Aptos Narrow"/>
        <family val="2"/>
        <scheme val="minor"/>
      </rPr>
      <t xml:space="preserve">
Reforzar la disciplina comercial: establecer metas diarias mínimas de gestiones por asesor (35 leads/día).
Automatizar recordatorios en Zoho CRM para gestiones pendientes o sin actualización.
Monitorear el cumplimiento semanal y retroalimentar individualmente a cada asesor.
Reasignar leads a asesores con mayor capacidad de gestión.
Implementar dashboard de productividad con visualización diaria del % de cumplimiento.</t>
    </r>
  </si>
  <si>
    <t>Ventas directas:
El tiempo promedio de cierre es 4,33 días, muy por debajo del límite superior de 15 días.
Esto indica que el proceso de ventas directas es altamente eficiente, logrando cierres muy rápidos.
Evaluación: 🟢 Óptimo.</t>
  </si>
  <si>
    <t>Interpretación de la calificación
Índice alcanzado: 43%
Esto significa que el asesor solo logró menos de la mitad de su meta.
Evaluación: 🔴 Bajo
El desempeño no cumple con la meta.
Se requiere mejora significativa en la conversión de leads a ventas.
Rango de mejora recomendado:
Revisar la eficiencia del asesor, posibles obstáculos en la gestión de leads, seguimiento y cierre.
Capacitación adicional o ajuste de estrategia comercial podría ser necesario.</t>
  </si>
  <si>
    <r>
      <t xml:space="preserve">Porcentaje alcanzado: 41,8 %
Esto indica que casi la mitad de los leads tienen un seguimiento insuficiente.
Evaluación: 🔴 Bajo
La asesora no cumple con la meta de seguimiento, que era ≤ 10 %.
</t>
    </r>
    <r>
      <rPr>
        <b/>
        <sz val="11"/>
        <color theme="1"/>
        <rFont val="Aptos Narrow"/>
        <family val="2"/>
        <scheme val="minor"/>
      </rPr>
      <t>Plan de acción:</t>
    </r>
    <r>
      <rPr>
        <sz val="11"/>
        <color theme="1"/>
        <rFont val="Aptos Narrow"/>
        <family val="2"/>
        <scheme val="minor"/>
      </rPr>
      <t xml:space="preserve">
Aumentar la frecuencia y calidad del registro de gestiones en Zoho.
Capacitar a los asesores sobre la importancia de un seguimiento completo.
Implementar alertas o recordatorios para leads con baja gestión.</t>
    </r>
  </si>
  <si>
    <t>Detalles adicionales por tipo de negocio / registro:
Otrosí T3: Falta firma 26, firmas período 0 → requiere atención.
Archivo comercial T3: Carpetas faltantes 0/87 → ✅ Correcto.
Croma: Vendidos 16, carpetas OK 15 → 93,75 % exactitud, dentro del rango aceptable.
Canjes, Traslados, Novedades, Novedades vinculaciones: Se calificará a partir de noviembre.</t>
  </si>
  <si>
    <t>Juan Pablo</t>
  </si>
  <si>
    <t>Gestiones / día</t>
  </si>
  <si>
    <t>Natalia vacaciones</t>
  </si>
  <si>
    <t>Del 7 al 20 de octubre</t>
  </si>
  <si>
    <t>Ingresa el 13 de octubre</t>
  </si>
  <si>
    <t>del 14 al 20, 7 días 76 gestiones</t>
  </si>
  <si>
    <t>58 gestiones hasta el 7 que se fue</t>
  </si>
  <si>
    <t>del 21 al 31, 11 dias 804 gestiones</t>
  </si>
  <si>
    <t xml:space="preserve">YA QUE JUAN PABLO USO ESTE USUARIO, TENEMOS: </t>
  </si>
  <si>
    <r>
      <rPr>
        <b/>
        <sz val="11"/>
        <color theme="1"/>
        <rFont val="Aptos Narrow"/>
        <family val="2"/>
        <scheme val="minor"/>
      </rPr>
      <t xml:space="preserve">Conclusión:         </t>
    </r>
    <r>
      <rPr>
        <sz val="11"/>
        <color theme="1"/>
        <rFont val="Aptos Narrow"/>
        <family val="2"/>
        <scheme val="minor"/>
      </rPr>
      <t xml:space="preserve">                                                                                                                       Durante octubre, el equipo comercial logró convertir 27,27 % de los leads gestionados en citas efectivas, superando ampliamente la meta mínima establecida del 10 %.
Este resultado refleja una gestión comercial eficiente y oportuna en la etapa inicial del embudo, con capacidad de respuesta adecuada y buena conexión con los clientes interesados.                                                                                                            </t>
    </r>
    <r>
      <rPr>
        <b/>
        <sz val="11"/>
        <color theme="1"/>
        <rFont val="Aptos Narrow"/>
        <family val="2"/>
        <scheme val="minor"/>
      </rPr>
      <t>Plan de acción:</t>
    </r>
    <r>
      <rPr>
        <sz val="11"/>
        <color theme="1"/>
        <rFont val="Aptos Narrow"/>
        <family val="2"/>
        <scheme val="minor"/>
      </rPr>
      <t xml:space="preserve">
Mantener el protocolo de contacto rápido (&lt;24 h) para leads nuevos.
Implementar recordatorios automáticos para confirmar citas y reducir cancelaciones.
Analizar las fuentes de leads con mayor conversión para priorizar inversión publicitaria.
Replicar las prácticas del equipo o asesor con mejores resultados.</t>
    </r>
  </si>
  <si>
    <r>
      <rPr>
        <b/>
        <sz val="11"/>
        <color theme="1"/>
        <rFont val="Aptos Narrow"/>
        <family val="2"/>
        <scheme val="minor"/>
      </rPr>
      <t xml:space="preserve">Conclusión: </t>
    </r>
    <r>
      <rPr>
        <sz val="11"/>
        <color theme="1"/>
        <rFont val="Aptos Narrow"/>
        <family val="2"/>
        <scheme val="minor"/>
      </rPr>
      <t xml:space="preserve"> Durante octubre, el equipo alcanzó una tasa de 30 % de conversión de citas a visitas, cumpliendo el rango óptimo establecido.
Esto refleja una adecuada gestión comercial, con efectividad en la persuasión y acompañamiento del cliente para concretar la visita, etapa clave en la decisión de compra. </t>
    </r>
    <r>
      <rPr>
        <b/>
        <sz val="11"/>
        <color theme="1"/>
        <rFont val="Aptos Narrow"/>
        <family val="2"/>
        <scheme val="minor"/>
      </rPr>
      <t xml:space="preserve">Plan de acción: </t>
    </r>
    <r>
      <rPr>
        <sz val="11"/>
        <color theme="1"/>
        <rFont val="Aptos Narrow"/>
        <family val="2"/>
        <scheme val="minor"/>
      </rPr>
      <t>Mantener la estrategia de confirmación y recordatorio previo a las visitas.
Implementar seguimiento post-visita para nutrir prospectos y acelerar cierres.
Analizar las fuentes de leads con mayor tasa de asistencia para optimizar inversión en marketing.
Identificar causas de inasistencia en el 70 % restante y definir estrategias de recuperación.</t>
    </r>
  </si>
  <si>
    <r>
      <rPr>
        <b/>
        <sz val="11"/>
        <color theme="1"/>
        <rFont val="Aptos Narrow"/>
        <family val="2"/>
        <scheme val="minor"/>
      </rPr>
      <t>Conclusión:</t>
    </r>
    <r>
      <rPr>
        <sz val="11"/>
        <color theme="1"/>
        <rFont val="Aptos Narrow"/>
        <family val="2"/>
        <scheme val="minor"/>
      </rPr>
      <t xml:space="preserve">Durante octubre, el proceso de ventas digitales alcanzó una tasa de conversión del 33,33 %, superando ampliamente el estándar del 10 %.
Sin embargo, este resultado va de la mano del embudo. Al tener tan bajo numero de leads gestionados esto muestra Alto rendimiento en el embudo de conversión final, pero muy poca gestión de leads digitales.
Interpretación completa y equilibrada
Aunque la asesora no alcanzó el número total de ventas (3 de 7 = 43 %), su capacidad de cierre fue altamente efectiva (33 %), superando el estándar esperado (≥ 10 %).
El resultado evidencia fortaleza en la etapa final del proceso comercial, pero también sugiere una oportunidad de mejora en generación y conversión previa (leads → citas → visitas).
</t>
    </r>
  </si>
  <si>
    <r>
      <rPr>
        <b/>
        <sz val="11"/>
        <color theme="1"/>
        <rFont val="Aptos Narrow"/>
        <family val="2"/>
        <scheme val="minor"/>
      </rPr>
      <t xml:space="preserve">Conclusiones
Bajo nivel de efectividad comercial:
</t>
    </r>
    <r>
      <rPr>
        <sz val="11"/>
        <color theme="1"/>
        <rFont val="Aptos Narrow"/>
        <family val="2"/>
        <scheme val="minor"/>
      </rPr>
      <t xml:space="preserve">El indicador evidencia una baja gestión de leads (44 %), muy por debajo del estándar mínimo del 80 %, lo que demuestra deficiencia en la atención, seguimiento o registro de contactos realizados.
</t>
    </r>
    <r>
      <rPr>
        <b/>
        <sz val="11"/>
        <color theme="1"/>
        <rFont val="Aptos Narrow"/>
        <family val="2"/>
        <scheme val="minor"/>
      </rPr>
      <t>Desaprovechamiento del embudo comercial:</t>
    </r>
    <r>
      <rPr>
        <sz val="11"/>
        <color theme="1"/>
        <rFont val="Aptos Narrow"/>
        <family val="2"/>
        <scheme val="minor"/>
      </rPr>
      <t xml:space="preserve">
Más de la mitad de los leads generados no fueron gestionados ni atendidos, representando una pérdida de oportunidades de venta y una disminución en la eficiencia del proceso comercial.
</t>
    </r>
    <r>
      <rPr>
        <b/>
        <sz val="11"/>
        <color theme="1"/>
        <rFont val="Aptos Narrow"/>
        <family val="2"/>
        <scheme val="minor"/>
      </rPr>
      <t>Fallas en la trazabilidad y control de gestión:</t>
    </r>
    <r>
      <rPr>
        <sz val="11"/>
        <color theme="1"/>
        <rFont val="Aptos Narrow"/>
        <family val="2"/>
        <scheme val="minor"/>
      </rPr>
      <t xml:space="preserve">
La información refleja bajo cumplimiento de tareas en el CRM o dashboard de seguimiento, lo que dificulta el control de desempeño por asesor y la trazabilidad de las interacciones.
</t>
    </r>
    <r>
      <rPr>
        <b/>
        <sz val="11"/>
        <color theme="1"/>
        <rFont val="Aptos Narrow"/>
        <family val="2"/>
        <scheme val="minor"/>
      </rPr>
      <t>Riesgo sobre el cumplimiento de metas de ventas:</t>
    </r>
    <r>
      <rPr>
        <sz val="11"/>
        <color theme="1"/>
        <rFont val="Aptos Narrow"/>
        <family val="2"/>
        <scheme val="minor"/>
      </rPr>
      <t xml:space="preserve">
Si la tendencia continúa, impactará directamente el cumplimiento del presupuesto comercial mensual, generando retrasos en los cierres y menor conversión por canal.
</t>
    </r>
    <r>
      <rPr>
        <b/>
        <sz val="11"/>
        <color theme="1"/>
        <rFont val="Aptos Narrow"/>
        <family val="2"/>
        <scheme val="minor"/>
      </rPr>
      <t>Plan de Acción Correctiva</t>
    </r>
    <r>
      <rPr>
        <sz val="11"/>
        <color theme="1"/>
        <rFont val="Aptos Narrow"/>
        <family val="2"/>
        <scheme val="minor"/>
      </rPr>
      <t xml:space="preserve">
1. Seguimiento diario de gestión de leads por asesor a través del dashboard comercial.	
2. Reuniones semanales de control de avances con reporte de leads atendidos vs. asignados.	
3. Implementar alertas automáticas en el CRM para leads sin contacto en 48 horas.	
4. Capacitación en manejo de leads y seguimiento efectivo para todo el equipo comercial.	
5. Auditoría mensual del cumplimiento de gestión individual para retroalimentación y aplicación de medidas disciplinarias o de mejora.	 
6. Revisión de la calidad y origen de los leads (validación de datos, segmentación y duplicidad).	
</t>
    </r>
    <r>
      <rPr>
        <b/>
        <sz val="11"/>
        <color theme="1"/>
        <rFont val="Aptos Narrow"/>
        <family val="2"/>
        <scheme val="minor"/>
      </rPr>
      <t>🔹 Meta de Recuperación</t>
    </r>
    <r>
      <rPr>
        <sz val="11"/>
        <color theme="1"/>
        <rFont val="Aptos Narrow"/>
        <family val="2"/>
        <scheme val="minor"/>
      </rPr>
      <t xml:space="preserve">
Aumentar la gestión de leads del 44 % al 80 % en los próximos 2 meses, mediante control, seguimiento y retroalimentación constante.</t>
    </r>
  </si>
  <si>
    <r>
      <rPr>
        <b/>
        <sz val="11"/>
        <color theme="1"/>
        <rFont val="Aptos Narrow"/>
        <family val="2"/>
        <scheme val="minor"/>
      </rPr>
      <t>8,68 % / 10 % = 86,8 % del cumplimiento esperado          Conclusiones:</t>
    </r>
    <r>
      <rPr>
        <sz val="11"/>
        <color theme="1"/>
        <rFont val="Aptos Narrow"/>
        <family val="2"/>
        <scheme val="minor"/>
      </rPr>
      <t xml:space="preserve">
La tasa de conversión fue del 8,68 %, lo que ubica el desempeño dentro del rango aceptable (🟡), aunque sin alcanzar el nivel óptimo (≥ 10 %).
Existe una gestión adecuada, pero con oportunidad de mejora en la efectividad de cierre del contacto inicial.
Podría estar influenciada por baja calidad de leads, seguimientos insuficientes o argumentación comercial débil durante la llamada inicial.
El indicador muestra que Natalia logra convertir casi 1 de cada 12 leads gestionados en una cita efectiva.
</t>
    </r>
    <r>
      <rPr>
        <b/>
        <sz val="11"/>
        <color theme="1"/>
        <rFont val="Aptos Narrow"/>
        <family val="2"/>
        <scheme val="minor"/>
      </rPr>
      <t>Impacto:</t>
    </r>
    <r>
      <rPr>
        <sz val="11"/>
        <color theme="1"/>
        <rFont val="Aptos Narrow"/>
        <family val="2"/>
        <scheme val="minor"/>
      </rPr>
      <t xml:space="preserve">
El desempeño no es deficiente, pero está por debajo del potencial esperado para alcanzar las metas de ventas.
Mejorar este indicador impacta directamente el embudo comercial, aumentando el número de cierres potenciales.
</t>
    </r>
    <r>
      <rPr>
        <b/>
        <sz val="11"/>
        <color theme="1"/>
        <rFont val="Aptos Narrow"/>
        <family val="2"/>
        <scheme val="minor"/>
      </rPr>
      <t>Plan de Acción Correctiva</t>
    </r>
    <r>
      <rPr>
        <sz val="11"/>
        <color theme="1"/>
        <rFont val="Aptos Narrow"/>
        <family val="2"/>
        <scheme val="minor"/>
      </rPr>
      <t xml:space="preserve">
1. Implementar script de contacto estandarizado para llamadas iniciales, con enfoque en agendamiento de cita.	
2. Revisión semanal de conversión por asesor, identificando mejores prácticas.	
3. Capacitación en técnicas de cierre y argumentación comercial.	
4. Establecer protocolo de segundo contacto (reintentos a leads no convertidos).	
5. Revisión de calidad de leads entregados (fuente, verificación, duplicidad).</t>
    </r>
  </si>
  <si>
    <r>
      <rPr>
        <b/>
        <sz val="11"/>
        <color theme="1"/>
        <rFont val="Aptos Narrow"/>
        <family val="2"/>
        <scheme val="minor"/>
      </rPr>
      <t>Conclusiones:</t>
    </r>
    <r>
      <rPr>
        <sz val="11"/>
        <color theme="1"/>
        <rFont val="Aptos Narrow"/>
        <family val="2"/>
        <scheme val="minor"/>
      </rPr>
      <t xml:space="preserve">
La tasa de conversión a visitas fue del 197,47 %, lo que indica que por cada cita agendada se generaron prácticamente dos visitas efectivas, superando con amplitud el rango óptimo (≥ 30 %).
Este desbordamiento en el dato se debe a que Natalia atendio no solo sus citas agendadas, sino tambien aquillas agendadas por Juan Pablo el perfilador externo. 
</t>
    </r>
    <r>
      <rPr>
        <b/>
        <sz val="11"/>
        <color theme="1"/>
        <rFont val="Aptos Narrow"/>
        <family val="2"/>
        <scheme val="minor"/>
      </rPr>
      <t>Interpretación:</t>
    </r>
    <r>
      <rPr>
        <sz val="11"/>
        <color theme="1"/>
        <rFont val="Aptos Narrow"/>
        <family val="2"/>
        <scheme val="minor"/>
      </rPr>
      <t xml:space="preserve">
El resultado refleja una excelente gestión comercial, con alta capacidad para movilizar prospectos desde la etapa de cita hacia una experiencia real con el producto.
El nivel de interés del cliente y la efectividad del equipo en reprogramar o mantener contacto son muy positivos.
</t>
    </r>
    <r>
      <rPr>
        <b/>
        <sz val="11"/>
        <color theme="1"/>
        <rFont val="Aptos Narrow"/>
        <family val="2"/>
        <scheme val="minor"/>
      </rPr>
      <t>Impacto:</t>
    </r>
    <r>
      <rPr>
        <sz val="11"/>
        <color theme="1"/>
        <rFont val="Aptos Narrow"/>
        <family val="2"/>
        <scheme val="minor"/>
      </rPr>
      <t xml:space="preserve">
Este indicador fortalece la eficiencia del embudo comercial, potenciando las probabilidades de cierre.
Una alta conversión a visitas es un signo de buen engagement con el producto y adecuada atención pre-venta.
</t>
    </r>
  </si>
  <si>
    <r>
      <rPr>
        <b/>
        <sz val="11"/>
        <color theme="1"/>
        <rFont val="Aptos Narrow"/>
        <family val="2"/>
        <scheme val="minor"/>
      </rPr>
      <t>Conclusiones:</t>
    </r>
    <r>
      <rPr>
        <sz val="11"/>
        <color theme="1"/>
        <rFont val="Aptos Narrow"/>
        <family val="2"/>
        <scheme val="minor"/>
      </rPr>
      <t xml:space="preserve">
La tasa de conversión a ventas fue del 25 %, superando ampliamente la meta mínima del 10 %.
Esto significa que 1 de cada 4 visitas efectivas culminó en venta, lo que evidencia un excelente desempeño en la etapa final del embudo digital.
El resultado refleja una alta capacidad de cierre y un nivel de confianza sólido del cliente al momento de tomar la decisión de compra.
Indica que los procesos previos (contacto, cita y visita) fueron bien estructurados, generando un flujo cualificado de prospectos.
La experiencia del usuario y la asesoría durante la visita probablemente tuvieron un impacto positivo en la decisión final.
</t>
    </r>
    <r>
      <rPr>
        <b/>
        <sz val="11"/>
        <color theme="1"/>
        <rFont val="Aptos Narrow"/>
        <family val="2"/>
        <scheme val="minor"/>
      </rPr>
      <t>Impacto:</t>
    </r>
    <r>
      <rPr>
        <sz val="11"/>
        <color theme="1"/>
        <rFont val="Aptos Narrow"/>
        <family val="2"/>
        <scheme val="minor"/>
      </rPr>
      <t xml:space="preserve">
Este nivel de conversión demuestra madurez comercial en el canal digital, confirmando su potencial como fuente efectiva de ingresos.
Representa una optimización del costo de adquisición por cliente (CAC) y mayor rentabilidad de las campañas digitales.
Este desempeño debe ser replicado y documentado como práctica ejemplar dentro del proceso comercial digital.</t>
    </r>
  </si>
  <si>
    <t>0 leads no gestionados / mes (100 % de gestión esperada). Nivel	Rango	Resultado	Calificación (1–100)	Semáforo	Evaluación
🟢 Óptimo	0 %	—	—	🟢	Cumple plenamente
🟡 Aceptable	1 % – 10 %	—	—	🟡	En rango de mejora
🔴 Bajo	&gt; 10 %	55,97 %	20/100	🔴	No cumple la meta</t>
  </si>
  <si>
    <r>
      <rPr>
        <b/>
        <sz val="11"/>
        <color theme="1"/>
        <rFont val="Aptos Narrow"/>
        <family val="2"/>
        <scheme val="minor"/>
      </rPr>
      <t>Conclusiones</t>
    </r>
    <r>
      <rPr>
        <sz val="11"/>
        <color theme="1"/>
        <rFont val="Aptos Narrow"/>
        <family val="2"/>
        <scheme val="minor"/>
      </rPr>
      <t xml:space="preserve">
Se evidencia una brecha crítica en la gestión inicial del contacto con los clientes potenciales.
El 55,97 % de leads sin atención implica un incumplimiento total del estándar esperado (0 %).
La causa probable está relacionada con falta de seguimiento y control operativo diario del CRM, más que con la generación de leads.
Este resultado afecta negativamente todos los indicadores subsiguientes del embudo comercial.
</t>
    </r>
    <r>
      <rPr>
        <b/>
        <sz val="11"/>
        <color theme="1"/>
        <rFont val="Aptos Narrow"/>
        <family val="2"/>
        <scheme val="minor"/>
      </rPr>
      <t>Plan de Acción Correctiva</t>
    </r>
    <r>
      <rPr>
        <sz val="11"/>
        <color theme="1"/>
        <rFont val="Aptos Narrow"/>
        <family val="2"/>
        <scheme val="minor"/>
      </rPr>
      <t xml:space="preserve">
1. Implementar control diario de gestión en Zoho CRM para verificar que el 100 % de los leads reciban primer contacto dentro de 24 h.	Coordinador comercial	Inmediato	% de leads con primer contacto dentro de 24 h
2. Redistribuir leads entre asesores activos para equilibrar la carga y evitar acumulación de prospectos sin atender.	Dirección Comercial	Semanal	Promedio de leads por asesor
3. Activar alertas automáticas en Zoho para leads sin gestión después de 48 h.	CRM / Sistemas	1 semana	% de alertas respondidas
4. Realizar seguimiento semanal de leads sin contacto en comité comercial.	Coordinador comercial	Semanal	N° de leads no gestionados
5. Capacitar al equipo en rutinas de seguimiento digital y disciplina CRM.	Talento Humano / Comercial	2 semanas	% de participación y cumplimiento</t>
    </r>
  </si>
  <si>
    <r>
      <rPr>
        <b/>
        <sz val="11"/>
        <color theme="1"/>
        <rFont val="Aptos Narrow"/>
        <family val="2"/>
        <scheme val="minor"/>
      </rPr>
      <t xml:space="preserve">Conclusiones
</t>
    </r>
    <r>
      <rPr>
        <sz val="11"/>
        <color theme="1"/>
        <rFont val="Aptos Narrow"/>
        <family val="2"/>
        <scheme val="minor"/>
      </rPr>
      <t>El indicador se ubica en nivel óptimo (🟢) con cumplimiento del 100 % y calificación 95/100.
Se mantiene una buena dinámica comercial, reflejando eficiencia en la atención y seguimiento postcontacto.
El desempeño demuestra sincronía entre áreas de soporte (jurídica, cartera, comercial), lo que agiliza la formalización de negocios.</t>
    </r>
  </si>
  <si>
    <t>Conclusiones
El indicador se ubica en zona roja (🔴 65,7 %), evidenciando una gestión insuficiente.
Existe una brecha significativa respecto al límite máximo aceptable (10 %).
La falta de seguimiento sistemático impide construir relaciones sólidas y detectar oportunidades reales de venta.
🔹 Plan de acción sugerido
1. Implementar control semanal de gestiones registradas en Zoho.	Coordinador comercial	Inmediato	% de leads con ≥ 6 notas
2. Establecer mínimo de 6 interacciones registradas por lead activo.	Asesores comerciales	Permanente	Promedio de notas/lead
3. Capacitación en uso del CRM y seguimiento efectivo.	Dirección Comercial	15 días	Asistencia y cumplimiento en capacitaciones
4. Revisión de leads no gestionados o con baja actividad.	Coordinador comercial	Semanal	% de leads reactivados</t>
  </si>
  <si>
    <r>
      <rPr>
        <b/>
        <sz val="11"/>
        <color theme="1"/>
        <rFont val="Aptos Narrow"/>
        <family val="2"/>
        <scheme val="minor"/>
      </rPr>
      <t>Conclusiones</t>
    </r>
    <r>
      <rPr>
        <sz val="11"/>
        <color theme="1"/>
        <rFont val="Aptos Narrow"/>
        <family val="2"/>
        <scheme val="minor"/>
      </rPr>
      <t xml:space="preserve">
Cumplimiento del 86 % (🟡 Aceptable) — se encuentra en rango de mejora.
El desempeño es estable, con potencial para lograr el nivel óptimo con un incremento leve en cierres.
Mantiene buen ritmo de gestión en relación con la meta de ventas del mes.
</t>
    </r>
    <r>
      <rPr>
        <b/>
        <sz val="11"/>
        <color theme="1"/>
        <rFont val="Aptos Narrow"/>
        <family val="2"/>
        <scheme val="minor"/>
      </rPr>
      <t>Plan de acción correctiva</t>
    </r>
    <r>
      <rPr>
        <sz val="11"/>
        <color theme="1"/>
        <rFont val="Aptos Narrow"/>
        <family val="2"/>
        <scheme val="minor"/>
      </rPr>
      <t xml:space="preserve">
1. Revisar causas de ventas no concretadas para identificar barreras en la fase de negociación.	Asesor / Líder Comercial	Inmediato	% de cierres por contacto
2. Incrementar seguimiento a leads calientes (priorización CRM).	Asesor	Semanal	% de seguimiento en tiempo real
3. Capacitación en técnicas de cierre y manejo de objeciones.	Dirección Comercial	15 días	Calificación en simulaciones de cierre</t>
    </r>
  </si>
  <si>
    <r>
      <rPr>
        <b/>
        <sz val="11"/>
        <color theme="1"/>
        <rFont val="Aptos Narrow"/>
        <family val="2"/>
        <scheme val="minor"/>
      </rPr>
      <t>Conclusiones</t>
    </r>
    <r>
      <rPr>
        <sz val="11"/>
        <color theme="1"/>
        <rFont val="Aptos Narrow"/>
        <family val="2"/>
        <scheme val="minor"/>
      </rPr>
      <t xml:space="preserve">
El indicador se encuentra en semáforo rojo (🔴) con 30,16 % de cumplimiento, muy por debajo del rango mínimo esperado (70 %).
La gestión comercial no está logrando mantener el nivel de actividad necesario para generar resultados sostenibles.
Se requiere intervención inmediata sobre la frecuencia de gestiones diarias, la priorización de leads y el control de CRM.
</t>
    </r>
    <r>
      <rPr>
        <b/>
        <sz val="11"/>
        <color theme="1"/>
        <rFont val="Aptos Narrow"/>
        <family val="2"/>
        <scheme val="minor"/>
      </rPr>
      <t>Plan de Acción Correctiva</t>
    </r>
    <r>
      <rPr>
        <sz val="11"/>
        <color theme="1"/>
        <rFont val="Aptos Narrow"/>
        <family val="2"/>
        <scheme val="minor"/>
      </rPr>
      <t xml:space="preserve">
Acción	Responsable	Plazo	Indicador de Seguimiento
1. Implementar plan de acción diaria de contacto mínimo por asesor (meta: 25 gestiones diarias).	Coordinador Comercial	Inmediato	% de cumplimiento de rutinas diarias
2. Crear tablero de control semanal en Zoho CRM con seguimiento de gestiones por asesor.	CRM / Dirección Comercial	1 semana	Reporte semanal de actividad comercial
3. Capacitación en disciplina comercial y manejo del embudo de ventas.	Dirección Comercial / Talento Humano	2 semanas	Asistencia y evaluación postcapacitación
4. Establecer seguimiento diario a leads inactivos (&gt;48 h sin contacto).	Coordinador Comercial	Permanente	% de leads inactivos
</t>
    </r>
  </si>
  <si>
    <t>Leads totales</t>
  </si>
  <si>
    <t>Tasa de Contacto Inicial (%) = Leads gestionados / Leads totales</t>
  </si>
  <si>
    <t>Nivel	Rango	Calificación	Evaluación
🟢 Óptimo	&gt; 85 %	100	Cumple o supera la meta
🟡 En mejora	70 % – 85 %	80–89	En rango de mejora
🔴 Bajo	&lt; 70 %	&lt; 70	No cumple</t>
  </si>
  <si>
    <r>
      <rPr>
        <b/>
        <sz val="11"/>
        <color theme="1"/>
        <rFont val="Aptos Narrow"/>
        <family val="2"/>
        <scheme val="minor"/>
      </rPr>
      <t>Conclusión ejecutiva:</t>
    </r>
    <r>
      <rPr>
        <sz val="11"/>
        <color theme="1"/>
        <rFont val="Aptos Narrow"/>
        <family val="2"/>
        <scheme val="minor"/>
      </rPr>
      <t xml:space="preserve">
La Tasa de Contacto Inicial (88,00 %) se encuentra en nivel óptimo (🟢) con una calificación de 95/100, demostrando eficiencia y agilidad en el primer acercamiento comercial.
El equipo muestra buena capacidad de reacción, aunque se recomienda fortalecer la cobertura total para alcanzar niveles de excelencia (≥ 90 %) y asegurar continuidad en el proceso de conversión hacia citas y ventas.</t>
    </r>
  </si>
  <si>
    <t>Falta firma: 42/107</t>
  </si>
  <si>
    <t>Firmas período: 4/107</t>
  </si>
  <si>
    <t>Carpetas Faltantes: 0/107</t>
  </si>
  <si>
    <t>Carpetas período: 7/107</t>
  </si>
  <si>
    <r>
      <rPr>
        <b/>
        <sz val="11"/>
        <color theme="1"/>
        <rFont val="Aptos Narrow"/>
        <family val="2"/>
        <scheme val="minor"/>
      </rPr>
      <t>Conclusiones</t>
    </r>
    <r>
      <rPr>
        <sz val="11"/>
        <color theme="1"/>
        <rFont val="Aptos Narrow"/>
        <family val="2"/>
        <scheme val="minor"/>
      </rPr>
      <t xml:space="preserve">
El indicador no cumple la meta (🔴) principalmente por el retraso en firmas de Otrosí.
Se evidencia buen control documental y CRM organizado en los demás frentes (Archivo y Croma).
Urge fortalecer la coordinación entre el área comercial y jurídica para cerrar los pendientes contractuales que impactan la precisión.
</t>
    </r>
    <r>
      <rPr>
        <b/>
        <sz val="11"/>
        <color theme="1"/>
        <rFont val="Aptos Narrow"/>
        <family val="2"/>
        <scheme val="minor"/>
      </rPr>
      <t>Plan de acción sugerido</t>
    </r>
    <r>
      <rPr>
        <sz val="11"/>
        <color theme="1"/>
        <rFont val="Aptos Narrow"/>
        <family val="2"/>
        <scheme val="minor"/>
      </rPr>
      <t xml:space="preserve">
1. Solicitar priorización a Jurídica de los 42 Otrosí pendientes	Coordinación Comercial	Inmediato	% Otrosí firmados / pendientes
2. Revisión semanal del estado de firmas y alertas automáticas en Zoho	CRM / Comercial	Semanal	Reporte semanal firmado
3. Consolidar checklist de validación obligatoria antes de marcar “negocio completo” en CRM	Coordinador de Ventas	15 días	% negocios auditados sin error
4. Mantener al 100 % los archivos comerciales físicos y digitales	Asistente comercial	Permanente	% carpetas completas
5. Incluir subprocesos de Canjes, Traslados y Novedades desde noviembre	Comercial / Administración	Noviembre	% precisión integral CRM</t>
    </r>
  </si>
  <si>
    <t>Suma de Agosto</t>
  </si>
  <si>
    <t>Suma de Septiembre</t>
  </si>
  <si>
    <t>Suma de Octubre</t>
  </si>
  <si>
    <t>CIERRE OCTUBRE 2025</t>
  </si>
  <si>
    <t>Invertido Noviembre</t>
  </si>
  <si>
    <t>CPL Noviembre</t>
  </si>
  <si>
    <t xml:space="preserve">Octubre  </t>
  </si>
  <si>
    <t>NOVIEMBRE</t>
  </si>
  <si>
    <t>Noviembre: El equipo permanece igual</t>
  </si>
  <si>
    <t>Viernes mes noviembre</t>
  </si>
  <si>
    <t>RESULTADO 11/2025</t>
  </si>
  <si>
    <t>CALIFICACIÓN NOVIEMBRE</t>
  </si>
  <si>
    <t>De 1533 Leads, se perdieron 217 en total. 👉 Resultado: 14 % de leads perdidos
👉 Leads  calificados: 86 %</t>
  </si>
  <si>
    <t>No tiene caja compensación</t>
  </si>
  <si>
    <t>Pendientes por gestión</t>
  </si>
  <si>
    <t>Se medira en diciembre</t>
  </si>
  <si>
    <t>Gestiones Leads de este período</t>
  </si>
  <si>
    <t>Leads asignados de este período</t>
  </si>
  <si>
    <t>Gestiones de Leads adicionales de este período</t>
  </si>
  <si>
    <t>Medir la constancia y profundidad del seguimiento comercial a los leads asignados. Aquellos que tienen menos de 6 notas</t>
  </si>
  <si>
    <t>Pendiente por vinculación</t>
  </si>
  <si>
    <t>Logrados</t>
  </si>
  <si>
    <t xml:space="preserve">Pendiente traslado recursos, ya esta vinculado  </t>
  </si>
  <si>
    <t>Esta al día</t>
  </si>
  <si>
    <t>Todos vinculados, pendiente info de área técnica para siguiente paso</t>
  </si>
  <si>
    <t>Logrados en vinculación</t>
  </si>
  <si>
    <t>N/A</t>
  </si>
  <si>
    <r>
      <rPr>
        <b/>
        <sz val="11"/>
        <color theme="1"/>
        <rFont val="Aptos Narrow"/>
        <family val="2"/>
        <scheme val="minor"/>
      </rPr>
      <t>Conclusión:</t>
    </r>
    <r>
      <rPr>
        <sz val="11"/>
        <color theme="1"/>
        <rFont val="Aptos Narrow"/>
        <family val="2"/>
        <scheme val="minor"/>
      </rPr>
      <t xml:space="preserve">
</t>
    </r>
    <r>
      <rPr>
        <b/>
        <sz val="11"/>
        <color theme="1"/>
        <rFont val="Aptos Narrow"/>
        <family val="2"/>
        <scheme val="minor"/>
      </rPr>
      <t xml:space="preserve">Mes actual: </t>
    </r>
    <r>
      <rPr>
        <sz val="11"/>
        <color theme="1"/>
        <rFont val="Aptos Narrow"/>
        <family val="2"/>
        <scheme val="minor"/>
      </rPr>
      <t xml:space="preserve">desempeño óptimo (100 %) + recuperación de rezagos (195 %).
Existe mejora marcada en disciplina comercial y gestión diaria.
</t>
    </r>
    <r>
      <rPr>
        <b/>
        <sz val="11"/>
        <color theme="1"/>
        <rFont val="Aptos Narrow"/>
        <family val="2"/>
        <scheme val="minor"/>
      </rPr>
      <t>Siguiente paso:</t>
    </r>
    <r>
      <rPr>
        <sz val="11"/>
        <color theme="1"/>
        <rFont val="Aptos Narrow"/>
        <family val="2"/>
        <scheme val="minor"/>
      </rPr>
      <t xml:space="preserve"> consolidar este nivel, optimizar calidad del lead y fortalecer priorización para aumentar conversiones.</t>
    </r>
  </si>
  <si>
    <r>
      <rPr>
        <b/>
        <sz val="11"/>
        <color theme="1"/>
        <rFont val="Aptos Narrow"/>
        <family val="2"/>
        <scheme val="minor"/>
      </rPr>
      <t>Conclusión:</t>
    </r>
    <r>
      <rPr>
        <sz val="11"/>
        <color theme="1"/>
        <rFont val="Aptos Narrow"/>
        <family val="2"/>
        <scheme val="minor"/>
      </rPr>
      <t xml:space="preserve">
El indicador evidencia un desempeño altamente eficiente (50 %), superando en cinco veces la meta mensual (≥10 %).
Esto posiciona el canal digital como el más productivo del embudo comercial, confirmando la efectividad del proceso de atención, seguimiento y cierre.
</t>
    </r>
    <r>
      <rPr>
        <b/>
        <sz val="11"/>
        <color theme="1"/>
        <rFont val="Aptos Narrow"/>
        <family val="2"/>
        <scheme val="minor"/>
      </rPr>
      <t>Plan de acción:</t>
    </r>
    <r>
      <rPr>
        <sz val="11"/>
        <color theme="1"/>
        <rFont val="Aptos Narrow"/>
        <family val="2"/>
        <scheme val="minor"/>
      </rPr>
      <t xml:space="preserve">
Documentar el flujo exitoso de cierre utilizado por los asesores con mejores resultados.
Replicar la estrategia de ventas digitales en otros proyectos o canales.
Medir la retención postventa de clientes digitales para fortalecer la fidelización.
Analizar los casos no convertidos para identificar posibles brechas de servicio o precio.</t>
    </r>
  </si>
  <si>
    <r>
      <rPr>
        <b/>
        <sz val="11"/>
        <color theme="1"/>
        <rFont val="Aptos Narrow"/>
        <family val="2"/>
        <scheme val="minor"/>
      </rPr>
      <t>Conclusión:</t>
    </r>
    <r>
      <rPr>
        <sz val="11"/>
        <color theme="1"/>
        <rFont val="Aptos Narrow"/>
        <family val="2"/>
        <scheme val="minor"/>
      </rPr>
      <t xml:space="preserve">
Mes actual: 1,28 % → Nivel 🟡 Dentro de meta → Desempeño destacable, casi óptimo.
Logró una mejora sustancial y debe continuar con las estrategias implementadas para alcanzar el nivel óptimo (0 %).                                                           </t>
    </r>
    <r>
      <rPr>
        <b/>
        <sz val="11"/>
        <color theme="1"/>
        <rFont val="Aptos Narrow"/>
        <family val="2"/>
        <scheme val="minor"/>
      </rPr>
      <t>Para mantener la mejora lograda:</t>
    </r>
    <r>
      <rPr>
        <sz val="11"/>
        <color theme="1"/>
        <rFont val="Aptos Narrow"/>
        <family val="2"/>
        <scheme val="minor"/>
      </rPr>
      <t xml:space="preserve">
Continuar con alertas automáticas para leads sin gestión en 12 h y 24 h.
Control diario de leads nuevos asignados vs. gestionados.
Revisión semanal por asesor para identificar rezagos a tiempo.
Para llevar el indicador al nivel óptimo (0 %)
Implementar un protocolo de contacto inicial obligatorio en menos de 6 horas.
Ajustar asignación diaria para que no supere 35 leads por asesor.
Reasignar de inmediato cualquier lead sin gestión al cumplirse 24 h.
Integrar un panel de “leads críticos” para evitar que alguno quede sin contacto.
</t>
    </r>
    <r>
      <rPr>
        <b/>
        <sz val="11"/>
        <color theme="1"/>
        <rFont val="Aptos Narrow"/>
        <family val="2"/>
        <scheme val="minor"/>
      </rPr>
      <t>Para fortalecer la calidad del proceso:</t>
    </r>
    <r>
      <rPr>
        <sz val="11"/>
        <color theme="1"/>
        <rFont val="Aptos Narrow"/>
        <family val="2"/>
        <scheme val="minor"/>
      </rPr>
      <t xml:space="preserve">
Validar datos antes de asignar (teléfono, correo, duplicados).
Segmentar por calidad para priorizar leads calientes.
Documentar cada intento de contacto para mantener trazabilidad.</t>
    </r>
  </si>
  <si>
    <r>
      <rPr>
        <b/>
        <sz val="11"/>
        <color theme="1"/>
        <rFont val="Aptos Narrow"/>
        <family val="2"/>
        <scheme val="minor"/>
      </rPr>
      <t>Conclusión:</t>
    </r>
    <r>
      <rPr>
        <sz val="11"/>
        <color theme="1"/>
        <rFont val="Aptos Narrow"/>
        <family val="2"/>
        <scheme val="minor"/>
      </rPr>
      <t xml:space="preserve">
El tiempo promedio de cierre (10 días) cumple ampliamente la meta, ubicándose en el rango óptimo.
Las ventas directas continúan mostrando excelente velocidad de conversión.
La eficiencia comercial se mantiene sólida y consistente.</t>
    </r>
  </si>
  <si>
    <r>
      <rPr>
        <b/>
        <sz val="11"/>
        <color theme="1"/>
        <rFont val="Aptos Narrow"/>
        <family val="2"/>
        <scheme val="minor"/>
      </rPr>
      <t>Conclusión:</t>
    </r>
    <r>
      <rPr>
        <sz val="11"/>
        <color theme="1"/>
        <rFont val="Aptos Narrow"/>
        <family val="2"/>
        <scheme val="minor"/>
      </rPr>
      <t xml:space="preserve">
El asesor alcanzó el 71 % de su meta, lo que significa que se quedaron 2 ventas por debajo del objetivo mensual.
Este desempeño se ubica en nivel bajo, indicando que la productividad comercial fue inferior al estándar esperado.
Es importante revisar los factores que limitaron el cumplimiento: volumen de leads útiles, tiempos de gestión, calidad de oportunidades, o procesos internos que hayan atrasado cierres.
Aunque el indicador es bajo, el volumen de cierres previos evidencia capacidad y podría recuperarse rápidamente con ajustes en la estrategia.</t>
    </r>
  </si>
  <si>
    <r>
      <rPr>
        <b/>
        <sz val="11"/>
        <color theme="1"/>
        <rFont val="Aptos Narrow"/>
        <family val="2"/>
        <scheme val="minor"/>
      </rPr>
      <t>Conclusión:</t>
    </r>
    <r>
      <rPr>
        <sz val="11"/>
        <color theme="1"/>
        <rFont val="Aptos Narrow"/>
        <family val="2"/>
        <scheme val="minor"/>
      </rPr>
      <t xml:space="preserve">
El 40 % de los leads no recibió el nivel mínimo de seguimiento (menos de 6 notas), lo que muestra un déficit significativo en profundidad y constancia de gestión.
El KPI se ubica en zona roja, muy por encima del límite crítico del 25 %.
Esto indica que una parte importante de los leads no está siendo nutrida adecuadamente, lo que puede generar:
Baja conversión a citas y cierres
Leads “fríos” por falta de interacción
Pérdida de oportunidades de venta
La gestión baja no necesariamente refleja falta de trabajo, sino falta de registro y sistematización del seguimiento, lo cual impacta la trazabilidad.</t>
    </r>
  </si>
  <si>
    <r>
      <rPr>
        <b/>
        <sz val="11"/>
        <color theme="1"/>
        <rFont val="Aptos Narrow"/>
        <family val="2"/>
        <scheme val="minor"/>
      </rPr>
      <t>Conclusión:</t>
    </r>
    <r>
      <rPr>
        <sz val="11"/>
        <color theme="1"/>
        <rFont val="Aptos Narrow"/>
        <family val="2"/>
        <scheme val="minor"/>
      </rPr>
      <t xml:space="preserve">
La gestión alcanzó el 100 %, lo que demuestra un cumplimiento sobresaliente, ubicándose en el nivel Óptimo, por encima del umbral mínimo exigido (95 %).
La totalidad de los leads asignados fueron atendidos, lo que evidencia disciplina en el seguimiento, eficiencia operativa y adecuada administración del flujo comercial.
El resultado refleja un proceso de contacto oportuno y completo, reduciendo el riesgo de pérdida de oportunidades asociadas a la falta de gestión.
El desempeño se alinea con las metas del área, fortaleciendo la efectividad comercial y contribuyendo positivamente a los indicadores globales de conversión.
El nivel alcanzado indica que no existen brechas en la gestión individual, por lo que el foco puede orientarse ahora a la calidad de atención, la velocidad de respuesta y la conversión.</t>
    </r>
  </si>
  <si>
    <r>
      <rPr>
        <b/>
        <sz val="11"/>
        <color theme="1"/>
        <rFont val="Aptos Narrow"/>
        <family val="2"/>
        <scheme val="minor"/>
      </rPr>
      <t>Conclusión:</t>
    </r>
    <r>
      <rPr>
        <sz val="11"/>
        <color theme="1"/>
        <rFont val="Aptos Narrow"/>
        <family val="2"/>
        <scheme val="minor"/>
      </rPr>
      <t xml:space="preserve">
La tasa de conversión a citas fue del 4,5 %, ubicándose en nivel Bajo, por debajo del umbral mínimo del 7 % requerido.
El resultado evidencia una brecha significativa entre la gestión de leads y su conversión a citas, lo que indica que aunque los leads sí se están gestionando, no se están logrando citas en proporción suficiente.
</t>
    </r>
    <r>
      <rPr>
        <b/>
        <sz val="11"/>
        <color theme="1"/>
        <rFont val="Aptos Narrow"/>
        <family val="2"/>
        <scheme val="minor"/>
      </rPr>
      <t>La baja conversión puede estar asociada a factores como:</t>
    </r>
    <r>
      <rPr>
        <sz val="11"/>
        <color theme="1"/>
        <rFont val="Aptos Narrow"/>
        <family val="2"/>
        <scheme val="minor"/>
      </rPr>
      <t xml:space="preserve">
calidad del primer contacto, falta de oportunidad en la respuesta, argumentación comercial débil, leads poco calificados, o problemas en la trazabilidad del seguimiento.
Este indicador revela una oportunidad de mejora clave, ya que impacta directamente la conversión posterior a ventas.
Se recomienda priorizar acciones de fortalecimiento comercial, tales como guiones de contacto, tiempos máximos de respuesta, estandarización de seguimiento en las primeras 24 horas y análisis del tipo de lead que menos convierte.</t>
    </r>
  </si>
  <si>
    <r>
      <rPr>
        <b/>
        <sz val="11"/>
        <color theme="1"/>
        <rFont val="Aptos Narrow"/>
        <family val="2"/>
        <scheme val="minor"/>
      </rPr>
      <t>Conclusión:</t>
    </r>
    <r>
      <rPr>
        <sz val="11"/>
        <color theme="1"/>
        <rFont val="Aptos Narrow"/>
        <family val="2"/>
        <scheme val="minor"/>
      </rPr>
      <t xml:space="preserve">
La tasa de conversión a visitas es 44,44 %, lo cual se encuentra dentro del rango Óptimo (30 %–50 % o más).
Esto significa que el proceso comercial está logrando transformar una buena proporción de citas en visitas efectivas.
El indicador refleja alto interés de los clientes y gestión eficiente del asesor en esta etapa.</t>
    </r>
  </si>
  <si>
    <r>
      <rPr>
        <b/>
        <sz val="11"/>
        <color theme="1"/>
        <rFont val="Aptos Narrow"/>
        <family val="2"/>
        <scheme val="minor"/>
      </rPr>
      <t>Conclusión:</t>
    </r>
    <r>
      <rPr>
        <sz val="11"/>
        <color theme="1"/>
        <rFont val="Aptos Narrow"/>
        <family val="2"/>
        <scheme val="minor"/>
      </rPr>
      <t xml:space="preserve">
La tasa de conversión a ventas es 50 %, lo que está muy por encima del mínimo del nivel Óptimo (≥ 10 %).
Esto refleja:
Altísima efectividad en el cierre
Excelente aprovechamiento de las visitas efectivas
Dominio sólido del proceso comercial digital</t>
    </r>
  </si>
  <si>
    <r>
      <rPr>
        <b/>
        <sz val="11"/>
        <color theme="1"/>
        <rFont val="Aptos Narrow"/>
        <family val="2"/>
        <scheme val="minor"/>
      </rPr>
      <t>Conclusión:</t>
    </r>
    <r>
      <rPr>
        <sz val="11"/>
        <color theme="1"/>
        <rFont val="Aptos Narrow"/>
        <family val="2"/>
        <scheme val="minor"/>
      </rPr>
      <t xml:space="preserve">
La gestión fue perfecta, logrando 0 leads sin atender, lo que implica que el 100 % de los prospectos recibieron contacto o seguimiento oportuno. Este desempeño se clasifica como Óptimo y obtiene la calificación máxima: 100/100. </t>
    </r>
    <r>
      <rPr>
        <b/>
        <sz val="11"/>
        <color theme="1"/>
        <rFont val="Aptos Narrow"/>
        <family val="2"/>
        <scheme val="minor"/>
      </rPr>
      <t>¡Felicitaciones!</t>
    </r>
  </si>
  <si>
    <r>
      <rPr>
        <b/>
        <sz val="11"/>
        <color theme="1"/>
        <rFont val="Aptos Narrow"/>
        <family val="2"/>
        <scheme val="minor"/>
      </rPr>
      <t>Conclusión:</t>
    </r>
    <r>
      <rPr>
        <sz val="11"/>
        <color theme="1"/>
        <rFont val="Aptos Narrow"/>
        <family val="2"/>
        <scheme val="minor"/>
      </rPr>
      <t xml:space="preserve">
La gestión general del mes alcanzó un 97,02 % frente a la meta establecida, ubicándose en el nivel Óptimo según la escala de evaluación. Este resultado evidencia un alto nivel de actividad comercial, reflejado en el cumplimiento casi total de las gestiones previstas (815 de 840).
El desempeño demuestra constancia en el contacto, seguimiento y actualización de los prospectos dentro del embudo comercial, asegurando un flujo continuo de oportunidades y evitando la pérdida de leads por falta de gestión. En consecuencia, el indicador obtiene una calificación de 97/100, destacando la solidez del proceso y la eficiencia del equipo en la ejecución de sus actividades.</t>
    </r>
  </si>
  <si>
    <r>
      <rPr>
        <b/>
        <sz val="11"/>
        <color theme="1"/>
        <rFont val="Aptos Narrow"/>
        <family val="2"/>
        <scheme val="minor"/>
      </rPr>
      <t>Conclusión:</t>
    </r>
    <r>
      <rPr>
        <sz val="11"/>
        <color theme="1"/>
        <rFont val="Aptos Narrow"/>
        <family val="2"/>
        <scheme val="minor"/>
      </rPr>
      <t xml:space="preserve">
El tiempo promedio de cierre del mes fue de 1,56 días, ubicándose ampliamente dentro del rango Óptimo para ventas directas (1–15 días) y muy por debajo del límite superior de 30 días contemplado para negocios complejos. Este resultado refleja un alto nivel de eficiencia comercial, evidenciando procesos ágiles, seguimiento oportuno y una rápida toma de decisiones por parte de los clientes.
El indicador demuestra que la gestión comercial se está ejecutando con excelente velocidad y efectividad, favoreciendo un ciclo de ventas corto y un mayor aprovechamiento de las oportunidades generadas.
Gracias a este rendimiento, el indicador alcanza una calificación de 100/100, consolidándose como uno de los puntos más fuertes del desempeño comercial del mes.</t>
    </r>
  </si>
  <si>
    <t>Juan Pablo estuvo con el usuario de Natalia:</t>
  </si>
  <si>
    <t>Desde el 1 al 22 nov</t>
  </si>
  <si>
    <t>Promedio gestiones Juan Pablo</t>
  </si>
  <si>
    <t>Del 23 nov al 30 nov 432 gest (6 dias)</t>
  </si>
  <si>
    <t>Quedan:</t>
  </si>
  <si>
    <t>1. 1109 T2</t>
  </si>
  <si>
    <r>
      <rPr>
        <b/>
        <sz val="11"/>
        <color theme="1"/>
        <rFont val="Aptos Narrow"/>
        <family val="2"/>
        <scheme val="minor"/>
      </rPr>
      <t>Análisis:</t>
    </r>
    <r>
      <rPr>
        <sz val="11"/>
        <color theme="1"/>
        <rFont val="Aptos Narrow"/>
        <family val="2"/>
        <scheme val="minor"/>
      </rPr>
      <t xml:space="preserve">
Durante el mes evaluado, se logró un cumplimiento del 65 % de la meta de ventas, con 13 cierres frente a una meta proyectada de 20 unidades. Aunque se mantiene una actividad comercial constante, el resultado refleja una brecha del 35 % frente al objetivo mensual. Las causas pueden estar relacionadas con la alta tasa de leads no contactados y la disminución en la participación de mercado observada en el mismo periodo.
</t>
    </r>
    <r>
      <rPr>
        <b/>
        <sz val="11"/>
        <color theme="1"/>
        <rFont val="Aptos Narrow"/>
        <family val="2"/>
        <scheme val="minor"/>
      </rPr>
      <t>Conclusión:</t>
    </r>
    <r>
      <rPr>
        <sz val="11"/>
        <color theme="1"/>
        <rFont val="Aptos Narrow"/>
        <family val="2"/>
        <scheme val="minor"/>
      </rPr>
      <t xml:space="preserve">
El indicador se ubica en nivel en riesgo, evidenciando la necesidad de fortalecer la conversión de leads gestionados en cierres efectivos y de reforzar las estrategias comerciales para los próximos meses.
</t>
    </r>
    <r>
      <rPr>
        <b/>
        <sz val="11"/>
        <color theme="1"/>
        <rFont val="Aptos Narrow"/>
        <family val="2"/>
        <scheme val="minor"/>
      </rPr>
      <t>Plan de acción / Meta:</t>
    </r>
    <r>
      <rPr>
        <sz val="11"/>
        <color theme="1"/>
        <rFont val="Aptos Narrow"/>
        <family val="2"/>
        <scheme val="minor"/>
      </rPr>
      <t xml:space="preserve">
Aumentar el cumplimiento al 100 % para el siguiente mes (20 cierres).
Implementar seguimiento reforzado a leads calientes y en negociación.
Revisar estrategias de oferta y beneficios para acelerar decisiones de compra.</t>
    </r>
  </si>
  <si>
    <r>
      <rPr>
        <b/>
        <sz val="11"/>
        <color theme="1"/>
        <rFont val="Aptos Narrow"/>
        <family val="2"/>
        <scheme val="minor"/>
      </rPr>
      <t>Conclusión:</t>
    </r>
    <r>
      <rPr>
        <sz val="11"/>
        <color theme="1"/>
        <rFont val="Aptos Narrow"/>
        <family val="2"/>
        <scheme val="minor"/>
      </rPr>
      <t xml:space="preserve">
El indicador presenta cumplimiento óptimo, evidenciando eficiencia en la gestión presupuestal del área de mercadeo. Aunque la ejecución presupuestal total del mes fue óptima (94 %), la baja inversión en Google Ads (62 %) genera una desarticulación entre el objetivo financiero y la estrategia de mercadeo, limitando el alcance comercial esperado para el periodo.
</t>
    </r>
    <r>
      <rPr>
        <b/>
        <sz val="11"/>
        <color theme="1"/>
        <rFont val="Aptos Narrow"/>
        <family val="2"/>
        <scheme val="minor"/>
      </rPr>
      <t>Plan de acción / Meta:</t>
    </r>
    <r>
      <rPr>
        <sz val="11"/>
        <color theme="1"/>
        <rFont val="Aptos Narrow"/>
        <family val="2"/>
        <scheme val="minor"/>
      </rPr>
      <t xml:space="preserve">
Mantener la ejecución entre 95 % y 100 % del presupuesto mensual.
Revisar rendimiento de anuncios para maximizar retorno por peso invertido (ROAS).
Ajustar la inversión del siguiente mes con base en conversiones efectivas de cada plataforma.</t>
    </r>
  </si>
  <si>
    <r>
      <rPr>
        <b/>
        <sz val="11"/>
        <color theme="1"/>
        <rFont val="Aptos Narrow"/>
        <family val="2"/>
        <scheme val="minor"/>
      </rPr>
      <t>Análisis:</t>
    </r>
    <r>
      <rPr>
        <sz val="11"/>
        <color theme="1"/>
        <rFont val="Aptos Narrow"/>
        <family val="2"/>
        <scheme val="minor"/>
      </rPr>
      <t xml:space="preserve">
El Costo por Lead de noviembre se mantiene muy por debajo del umbral óptimo establecido (≤ $3.000), ubicándose en un nivel de eficiencia sobresaliente (🟢 ÓPTIMO). Además, se evidencia una optimización adicional frente al mes anterior, reduciendo aún más el costo de adquisición de clientes potenciales.
</t>
    </r>
    <r>
      <rPr>
        <b/>
        <sz val="11"/>
        <color theme="1"/>
        <rFont val="Aptos Narrow"/>
        <family val="2"/>
        <scheme val="minor"/>
      </rPr>
      <t>Conclusión:</t>
    </r>
    <r>
      <rPr>
        <sz val="11"/>
        <color theme="1"/>
        <rFont val="Aptos Narrow"/>
        <family val="2"/>
        <scheme val="minor"/>
      </rPr>
      <t xml:space="preserve">
El CPL de noviembre presenta un desempeño sobresaliente, confirmando que las campañas digitales están siendo altamente eficientes en la generación de leads calificados con una inversión mínima, lo cual fortalece la rentabilidad de la estrategia comercial.
</t>
    </r>
    <r>
      <rPr>
        <b/>
        <sz val="11"/>
        <color theme="1"/>
        <rFont val="Aptos Narrow"/>
        <family val="2"/>
        <scheme val="minor"/>
      </rPr>
      <t>Plan de acción:</t>
    </r>
    <r>
      <rPr>
        <sz val="11"/>
        <color theme="1"/>
        <rFont val="Aptos Narrow"/>
        <family val="2"/>
        <scheme val="minor"/>
      </rPr>
      <t xml:space="preserve">
Mantener estrategias de segmentación similares a las de la campaña del subsidio.
Replicar anuncios de mayor conversión en Meta Ads.
Realizar seguimiento al CPL por canal (Meta vs Google Ads) para mantener el promedio mensual por debajo de $1.000.</t>
    </r>
  </si>
  <si>
    <r>
      <rPr>
        <b/>
        <sz val="11"/>
        <color theme="1"/>
        <rFont val="Aptos Narrow"/>
        <family val="2"/>
        <scheme val="minor"/>
      </rPr>
      <t>Conclusión:</t>
    </r>
    <r>
      <rPr>
        <sz val="11"/>
        <color theme="1"/>
        <rFont val="Aptos Narrow"/>
        <family val="2"/>
        <scheme val="minor"/>
      </rPr>
      <t xml:space="preserve">
La meta fue superada en un 2,2 %, ubicando el indicador en nivel 🟢 ÓPTIMO. La meta mensual de generación de leads fue cumplida y superada, confirmando la efectividad de las campañas digitales y la correcta ejecución de la estrategia comercial, con impacto directo en el embudo de ventas.
</t>
    </r>
    <r>
      <rPr>
        <b/>
        <sz val="11"/>
        <color theme="1"/>
        <rFont val="Aptos Narrow"/>
        <family val="2"/>
        <scheme val="minor"/>
      </rPr>
      <t>Plan de acción:</t>
    </r>
    <r>
      <rPr>
        <sz val="11"/>
        <color theme="1"/>
        <rFont val="Aptos Narrow"/>
        <family val="2"/>
        <scheme val="minor"/>
      </rPr>
      <t xml:space="preserve">
Mantener la estrategia de segmentación y pauta utilizada en octubre.
Analizar la calidad de los leads generados (tasa de calificación y conversión posterior).
Incrementar el presupuesto progresivamente si el CPL se mantiene por debajo de $1.000.</t>
    </r>
  </si>
  <si>
    <r>
      <t xml:space="preserve">1533 generados -146 leads perdidos = 1387 leads calificados, incremento del 104% respecto al periodo anterior.                                                                                                                                                                                                                                                   </t>
    </r>
    <r>
      <rPr>
        <b/>
        <sz val="11"/>
        <color theme="1"/>
        <rFont val="Aptos Narrow"/>
        <family val="2"/>
        <scheme val="minor"/>
      </rPr>
      <t>Conclusión:</t>
    </r>
    <r>
      <rPr>
        <sz val="11"/>
        <color theme="1"/>
        <rFont val="Aptos Narrow"/>
        <family val="2"/>
        <scheme val="minor"/>
      </rPr>
      <t xml:space="preserve">
El 90 % de los leads generados en noviembre fueron calificados, evidenciando una excelente segmentación y efectividad de las campañas digitales.
La calidad de los contactos obtenidos respalda la eficiencia del gasto publicitario y fortalece la etapa de conversión comercial.</t>
    </r>
  </si>
  <si>
    <r>
      <rPr>
        <b/>
        <sz val="11"/>
        <color theme="1"/>
        <rFont val="Aptos Narrow"/>
        <family val="2"/>
        <scheme val="minor"/>
      </rPr>
      <t>5,12 % / 60 % = 8,5 % del cumplimiento esperado                                                                                                                                 Conclusión:</t>
    </r>
    <r>
      <rPr>
        <sz val="11"/>
        <color theme="1"/>
        <rFont val="Aptos Narrow"/>
        <family val="2"/>
        <scheme val="minor"/>
      </rPr>
      <t xml:space="preserve">
Aunque se cuenta con un volumen muy alto de leads calificados (90 % de calidad), la conversión efectiva a citas es críticamente baja (5,12 %), lo que indica una falla significativa en el proceso de contacto, seguimiento comercial o gestión del embudo de ventas, afectando directamente las oportunidades reales de cierre.                 </t>
    </r>
    <r>
      <rPr>
        <b/>
        <sz val="11"/>
        <color theme="1"/>
        <rFont val="Aptos Narrow"/>
        <family val="2"/>
        <scheme val="minor"/>
      </rPr>
      <t>Plan de acción:</t>
    </r>
    <r>
      <rPr>
        <sz val="11"/>
        <color theme="1"/>
        <rFont val="Aptos Narrow"/>
        <family val="2"/>
        <scheme val="minor"/>
      </rPr>
      <t xml:space="preserve">
Auditoría inmediata al proceso de contacto comercial:
Tiempos de primer contacto.
Número de intentos por lead.
Canales utilizados (llamadas, WhatsApp, correo).</t>
    </r>
  </si>
  <si>
    <r>
      <rPr>
        <b/>
        <sz val="11"/>
        <color theme="1"/>
        <rFont val="Aptos Narrow"/>
        <family val="2"/>
        <scheme val="minor"/>
      </rPr>
      <t xml:space="preserve">3,32 % / 30% = 11 % del cumplimiento esperado     </t>
    </r>
    <r>
      <rPr>
        <sz val="11"/>
        <color theme="1"/>
        <rFont val="Aptos Narrow"/>
        <family val="2"/>
        <scheme val="minor"/>
      </rPr>
      <t xml:space="preserve">                                                                                                                                           Visitas (33) + ganados (13)= 46. Durante noviembre se registraron 46 visitas efectivas de 1.387 leads calificados, alcanzando una tasa de conversión del 3,32 %, muy por debajo del rango meta.
A pesar del crecimiento de 21,05 % en volumen de visitas respecto a octubre (de 38 a 46), la proporción frente al total de leads calificados indica bajo nivel de interés en la etapa final del embudo o deficiencias en la gestión de cierre de citas a visitas. Esto puede reflejar:
Falta de seguimiento posterior a la cita agendada.
Leads que no fueron suficientemente nutridos o preparados antes de invitar a la visita.
Posible saturación del equipo comercial frente al alto volumen de leads calificados.                                                   </t>
    </r>
    <r>
      <rPr>
        <b/>
        <sz val="11"/>
        <color theme="1"/>
        <rFont val="Aptos Narrow"/>
        <family val="2"/>
        <scheme val="minor"/>
      </rPr>
      <t>Conclusión:</t>
    </r>
    <r>
      <rPr>
        <sz val="11"/>
        <color theme="1"/>
        <rFont val="Aptos Narrow"/>
        <family val="2"/>
        <scheme val="minor"/>
      </rPr>
      <t xml:space="preserve">
La conversión a visitas durante noviembre fue muy baja (3,32 %), lo que evidencia una brecha entre la generación de leads calificados y la atracción efectiva hacia la sala de ventas.
El indicador requiere acciones inmediatas para fortalecer la conexión entre marketing y ventas, mejorar la comunicación post-cita y reforzar el seguimiento a clientes interesados.
</t>
    </r>
    <r>
      <rPr>
        <b/>
        <sz val="11"/>
        <color theme="1"/>
        <rFont val="Aptos Narrow"/>
        <family val="2"/>
        <scheme val="minor"/>
      </rPr>
      <t>Plan de acción</t>
    </r>
    <r>
      <rPr>
        <sz val="11"/>
        <color theme="1"/>
        <rFont val="Aptos Narrow"/>
        <family val="2"/>
        <scheme val="minor"/>
      </rPr>
      <t xml:space="preserve">
Implementar recordatorios automáticos y confirmaciones previas a la visita.
Capacitar al equipo comercial en técnicas de cierre de citas a visitas.
Analizar causas de no asistencia (distancia, tiempos, expectativas del cliente).
Priorizar la gestión personalizada de los leads con mayor calificación (Zoho Score alto).</t>
    </r>
  </si>
  <si>
    <r>
      <rPr>
        <b/>
        <sz val="11"/>
        <color theme="1"/>
        <rFont val="Aptos Narrow"/>
        <family val="2"/>
        <scheme val="minor"/>
      </rPr>
      <t xml:space="preserve">Conclusión:
</t>
    </r>
    <r>
      <rPr>
        <sz val="11"/>
        <color theme="1"/>
        <rFont val="Aptos Narrow"/>
        <family val="2"/>
        <scheme val="minor"/>
      </rPr>
      <t>La tasa obtenida (17,39 %) supera ampliamente el rango óptimo establecido (3 %–8 %).
Esto evidencia una excelente capacidad de cierre comercial, indicando que el equipo logra convertir una proporción muy alta de las visitas en ventas efectivas.
El resultado sugiere una gestión comercial altamente efectiva y una alineación adecuada entre marketing digital y ventas.</t>
    </r>
  </si>
  <si>
    <r>
      <rPr>
        <b/>
        <sz val="11"/>
        <color theme="1"/>
        <rFont val="Aptos Narrow"/>
        <family val="2"/>
        <scheme val="minor"/>
      </rPr>
      <t xml:space="preserve">0,52% / 3% = 17,3 % del cumplimiento esperado      </t>
    </r>
    <r>
      <rPr>
        <sz val="11"/>
        <color theme="1"/>
        <rFont val="Aptos Narrow"/>
        <family val="2"/>
        <scheme val="minor"/>
      </rPr>
      <t xml:space="preserve">                                                                                                                                                     En noviembre se concretaron 8 ventas originadas desde canales digitales, representando una tasa de conversión del 0,52 % frente al total de leads generados. 
Esto refleja una brecha importante entre el volumen de oportunidades generadas y la efectividad para concretarlas, lo que podría estar asociado a:
Falta de seguimiento personalizado posterior a la visita.
Desalineación entre el discurso comercial y las expectativas generadas en las campañas digitales.
Baja tasa de asistencia a sala de ventas (3,32 %) que limita la conversión final.                                                                 </t>
    </r>
    <r>
      <rPr>
        <b/>
        <sz val="11"/>
        <color theme="1"/>
        <rFont val="Aptos Narrow"/>
        <family val="2"/>
        <scheme val="minor"/>
      </rPr>
      <t>Conclusión:</t>
    </r>
    <r>
      <rPr>
        <sz val="11"/>
        <color theme="1"/>
        <rFont val="Aptos Narrow"/>
        <family val="2"/>
        <scheme val="minor"/>
      </rPr>
      <t xml:space="preserve">
Aunque el número de ventas digitales se mantuvo respecto al mes anterior, la tasa de conversión sigue siendo baja (0,52 %) frente al total de leads generados.
El embudo muestra una gran pérdida entre las etapas de calificación, cita, visita y cierre, lo cual limita la rentabilidad de la inversión digital.
</t>
    </r>
    <r>
      <rPr>
        <b/>
        <sz val="11"/>
        <color theme="1"/>
        <rFont val="Aptos Narrow"/>
        <family val="2"/>
        <scheme val="minor"/>
      </rPr>
      <t xml:space="preserve">Plan de acción:
</t>
    </r>
    <r>
      <rPr>
        <sz val="11"/>
        <color theme="1"/>
        <rFont val="Aptos Narrow"/>
        <family val="2"/>
        <scheme val="minor"/>
      </rPr>
      <t>Fortalecer la gestión post-visita y seguimiento inmediato de clientes interesados.
Implementar remarketing con enfoque en usuarios que visitaron sala o interactuaron más de una vez.
Revisar mensajes de cierre y objeciones más comunes para ajustar la comunicación comercial.
Integrar informes de Zoho CRM con campañas activas para detectar puntos de fuga del embudo.</t>
    </r>
  </si>
  <si>
    <r>
      <rPr>
        <b/>
        <sz val="11"/>
        <color theme="1"/>
        <rFont val="Aptos Narrow"/>
        <family val="2"/>
        <scheme val="minor"/>
      </rPr>
      <t>Conclusión:</t>
    </r>
    <r>
      <rPr>
        <sz val="11"/>
        <color theme="1"/>
        <rFont val="Aptos Narrow"/>
        <family val="2"/>
        <scheme val="minor"/>
      </rPr>
      <t xml:space="preserve">
En noviembre, el canal digital representó dos tercios (61,54 %) de las ventas totales del proyecto Ciudadela San Miguel, consolidándose como la principal fuente de captación y cierre.
Esto refleja una estrategia digital sólida y bien dirigida, aunque es necesario optimizar las etapas intermedias del embudo (cita y visita) para mejorar la tasa final de conversión.
</t>
    </r>
    <r>
      <rPr>
        <b/>
        <sz val="11"/>
        <color theme="1"/>
        <rFont val="Aptos Narrow"/>
        <family val="2"/>
        <scheme val="minor"/>
      </rPr>
      <t>Plan de acción:</t>
    </r>
    <r>
      <rPr>
        <sz val="11"/>
        <color theme="1"/>
        <rFont val="Aptos Narrow"/>
        <family val="2"/>
        <scheme val="minor"/>
      </rPr>
      <t xml:space="preserve">
Mantener la inversión y segmentación de las campañas digitales.
Integrar seguimiento prioritario para leads provenientes de pauta (alto potencial de cierre).
Realizar análisis mensual de ventas digitales vs. presenciales para identificar patrones de comportamiento.
Diseñar estrategias de remarketing y fidelización de clientes digitales.</t>
    </r>
  </si>
  <si>
    <r>
      <rPr>
        <b/>
        <sz val="11"/>
        <color theme="1"/>
        <rFont val="Aptos Narrow"/>
        <family val="2"/>
        <scheme val="minor"/>
      </rPr>
      <t>Análisis:</t>
    </r>
    <r>
      <rPr>
        <sz val="11"/>
        <color theme="1"/>
        <rFont val="Aptos Narrow"/>
        <family val="2"/>
        <scheme val="minor"/>
      </rPr>
      <t xml:space="preserve">
Durante noviembre no se formalizó ninguna alianza. Dado que la meta es trimestral  y el mes anterior se formalizaron 4 ventas en alianzas (3 por participación en feria y 1 por programa de referidos), ya se ha alcanzando un 83 % de la meta trimestral en el primer mes.
</t>
    </r>
    <r>
      <rPr>
        <b/>
        <sz val="11"/>
        <color theme="1"/>
        <rFont val="Aptos Narrow"/>
        <family val="2"/>
        <scheme val="minor"/>
      </rPr>
      <t>Proyección diciembre:</t>
    </r>
    <r>
      <rPr>
        <sz val="11"/>
        <color theme="1"/>
        <rFont val="Aptos Narrow"/>
        <family val="2"/>
        <scheme val="minor"/>
      </rPr>
      <t xml:space="preserve">
Meta: formalizar al menos una alianza adicional para cumplir la meta trimestral (≥6).
Enfoque sugerido: consolidar alianzas con entidades financieras, empresas locales o convenios corporativos, buscando aumentar el flujo de referidos y cierres por canal externo.</t>
    </r>
  </si>
  <si>
    <r>
      <rPr>
        <b/>
        <sz val="11"/>
        <color theme="1"/>
        <rFont val="Aptos Narrow"/>
        <family val="2"/>
        <scheme val="minor"/>
      </rPr>
      <t>Análisis:</t>
    </r>
    <r>
      <rPr>
        <sz val="11"/>
        <color theme="1"/>
        <rFont val="Aptos Narrow"/>
        <family val="2"/>
        <scheme val="minor"/>
      </rPr>
      <t xml:space="preserve">
El equipo comercial obtuvo un promedio general de cumplimiento del 62 %, ubicándose por debajo de la meta establecida (≥90 %).
Entre los factores que pueden influir se identifican:
Dificultades en seguimiento de leads y cierres.
Periodo de transición en estrategias digitales.
Altos volúmenes de leads nuevos que aún no se convierten en ventas.
Se recomienda establecer un plan de mejora por asesor, con metas semanales de cierres y seguimiento diferenciado según desempeño histórico.</t>
    </r>
  </si>
  <si>
    <r>
      <rPr>
        <b/>
        <sz val="11"/>
        <color theme="1"/>
        <rFont val="Aptos Narrow"/>
        <family val="2"/>
        <scheme val="minor"/>
      </rPr>
      <t>Análisis:</t>
    </r>
    <r>
      <rPr>
        <sz val="11"/>
        <color theme="1"/>
        <rFont val="Aptos Narrow"/>
        <family val="2"/>
        <scheme val="minor"/>
      </rPr>
      <t xml:space="preserve">
Se evidencia un desempeño altamente positivo de Ingrid, desempeño aceptable de Natalia y una brecha crítica de productividad en Alzurak, a pesar de manejar el mayor volumen de leads.                                                                                     </t>
    </r>
    <r>
      <rPr>
        <b/>
        <sz val="11"/>
        <color theme="1"/>
        <rFont val="Aptos Narrow"/>
        <family val="2"/>
        <scheme val="minor"/>
      </rPr>
      <t>Conclusión y Calificación:</t>
    </r>
    <r>
      <rPr>
        <sz val="11"/>
        <color theme="1"/>
        <rFont val="Aptos Narrow"/>
        <family val="2"/>
        <scheme val="minor"/>
      </rPr>
      <t xml:space="preserve">
El indicador global de productividad por asesor se ubica en nivel ÓPTIMO (2,63 %); sin embargo, existe una desigualdad significativa en el desempeño individual, donde un solo asesor concentra la alta efectividad, mientras otro presenta un rendimiento críticamente bajo, afectando la eficiencia global del equipo comercial.        </t>
    </r>
    <r>
      <rPr>
        <b/>
        <sz val="11"/>
        <color theme="1"/>
        <rFont val="Aptos Narrow"/>
        <family val="2"/>
        <scheme val="minor"/>
      </rPr>
      <t>Plan de acción:</t>
    </r>
    <r>
      <rPr>
        <sz val="11"/>
        <color theme="1"/>
        <rFont val="Aptos Narrow"/>
        <family val="2"/>
        <scheme val="minor"/>
      </rPr>
      <t xml:space="preserve">
Replicar el modelo comercial de Ingrid:
Script de ventas, Tiempos de contacto, Técnica de cierre
Plan de mejora inmediato para Alzurak:
Capacitación obligatoria en cierre. Auditoría de gestión de leads. Evaluación de idoneidad frente al volumen asignado
Implementar meta mínima individual obligatoria ≥ 2,0 %.
Seguimiento semanal por asesor de:
Leads asignados, Ventas, Conversión
Redistribuir leads:
Mayor carga a asesores de mejor conversión.
Menor volumen a quienes estén en proceso de mejora.</t>
    </r>
  </si>
  <si>
    <r>
      <rPr>
        <b/>
        <sz val="11"/>
        <color theme="1"/>
        <rFont val="Aptos Narrow"/>
        <family val="2"/>
        <scheme val="minor"/>
      </rPr>
      <t>Análisis:</t>
    </r>
    <r>
      <rPr>
        <sz val="11"/>
        <color theme="1"/>
        <rFont val="Aptos Narrow"/>
        <family val="2"/>
        <scheme val="minor"/>
      </rPr>
      <t xml:space="preserve">
El tiempo promedio de cierre fue de 9,23 días, lo cual representa un desempeño altamente eficiente frente al estándar corporativo (30 días).
Esto indica un ciclo comercial ágil, con una gestión efectiva de seguimiento, argumentación y cierre.
Se observa un caso puntual (ventas 12) con ciclo más largo (41 días), pero no afecta el promedio general.
</t>
    </r>
    <r>
      <rPr>
        <b/>
        <sz val="11"/>
        <color theme="1"/>
        <rFont val="Aptos Narrow"/>
        <family val="2"/>
        <scheme val="minor"/>
      </rPr>
      <t>Posibles factores de éxito:</t>
    </r>
    <r>
      <rPr>
        <sz val="11"/>
        <color theme="1"/>
        <rFont val="Aptos Narrow"/>
        <family val="2"/>
        <scheme val="minor"/>
      </rPr>
      <t xml:space="preserve">
Campaña de subsidio que generó leads más calientes.
Mejora en tiempos de respuesta y calificación de leads.
Mayor dominio comercial por parte de Ingrid y Natalia.
</t>
    </r>
    <r>
      <rPr>
        <b/>
        <sz val="11"/>
        <color theme="1"/>
        <rFont val="Aptos Narrow"/>
        <family val="2"/>
        <scheme val="minor"/>
      </rPr>
      <t>Aspectos por vigilar:</t>
    </r>
    <r>
      <rPr>
        <sz val="11"/>
        <color theme="1"/>
        <rFont val="Aptos Narrow"/>
        <family val="2"/>
        <scheme val="minor"/>
      </rPr>
      <t xml:space="preserve">
Homogeneizar los resultados entre asesores (Ingrid concentra los cierres más rápidos y más ventas).
Evaluar si los cierres exprés (0–3 días) corresponden a clientes recurrentes o referidos (para ajustar el embudo real).                                                                                                                                                                                                                                                         </t>
    </r>
    <r>
      <rPr>
        <b/>
        <sz val="11"/>
        <color theme="1"/>
        <rFont val="Aptos Narrow"/>
        <family val="2"/>
        <scheme val="minor"/>
      </rPr>
      <t>Conclusión:</t>
    </r>
    <r>
      <rPr>
        <sz val="11"/>
        <color theme="1"/>
        <rFont val="Aptos Narrow"/>
        <family val="2"/>
        <scheme val="minor"/>
      </rPr>
      <t xml:space="preserve">
El área comercial presenta una eficiencia sobresaliente en el cierre de negocios (9,23 días promedio), reflejando procesos ágiles de conversión y acompañamiento al cliente.
El resultado cumple ampliamente la meta establecida y demuestra un buen desempeño en gestión de leads calificados y seguimiento oportuno.
</t>
    </r>
    <r>
      <rPr>
        <b/>
        <sz val="11"/>
        <color theme="1"/>
        <rFont val="Aptos Narrow"/>
        <family val="2"/>
        <scheme val="minor"/>
      </rPr>
      <t>Plan de acción</t>
    </r>
    <r>
      <rPr>
        <sz val="11"/>
        <color theme="1"/>
        <rFont val="Aptos Narrow"/>
        <family val="2"/>
        <scheme val="minor"/>
      </rPr>
      <t xml:space="preserve">
Mantener el promedio ≤ 15 días para el cierre de leads calificados.
Documentar buenas prácticas de Ingrid y Natalia para replicarlas en el equipo.
Monitorear cierres mayores a 30 días para identificar causas de demora (validaciones, documentos, tiempos de escrituración).
Incorporar alerta automática en Zoho CRM cuando un lead supere 20 días sin cierre o avance de etapa.</t>
    </r>
  </si>
  <si>
    <r>
      <rPr>
        <b/>
        <sz val="11"/>
        <color theme="1"/>
        <rFont val="Aptos Narrow"/>
        <family val="2"/>
        <scheme val="minor"/>
      </rPr>
      <t>Conclusión:</t>
    </r>
    <r>
      <rPr>
        <sz val="11"/>
        <color theme="1"/>
        <rFont val="Aptos Narrow"/>
        <family val="2"/>
        <scheme val="minor"/>
      </rPr>
      <t xml:space="preserve">
Cumplimiento global del indicador: 66 %
El canal tradicional cumple al 100 % la meta.
El canal digital tiene buen desempeño (80 %), pero no alcanza totalmente el objetivo.
El canal de referidos presenta un incumplimiento crítico (17 %), siendo el de mayor debilidad.</t>
    </r>
    <r>
      <rPr>
        <b/>
        <sz val="11"/>
        <color theme="1"/>
        <rFont val="Aptos Narrow"/>
        <family val="2"/>
        <scheme val="minor"/>
      </rPr>
      <t xml:space="preserve">                                              </t>
    </r>
    <r>
      <rPr>
        <sz val="11"/>
        <color theme="1"/>
        <rFont val="Aptos Narrow"/>
        <family val="2"/>
        <scheme val="minor"/>
      </rPr>
      <t xml:space="preserve">La distribución de ventas por canal presenta un cumplimiento parcial (66 %), con un desempeño sólido en el canal tradicional, un buen resultado en digital, pero una falla crítica en la generación de ventas por referidos, lo que evidencia una baja activación de esta fuente estratégica de clientes.                                                                                                 </t>
    </r>
    <r>
      <rPr>
        <b/>
        <sz val="11"/>
        <color theme="1"/>
        <rFont val="Aptos Narrow"/>
        <family val="2"/>
        <scheme val="minor"/>
      </rPr>
      <t>PLAN DE ACCIÓN</t>
    </r>
    <r>
      <rPr>
        <sz val="11"/>
        <color theme="1"/>
        <rFont val="Aptos Narrow"/>
        <family val="2"/>
        <scheme val="minor"/>
      </rPr>
      <t xml:space="preserve">
Fortalecer el canal digital para alcanzar el 100 % de la meta, apalancando campañas de mejor conversión.
Mantener la estrategia del canal tradicional, al ser actualmente estable y efectivo.
Activar de manera inmediata una estrategia formal de referidos, incluyendo:
Incentivos comerciales, Bonificaciones por cierre efectivo, Alianzas con clientes actuales e inversionistas.
Implementar seguimiento mensual por canal con metas individuales.
Ajustar la redistribución de metas si el comportamiento del mercado lo exige, sin perder el objetivo estratégico de diversificación.</t>
    </r>
  </si>
  <si>
    <t>Durante el mes de noviembre, se logró el envío del 100 % de los informes de ventas semanales en las fechas programadas (cada viernes), garantizando la continuidad del seguimiento comercial y la trazabilidad de resultados.
El indicador refleja puntualidad, compromiso y cumplimiento administrativo del área comercial.</t>
  </si>
  <si>
    <r>
      <rPr>
        <b/>
        <sz val="11"/>
        <color theme="1"/>
        <rFont val="Aptos Narrow"/>
        <family val="2"/>
        <scheme val="minor"/>
      </rPr>
      <t xml:space="preserve">5,92 % / 10 % =59,2 % del cumplimiento esperado  </t>
    </r>
    <r>
      <rPr>
        <sz val="11"/>
        <color theme="1"/>
        <rFont val="Aptos Narrow"/>
        <family val="2"/>
        <scheme val="minor"/>
      </rPr>
      <t xml:space="preserve">                                                                     </t>
    </r>
    <r>
      <rPr>
        <b/>
        <sz val="11"/>
        <color theme="1"/>
        <rFont val="Aptos Narrow"/>
        <family val="2"/>
        <scheme val="minor"/>
      </rPr>
      <t>Conclusión:</t>
    </r>
    <r>
      <rPr>
        <sz val="11"/>
        <color theme="1"/>
        <rFont val="Aptos Narrow"/>
        <family val="2"/>
        <scheme val="minor"/>
      </rPr>
      <t xml:space="preserve">
El indicador presenta desempeño bajo (5,92 %), reflejando un bajo nivel de conversión de oportunidades a citas comerciales.
Es necesario fortalecer los procesos de contacto inicial y priorización de leads calientes para mejorar la conversión en los próximos dos meses del trimestre.
</t>
    </r>
    <r>
      <rPr>
        <b/>
        <sz val="11"/>
        <color theme="1"/>
        <rFont val="Aptos Narrow"/>
        <family val="2"/>
        <scheme val="minor"/>
      </rPr>
      <t>Plan de acción:</t>
    </r>
    <r>
      <rPr>
        <sz val="11"/>
        <color theme="1"/>
        <rFont val="Aptos Narrow"/>
        <family val="2"/>
        <scheme val="minor"/>
      </rPr>
      <t xml:space="preserve">
Implementar respuesta inmediata (&lt; 15 minutos) para leads digitales.
Filtrar leads duplicados o sin datos de contacto válidos.
Capacitación en técnicas de cierre de cita y manejo de objeciones.
Automatizar confirmaciones y recordatorios de cita desde Zoho CRM.
Revisión semanal de conversión por asesor para identificar brechas.</t>
    </r>
  </si>
  <si>
    <r>
      <rPr>
        <b/>
        <sz val="11"/>
        <color theme="1"/>
        <rFont val="Aptos Narrow"/>
        <family val="2"/>
        <scheme val="minor"/>
      </rPr>
      <t>88,89 % / 30 % = 296 % del cumplimiento esperado                                                                    Conclusión:</t>
    </r>
    <r>
      <rPr>
        <sz val="11"/>
        <color theme="1"/>
        <rFont val="Aptos Narrow"/>
        <family val="2"/>
        <scheme val="minor"/>
      </rPr>
      <t xml:space="preserve">
El indicador evidencia un desempeño sobresaliente (88,89 %), superando el rango óptimo y demostrando fortaleza en la gestión de conversión en la etapa media del embudo comercial.
</t>
    </r>
    <r>
      <rPr>
        <b/>
        <sz val="11"/>
        <color theme="1"/>
        <rFont val="Aptos Narrow"/>
        <family val="2"/>
        <scheme val="minor"/>
      </rPr>
      <t>Plan de acción:</t>
    </r>
    <r>
      <rPr>
        <sz val="11"/>
        <color theme="1"/>
        <rFont val="Aptos Narrow"/>
        <family val="2"/>
        <scheme val="minor"/>
      </rPr>
      <t xml:space="preserve">
Mantener el protocolo de confirmación y recordatorios previos a la visita.
Documentar buenas prácticas de los asesores con mayor conversión.
Reforzar la atención personalizada y seguimiento post-visita para impulsar cierres.
Replicar la estrategia en los nuevos leads del mes siguiente.</t>
    </r>
  </si>
  <si>
    <r>
      <rPr>
        <b/>
        <sz val="11"/>
        <color theme="1"/>
        <rFont val="Aptos Narrow"/>
        <family val="2"/>
        <scheme val="minor"/>
      </rPr>
      <t>Conclusión:</t>
    </r>
    <r>
      <rPr>
        <sz val="11"/>
        <color theme="1"/>
        <rFont val="Aptos Narrow"/>
        <family val="2"/>
        <scheme val="minor"/>
      </rPr>
      <t xml:space="preserve">
Mes actual: desempeño óptimo (100 %) + recuperación de rezagos (195 %).
Existe mejora marcada en disciplina comercial y gestión diaria.
Siguiente paso: consolidar este nivel, optimizar calidad del lead y fortalecer priorización para aumentar conversiones.</t>
    </r>
  </si>
  <si>
    <r>
      <rPr>
        <b/>
        <sz val="11"/>
        <color theme="1"/>
        <rFont val="Aptos Narrow"/>
        <family val="2"/>
        <scheme val="minor"/>
      </rPr>
      <t>43,18 % / 10 % = 431 % del cumplimiento esperado          Conclusiones:</t>
    </r>
    <r>
      <rPr>
        <sz val="11"/>
        <color theme="1"/>
        <rFont val="Aptos Narrow"/>
        <family val="2"/>
        <scheme val="minor"/>
      </rPr>
      <t xml:space="preserve">
La tasa de conversión fue del  43,18%, lo que ubica el desempeño dentro del rango 🟢 Óptimo, superando ampliamente la meta mínima establecida del 10 %.
Este resultado refleja una gestión comercial eficiente y oportuna en la etapa inicial del embudo, con capacidad de respuesta adecuada y buena conexión con los clientes interesados.                                                                                                                                                     Plan de acción:
Mantener el protocolo de contacto rápido (&lt;24 h) para leads nuevos.
Implementar recordatorios automáticos para confirmar citas y reducir cancelaciones.
Analizar las fuentes de leads con mayor conversión para priorizar inversión publicitaria.
Replicar las prácticas del equipo o asesor con mejores resultados.
</t>
    </r>
  </si>
  <si>
    <r>
      <rPr>
        <b/>
        <sz val="11"/>
        <color theme="1"/>
        <rFont val="Aptos Narrow"/>
        <family val="2"/>
        <scheme val="minor"/>
      </rPr>
      <t>Conclusiones:</t>
    </r>
    <r>
      <rPr>
        <sz val="11"/>
        <color theme="1"/>
        <rFont val="Aptos Narrow"/>
        <family val="2"/>
        <scheme val="minor"/>
      </rPr>
      <t xml:space="preserve">
La tasa de conversión a visitas fue del 76,32%, superando con amplitud el rango óptimo (≥ 30 %).
</t>
    </r>
    <r>
      <rPr>
        <b/>
        <sz val="11"/>
        <color theme="1"/>
        <rFont val="Aptos Narrow"/>
        <family val="2"/>
        <scheme val="minor"/>
      </rPr>
      <t>Interpretación:</t>
    </r>
    <r>
      <rPr>
        <sz val="11"/>
        <color theme="1"/>
        <rFont val="Aptos Narrow"/>
        <family val="2"/>
        <scheme val="minor"/>
      </rPr>
      <t xml:space="preserve">
El resultado refleja una excelente gestión comercial, con alta capacidad para movilizar prospectos desde la etapa de cita hacia una experiencia real con el producto.
El nivel de interés del cliente y la efectividad del equipo en reprogramar o mantener contacto son muy positivos.
</t>
    </r>
    <r>
      <rPr>
        <b/>
        <sz val="11"/>
        <color theme="1"/>
        <rFont val="Aptos Narrow"/>
        <family val="2"/>
        <scheme val="minor"/>
      </rPr>
      <t>Impacto:</t>
    </r>
    <r>
      <rPr>
        <sz val="11"/>
        <color theme="1"/>
        <rFont val="Aptos Narrow"/>
        <family val="2"/>
        <scheme val="minor"/>
      </rPr>
      <t xml:space="preserve">
Este indicador fortalece la eficiencia del embudo comercial, potenciando las probabilidades de cierre.
Una alta conversión a visitas es un signo de buen engagement con el producto y adecuada atención pre-venta.
</t>
    </r>
  </si>
  <si>
    <r>
      <rPr>
        <b/>
        <sz val="11"/>
        <color theme="1"/>
        <rFont val="Aptos Narrow"/>
        <family val="2"/>
        <scheme val="minor"/>
      </rPr>
      <t>Conclusiones:</t>
    </r>
    <r>
      <rPr>
        <sz val="11"/>
        <color theme="1"/>
        <rFont val="Aptos Narrow"/>
        <family val="2"/>
        <scheme val="minor"/>
      </rPr>
      <t xml:space="preserve">
La tasa de conversión a ventas fue del 13,79 %, superando la meta mínima del 10 %.
Esto significa que 1 de cada 7 visitas efectivas culminó en venta, lo que evidencia un excelente desempeño en la etapa final del embudo digital.
El resultado refleja una alta capacidad de cierre y un nivel de confianza sólido del cliente al momento de tomar la decisión de compra.
Indica que los procesos previos (contacto, cita y visita) fueron bien estructurados, generando un flujo cualificado de prospectos.
La experiencia del usuario y la asesoría durante la visita probablemente tuvieron un impacto positivo en la decisión final.
</t>
    </r>
    <r>
      <rPr>
        <b/>
        <sz val="11"/>
        <color theme="1"/>
        <rFont val="Aptos Narrow"/>
        <family val="2"/>
        <scheme val="minor"/>
      </rPr>
      <t>Impacto:</t>
    </r>
    <r>
      <rPr>
        <sz val="11"/>
        <color theme="1"/>
        <rFont val="Aptos Narrow"/>
        <family val="2"/>
        <scheme val="minor"/>
      </rPr>
      <t xml:space="preserve">
Este nivel de conversión demuestra madurez comercial en el canal digital, confirmando su potencial como fuente efectiva de ingresos.
Representa una optimización del costo de adquisición por cliente (CAC) y mayor rentabilidad de las campañas digitales.
Este desempeño debe ser replicado y documentado como práctica ejemplar dentro del proceso comercial digital.</t>
    </r>
  </si>
  <si>
    <r>
      <rPr>
        <b/>
        <sz val="11"/>
        <color theme="1"/>
        <rFont val="Aptos Narrow"/>
        <family val="2"/>
        <scheme val="minor"/>
      </rPr>
      <t>Conclusión:</t>
    </r>
    <r>
      <rPr>
        <sz val="11"/>
        <color theme="1"/>
        <rFont val="Aptos Narrow"/>
        <family val="2"/>
        <scheme val="minor"/>
      </rPr>
      <t xml:space="preserve">
Mes actual: 0 % → Nivel 🟢 Óptimo Dentro de meta → Desempeño óptimo
Logró una mejora sustancial y debe continuar con las estrategias implementadas para mantener el nivel óptimo (0 %).                                                           </t>
    </r>
    <r>
      <rPr>
        <b/>
        <sz val="11"/>
        <color theme="1"/>
        <rFont val="Aptos Narrow"/>
        <family val="2"/>
        <scheme val="minor"/>
      </rPr>
      <t>Para mantener la mejora lograda:</t>
    </r>
    <r>
      <rPr>
        <sz val="11"/>
        <color theme="1"/>
        <rFont val="Aptos Narrow"/>
        <family val="2"/>
        <scheme val="minor"/>
      </rPr>
      <t xml:space="preserve">
Continuar con alertas automáticas para leads sin gestión en 12 h y 24 h.
Control diario de leads nuevos asignados vs. gestionados.
Revisión semanal por asesor para identificar rezagos a tiempo.
Para llevar el indicador al nivel óptimo (0 %)
Implementar un protocolo de contacto inicial obligatorio en menos de 6 horas.
Ajustar asignación diaria para que no supere 35 leads por asesor.
Reasignar de inmediato cualquier lead sin gestión al cumplirse 24 h.
Integrar un panel de “leads críticos” para evitar que alguno quede sin contacto.
</t>
    </r>
    <r>
      <rPr>
        <b/>
        <sz val="11"/>
        <color theme="1"/>
        <rFont val="Aptos Narrow"/>
        <family val="2"/>
        <scheme val="minor"/>
      </rPr>
      <t>Para fortalecer la calidad del proceso:</t>
    </r>
    <r>
      <rPr>
        <sz val="11"/>
        <color theme="1"/>
        <rFont val="Aptos Narrow"/>
        <family val="2"/>
        <scheme val="minor"/>
      </rPr>
      <t xml:space="preserve">
Validar datos antes de asignar (teléfono, correo, duplicados).
Segmentar por calidad para priorizar leads calientes.
Documentar cada intento de contacto para mantener trazabilidad.</t>
    </r>
  </si>
  <si>
    <r>
      <rPr>
        <b/>
        <sz val="11"/>
        <color theme="1"/>
        <rFont val="Aptos Narrow"/>
        <family val="2"/>
        <scheme val="minor"/>
      </rPr>
      <t>Conclusiones</t>
    </r>
    <r>
      <rPr>
        <sz val="11"/>
        <color theme="1"/>
        <rFont val="Aptos Narrow"/>
        <family val="2"/>
        <scheme val="minor"/>
      </rPr>
      <t xml:space="preserve">
El indicador se encuentra en semáforo rojo (🔴) con 30,6 % de cumplimiento, muy por debajo del rango mínimo esperado (70 %).
La gestión comercial no está logrando mantener el nivel de actividad necesario para generar resultados sostenibles.
Se requiere intervención inmediata sobre la frecuencia de gestiones diarias, la priorización de leads y el control de CRM.
</t>
    </r>
    <r>
      <rPr>
        <b/>
        <sz val="11"/>
        <color theme="1"/>
        <rFont val="Aptos Narrow"/>
        <family val="2"/>
        <scheme val="minor"/>
      </rPr>
      <t>Plan de Acción Correctiva</t>
    </r>
    <r>
      <rPr>
        <sz val="11"/>
        <color theme="1"/>
        <rFont val="Aptos Narrow"/>
        <family val="2"/>
        <scheme val="minor"/>
      </rPr>
      <t xml:space="preserve">
Acción	Responsable	Plazo	Indicador de Seguimiento
1. Implementar plan de acción diaria de contacto mínimo por asesor (meta: 25 gestiones diarias).	Coordinador Comercial	Inmediato	% de cumplimiento de rutinas diarias
2. Crear tablero de control semanal en Zoho CRM con seguimiento de gestiones por asesor.	CRM / Dirección Comercial	1 semana	Reporte semanal de actividad comercial
3. Capacitación en disciplina comercial y manejo del embudo de ventas.	Dirección Comercial / Talento Humano	2 semanas	Asistencia y evaluación postcapacitación
4. Establecer seguimiento diario a leads inactivos (&gt;48 h sin contacto).	Coordinador Comercial	Permanente	% de leads inactivos
</t>
    </r>
  </si>
  <si>
    <r>
      <rPr>
        <b/>
        <sz val="11"/>
        <color theme="1"/>
        <rFont val="Aptos Narrow"/>
        <family val="2"/>
        <scheme val="minor"/>
      </rPr>
      <t xml:space="preserve">Conclusiones
</t>
    </r>
    <r>
      <rPr>
        <sz val="11"/>
        <color theme="1"/>
        <rFont val="Aptos Narrow"/>
        <family val="2"/>
        <scheme val="minor"/>
      </rPr>
      <t>El indicador se ubica en nivel óptimo (🟢) con cumplimiento del 100 % y calificación 100/100.
Se mantiene una buena dinámica comercial, reflejando eficiencia en la atención y seguimiento postcontacto.
El desempeño demuestra sincronía entre áreas de soporte (jurídica, cartera, comercial), lo que agiliza la formalización de negocios.</t>
    </r>
  </si>
  <si>
    <r>
      <rPr>
        <b/>
        <sz val="11"/>
        <color theme="1"/>
        <rFont val="Aptos Narrow"/>
        <family val="2"/>
        <scheme val="minor"/>
      </rPr>
      <t>Conclusiones</t>
    </r>
    <r>
      <rPr>
        <sz val="11"/>
        <color theme="1"/>
        <rFont val="Aptos Narrow"/>
        <family val="2"/>
        <scheme val="minor"/>
      </rPr>
      <t xml:space="preserve">
El indicador se ubica en rango óptimo con el 6,2% con gestión baja, evidenciando una gestión en progreso de mejora. Para continuar los resultados se recomienda: 
🔹 Plan de acción sugerido
1. Implementar control semanal de gestiones registradas en Zoho.	Coordinador comercial	Inmediato	% de leads con ≥ 6 notas
2. Establecer mínimo de 6 interacciones registradas por lead activo.	Asesores comerciales	Permanente	Promedio de notas/lead
3. Capacitación en uso del CRM y seguimiento efectivo.	Dirección Comercial	15 días	Asistencia y cumplimiento en capacitaciones
4. Revisión de leads no gestionados o con baja actividad.	Coordinador comercial	Semanal	% de leads reactivados</t>
    </r>
  </si>
  <si>
    <r>
      <rPr>
        <b/>
        <sz val="11"/>
        <color theme="1"/>
        <rFont val="Aptos Narrow"/>
        <family val="2"/>
        <scheme val="minor"/>
      </rPr>
      <t>Conclusiones</t>
    </r>
    <r>
      <rPr>
        <sz val="11"/>
        <color theme="1"/>
        <rFont val="Aptos Narrow"/>
        <family val="2"/>
        <scheme val="minor"/>
      </rPr>
      <t xml:space="preserve">
Índice alcanzado: 57%
Esto significa que el asesor solo logró poco mas de la mitad de su meta.
Evaluación: 🔴 Bajo
El desempeño no cumple con la meta.
Se requiere mejora significativa en la conversión de leads a ventas.
Rango de mejora recomendado:
Revisar la eficiencia del asesor, posibles obstáculos en la gestión de leads, seguimiento y cierre.
Capacitación adicional o ajuste de estrategia comercial podría ser necesario.</t>
    </r>
  </si>
  <si>
    <r>
      <rPr>
        <b/>
        <sz val="11"/>
        <color theme="1"/>
        <rFont val="Aptos Narrow"/>
        <family val="2"/>
        <scheme val="minor"/>
      </rPr>
      <t>Conclusiones</t>
    </r>
    <r>
      <rPr>
        <sz val="11"/>
        <color theme="1"/>
        <rFont val="Aptos Narrow"/>
        <family val="2"/>
        <scheme val="minor"/>
      </rPr>
      <t xml:space="preserve">
El indicador se ubica en rango óptimo con el 6,8% con gestión baja, evidenciando una gestión en progreso de mejora. Para continuar los resultados se recomienda: 
🔹 Plan de acción sugerido
1. Implementar control semanal de gestiones registradas en Zoho.	Coordinador comercial	Inmediato	% de leads con ≥ 6 notas
2. Establecer mínimo de 6 interacciones registradas por lead activo.	Asesores comerciales	Permanente	Promedio de notas/lead
3. Capacitación en uso del CRM y seguimiento efectivo.	Dirección Comercial	15 días	Asistencia y cumplimiento en capacitaciones
4. Revisión de leads no gestionados o con baja actividad.	Coordinador comercial	Semanal	% de leads reactivados</t>
    </r>
  </si>
  <si>
    <t>EVALUACIONES 360</t>
  </si>
  <si>
    <t>Escala de 1 a 5</t>
  </si>
  <si>
    <t>Sara Moreno presenta un desempeño general BUENO (3.9/5), destacándose con altos resultados comerciales, liderazgo natural con pares, creatividad, gran capacidad de cierre de negocios y actitud propositiva. Sin embargo, existe una brecha crítica en su liderazgo hacia el personal a cargo, especialmente en comunicación, respeto, manejo de presión, trabajo en equipo y forma de corrección. Su estilo de liderazgo actual está muy orientado al resultado bajo presión, lo que está afectando la percepción de su equipo directo.
Para evolucionar a un nivel de liderazgo sostenible, requiere fortalecer habilidades blandas, inteligencia emocional, comunicación asertiva y gestión de personas.</t>
  </si>
  <si>
    <t>Ingrid Ospicio presenta un desempeño integral sobresaliente (4.6/5), destacándose por su actitud positiva, apoyo constante al equipo, confiabilidad, comunicación y compromiso con los procesos. Es percibida como una colaboradora sólida, con alto potencial de liderazgo, cuya principal oportunidad de crecimiento está en el fortalecimiento de su carácter como líder formal y en el manejo de la impulsividad bajo presión.</t>
  </si>
  <si>
    <t>Natalia Posada obtiene una calificación sobresaliente de 4.56/5, destacándose por su excelente actitud, vocación de servicio, disposición permanente, atención al cliente y trabajo colaborativo. Es una persona confiable, empática y con alto compromiso con el equipo y los clientes.
Sus principales oportunidades de mejora se centran en:
•	Mayor organización personal.
•	Mejor adaptación a los cambios.
•	Manejo más constructivo frente a procesos institucionales inevitables.
No se evidencian comportamientos críticos negativos, lo que refleja una valoración altamente positiva por parte de su entorno laboral.</t>
  </si>
  <si>
    <t>Alzurak Mendoza alcanza una calificación final de 4,4 sobre 5, ubicándose en un nivel de desempeño ALTO – SOBRESALIENTE (Semáforo Verde).
Es una colaboradora altamente valorada por su calidad humana, actitud positiva, servicio al cliente y relaciones interpersonales.
Su plan de fortalecimiento debe enfocarse en:
✔ Mayor efectividad operativa
✔ Mejor manejo de la presión
✔ Enfoque prioritario en ventas
De lograr este ajuste, su impacto en resultados comerciales puede aumentar significativamente.</t>
  </si>
  <si>
    <t>Vendidos: 130</t>
  </si>
  <si>
    <t>Vendidos: 119</t>
  </si>
  <si>
    <t>Vendidos: 83</t>
  </si>
  <si>
    <t>Firmados: 78</t>
  </si>
  <si>
    <t>Firmados: 43</t>
  </si>
  <si>
    <t>Vendidos: 32</t>
  </si>
  <si>
    <t>Vendidos: 20</t>
  </si>
  <si>
    <t>Faltan 10 carpetas</t>
  </si>
  <si>
    <t>Faltan 0 carpetas</t>
  </si>
  <si>
    <t>Faltan 16 firmas</t>
  </si>
  <si>
    <t>Faltan 26 firmas</t>
  </si>
  <si>
    <t>Faltan 0 firmas</t>
  </si>
  <si>
    <t>Falta 1 carpeta</t>
  </si>
  <si>
    <t>Faltan 4 carpetas</t>
  </si>
  <si>
    <t>Faltan 64 firmas</t>
  </si>
  <si>
    <r>
      <t xml:space="preserve">84 % – 🔴 Nivel Bajo (No cumple la meta)
</t>
    </r>
    <r>
      <rPr>
        <b/>
        <sz val="11"/>
        <color theme="1"/>
        <rFont val="Aptos Narrow"/>
        <family val="2"/>
        <scheme val="minor"/>
      </rPr>
      <t>Análisis:</t>
    </r>
    <r>
      <rPr>
        <sz val="11"/>
        <color theme="1"/>
        <rFont val="Aptos Narrow"/>
        <family val="2"/>
        <scheme val="minor"/>
      </rPr>
      <t xml:space="preserve">
Se evidencia alto cumplimiento en archivos comerciales T2 y T3, así como en Otrosí T4.
Los principales focos de desviación del indicador se concentran en:
Otrosí T2 y T3
Croma
Otrosí T1
El resultado global indica riesgo en la confiabilidad del CRM, afectando la trazabilidad contractual y el control comercial.
</t>
    </r>
    <r>
      <rPr>
        <b/>
        <sz val="11"/>
        <color theme="1"/>
        <rFont val="Aptos Narrow"/>
        <family val="2"/>
        <scheme val="minor"/>
      </rPr>
      <t>Plan de acción:</t>
    </r>
    <r>
      <rPr>
        <sz val="11"/>
        <color theme="1"/>
        <rFont val="Aptos Narrow"/>
        <family val="2"/>
        <scheme val="minor"/>
      </rPr>
      <t xml:space="preserve">
Priorizar cierre documental de otrosíes pendientes.
Establecer responsables y fechas de regularización.
Implementar revisión semanal de calidad del CRM para evitar reprocesos y acumulación.</t>
    </r>
  </si>
  <si>
    <r>
      <t xml:space="preserve">86,6 % – 🔴 Nivel Bajo (No cumple la meta)
</t>
    </r>
    <r>
      <rPr>
        <b/>
        <sz val="11"/>
        <color theme="1"/>
        <rFont val="Aptos Narrow"/>
        <family val="2"/>
        <scheme val="minor"/>
      </rPr>
      <t>Análisis:</t>
    </r>
    <r>
      <rPr>
        <sz val="11"/>
        <color theme="1"/>
        <rFont val="Aptos Narrow"/>
        <family val="2"/>
        <scheme val="minor"/>
      </rPr>
      <t xml:space="preserve">
El resultado consolidado refleja brechas en la completitud documental, principalmente en:
Otrosí T1
Croma
Parqueaderos se encuentra cercano a la meta (nivel aceptable).
Los procesos de canjes, traslados y novedades aún no son evaluados, por lo que su inclusión futura permitirá una medición más integral del CRM.
</t>
    </r>
    <r>
      <rPr>
        <b/>
        <sz val="11"/>
        <color theme="1"/>
        <rFont val="Aptos Narrow"/>
        <family val="2"/>
        <scheme val="minor"/>
      </rPr>
      <t>Plan de acción:</t>
    </r>
    <r>
      <rPr>
        <sz val="11"/>
        <color theme="1"/>
        <rFont val="Aptos Narrow"/>
        <family val="2"/>
        <scheme val="minor"/>
      </rPr>
      <t xml:space="preserve">
Cierre inmediato de firmas pendientes en otrosíes.
Plan de regularización documental para Croma.
Definir criterios y fechas de inicio de medición para canjes, traslados y novedades.
Implementar auditoría semanal de calidad del CRM.</t>
    </r>
  </si>
  <si>
    <t>Firmas periodo: 9</t>
  </si>
  <si>
    <r>
      <rPr>
        <b/>
        <sz val="11"/>
        <color theme="1"/>
        <rFont val="Aptos Narrow"/>
        <family val="2"/>
        <scheme val="minor"/>
      </rPr>
      <t xml:space="preserve">Conclusión:                                                                                                   </t>
    </r>
    <r>
      <rPr>
        <sz val="11"/>
        <color theme="1"/>
        <rFont val="Aptos Narrow"/>
        <family val="2"/>
        <scheme val="minor"/>
      </rPr>
      <t xml:space="preserve"> Durante octubre se evidenció una brecha importante en la actualización de la información de los negocios, especialmente en el módulo de Otrosí T1, donde solo el 41 % cuenta con soporte firmado o completo. Aunque Parqueaderos y Croma presentan niveles óptimos (100 % y 93,8 %, respectivamente), el rezago en contratos y documentación afecta el promedio general del indicador.            </t>
    </r>
    <r>
      <rPr>
        <b/>
        <sz val="11"/>
        <color theme="1"/>
        <rFont val="Aptos Narrow"/>
        <family val="2"/>
        <scheme val="minor"/>
      </rPr>
      <t xml:space="preserve">Plan de acción:                                                                                        </t>
    </r>
    <r>
      <rPr>
        <sz val="11"/>
        <color theme="1"/>
        <rFont val="Aptos Narrow"/>
        <family val="2"/>
        <scheme val="minor"/>
      </rPr>
      <t>Depurar y actualizar en Zoho CRM todos los registros de Otrosí T1 antes del cierre de noviembre. Solicitar a Jurídica y Comercial sincronizar los documentos firmados faltantes. Implementar control semanal de carpetas “OK” frente a negocios registrados. Meta noviembre: elevar la precisión global al ≥ 95 %, para llegar a cumplimiento total en diciembre.</t>
    </r>
  </si>
  <si>
    <r>
      <t xml:space="preserve">Cálculo consolidado
Total documentos / negocios
119 + 107 + 20 = 246
Total completos
119 + 43 + 16 = 178 Resultado
72,36 %
🚦 Calificación final
🔴 BAJO – No cumple la meta
</t>
    </r>
    <r>
      <rPr>
        <b/>
        <sz val="11"/>
        <color theme="1"/>
        <rFont val="Aptos Narrow"/>
        <family val="2"/>
        <scheme val="minor"/>
      </rPr>
      <t>Conclusión:</t>
    </r>
    <r>
      <rPr>
        <sz val="11"/>
        <color theme="1"/>
        <rFont val="Aptos Narrow"/>
        <family val="2"/>
        <scheme val="minor"/>
      </rPr>
      <t xml:space="preserve">
El indicador de Precisión y Actualización del CRM presenta un cumplimiento consolidado del 72,36 %, clasificado en nivel BAJO, debido principalmente a brechas críticas en otrosíes y documentación de Croma, pese al cumplimiento óptimo del archivo comercial T2.</t>
    </r>
  </si>
  <si>
    <r>
      <t xml:space="preserve">Cálculo consolidado
Total negocios/documentos:
83 + 74 + 20 = 177
Total completos:
83 + 48 + 16 = 147                                                                                                                                                          Resultado final
83,05 %                                                                                                                                                                              Calificación
🔴 BAJO – No cumple la meta
</t>
    </r>
    <r>
      <rPr>
        <b/>
        <sz val="11"/>
        <color theme="1"/>
        <rFont val="Aptos Narrow"/>
        <family val="2"/>
        <scheme val="minor"/>
      </rPr>
      <t>Conclusión:</t>
    </r>
    <r>
      <rPr>
        <sz val="11"/>
        <color theme="1"/>
        <rFont val="Aptos Narrow"/>
        <family val="2"/>
        <scheme val="minor"/>
      </rPr>
      <t xml:space="preserve">
El indicador de Precisión y Actualización del CRM para Torre 3 presenta un cumplimiento del 83,05 %, clasificado en nivel BAJO, afectado principalmente por firmas pendientes en otrosíes y documentación incompleta en Croma, a pesar del archivo comercial completamente actualizado.</t>
    </r>
  </si>
  <si>
    <r>
      <rPr>
        <b/>
        <sz val="11"/>
        <color theme="1"/>
        <rFont val="Aptos Narrow"/>
        <family val="2"/>
        <scheme val="minor"/>
      </rPr>
      <t>Conclusiones – Participación de Mercado (Noviembre)</t>
    </r>
    <r>
      <rPr>
        <sz val="11"/>
        <color theme="1"/>
        <rFont val="Aptos Narrow"/>
        <family val="2"/>
        <scheme val="minor"/>
      </rPr>
      <t xml:space="preserve">
Participación en nivel aceptable:
Con un 13,68 %, la empresa se ubica en línea con el promedio del mercado, manteniendo un posicionamiento competitivo frente a los principales proyectos del sector.
Recuperación frente a meses anteriores:
El resultado evidencia una mejora significativa del desempeño comercial, mostrando capacidad de reacción y ajuste de la estrategia de ventas.
Oportunidad de crecimiento:
Aunque el indicador es positivo, se encuentra a menos de 1,5 puntos porcentuales del nivel excelente (≥ 15 %), lo que representa una oportunidad clara para fortalecer liderazgo comercial.
Mercado más concentrado:
La disminución del volumen total del mercado en noviembre hace que cada venta tenga mayor impacto en la participación, por lo que la eficiencia comercial es clave.
Recomendación estratégica:
Mantener y reforzar las acciones comerciales que permitieron la recuperación en noviembre, enfocándose en proyectos de mayor rotación y cierre efectivo para alcanzar el nivel de liderazgo de mercado.</t>
    </r>
  </si>
  <si>
    <r>
      <rPr>
        <b/>
        <sz val="11"/>
        <color theme="1"/>
        <rFont val="Aptos Narrow"/>
        <family val="2"/>
        <scheme val="minor"/>
      </rPr>
      <t>Conclusión – Tasa de Contacto Inicial</t>
    </r>
    <r>
      <rPr>
        <sz val="11"/>
        <color theme="1"/>
        <rFont val="Aptos Narrow"/>
        <family val="2"/>
        <scheme val="minor"/>
      </rPr>
      <t xml:space="preserve">
La Tasa de Contacto Inicial alcanzó un 65,1 %, ubicándose en nivel 🔴 BAJO, por debajo del umbral mínimo esperado (70 %).
El resultado evidencia brechas en la gestión oportuna del primer contacto, lo que incrementa el riesgo de pérdida de leads, disminuye la eficiencia comercial y afecta directamente la conversión a ventas. Aunque existe apoyo del bot de atención, este no compensa completamente la falta de contacto efectivo en todos los casos.
Plan de Acción
1️⃣ Priorización de leads nuevos: Establecer un SLA máximo de primer contacto ≤ 24 horas. Asignación automática de leads al asesor responsable.
2️⃣ Separación y control de gestión: Medir el indicador en dos sub-KPIs: 
Contacto humano efectivo
Contacto automatizado (bot)
Evitar contabilizar gestión automática como contacto efectivo sin validación.
3️⃣ Cierre de pendientes: Plan semanal para gestionar el 100 % de los leads pendientes.
Alertas automáticas en CRM para leads sin contacto.
4️⃣ Refuerzo operativo: Redistribución de cargas de trabajo en picos de leads. Definir responsables de respaldo en ausencias.
5️⃣ Seguimiento y mejora continua: Revisión semanal del indicador.
Meta de corto plazo: ≥ 70 % (nivel en mejora).
Meta de mediano plazo: &gt; 85 % (nivel óptimo).</t>
    </r>
  </si>
  <si>
    <r>
      <rPr>
        <b/>
        <sz val="11"/>
        <color theme="1"/>
        <rFont val="Aptos Narrow"/>
        <family val="2"/>
        <scheme val="minor"/>
      </rPr>
      <t xml:space="preserve">Conclusión: </t>
    </r>
    <r>
      <rPr>
        <sz val="11"/>
        <color theme="1"/>
        <rFont val="Aptos Narrow"/>
        <family val="2"/>
        <scheme val="minor"/>
      </rPr>
      <t>Con 14 % de leads perdidos, el indicador se ubica en el rango verde (Excelente), lo que demuestra una muy buena eficiencia comercial general.
Aunque el resultado global es positivo, sigue siendo importante revisar las causas internas de pérdida:
El 49 % de los leads perdidos se concentraron en “Imposible contacto” y “No contesta seguimiento”.
Esto indica que, si bien el volumen total de pérdidas es bajo, la mayoría de las causas siguen siendo operativas (contacto, trazabilidad o validación de datos).
Por tanto, el desempeño global es bueno, pero la calidad del seguimiento inicial aún requiere mejora para no depender tanto del volumen de leads entrantes.</t>
    </r>
  </si>
  <si>
    <t>CIERRE NOVIEMBRE 2025</t>
  </si>
  <si>
    <t>Suma de Noviembre</t>
  </si>
  <si>
    <t>CPL Diciembre</t>
  </si>
  <si>
    <t>CPL Enero</t>
  </si>
  <si>
    <t>DICIEMBRE</t>
  </si>
  <si>
    <t>ENERO</t>
  </si>
  <si>
    <t>EVALUACIÓN ENERO 2026</t>
  </si>
  <si>
    <t>EVALUACIÓN DICIEMBRE 2025</t>
  </si>
  <si>
    <t>Dic/2025 y Ene/2026</t>
  </si>
  <si>
    <t>RESULTADO Dic/2025 y Ene/2026</t>
  </si>
  <si>
    <t>CALIFICACIÓN Dic/2025 y Ene/2026</t>
  </si>
  <si>
    <t xml:space="preserve">Enero </t>
  </si>
  <si>
    <t>De 1590 Leads, se perdieron 404 en total. 👉 Resultado: 25 % de leads perdidos
👉 Leads  calificados: 38 %</t>
  </si>
  <si>
    <t>De 329 Leads, se perdieron 89 en total. 👉 Resultado: 27 % de leads perdidos
👉 Leads  calificados: 74 %</t>
  </si>
  <si>
    <t>Diciembre: El equipo permanece igual</t>
  </si>
  <si>
    <t>Enero: El equipo permanece igual</t>
  </si>
  <si>
    <t>Venta 1  Natalia</t>
  </si>
  <si>
    <t>Venta 2 Alzurak</t>
  </si>
  <si>
    <t>Venta 3 Alzurak</t>
  </si>
  <si>
    <t>Venta 4 Natalia</t>
  </si>
  <si>
    <t>Venta 1 Alzurak</t>
  </si>
  <si>
    <t>Venta 3 Ingrid</t>
  </si>
  <si>
    <t>Venta 5 Natalia</t>
  </si>
  <si>
    <t>Venta 4 Ingrid</t>
  </si>
  <si>
    <t>Venta 6 Ingrid</t>
  </si>
  <si>
    <t>Venta 7 Alzurak</t>
  </si>
  <si>
    <t>Venta 8 Alzurak</t>
  </si>
  <si>
    <t>Venta 9 Natalia</t>
  </si>
  <si>
    <t>Venta 10 Ingrid</t>
  </si>
  <si>
    <t>Venta 11 Alzurak</t>
  </si>
  <si>
    <t>Venta 12 Natalia</t>
  </si>
  <si>
    <t>Venta 13 Natalia</t>
  </si>
  <si>
    <t>Venta 14 Ingrid</t>
  </si>
  <si>
    <t>Venta 15 Natalia</t>
  </si>
  <si>
    <t>Viernes mes diciembre</t>
  </si>
  <si>
    <t>Viernes mes enero</t>
  </si>
  <si>
    <t>Dic/25 y Ene/26</t>
  </si>
  <si>
    <t>Ventas croma</t>
  </si>
  <si>
    <t>Ventas período</t>
  </si>
  <si>
    <t>Venta parqueaderos</t>
  </si>
  <si>
    <t>RESULTADO Dic/25 y Ene/26</t>
  </si>
  <si>
    <t>CALIFICACIÓN Dic/25 y Ene/26</t>
  </si>
  <si>
    <r>
      <rPr>
        <b/>
        <sz val="11"/>
        <color theme="1"/>
        <rFont val="Aptos Narrow"/>
        <family val="2"/>
        <scheme val="minor"/>
      </rPr>
      <t>Análisis:</t>
    </r>
    <r>
      <rPr>
        <sz val="11"/>
        <color theme="1"/>
        <rFont val="Aptos Narrow"/>
        <family val="2"/>
        <scheme val="minor"/>
      </rPr>
      <t xml:space="preserve">
Durante el mes de diciembre el área comercial alcanzó un 75 % de cumplimiento (15 cierres sobre una meta de 20), ubicándose en nivel 🟠 En riesgo. Si bien se logró un volumen importante de ventas, no se alcanzó la meta establecida, evidenciando una disminución en la efectividad del cierre y la necesidad de seguimiento oportuno.
En enero, el indicador presentó una caída significativa, alcanzando únicamente un 20 % de cumplimiento (4 cierres sobre una meta de 20), clasificándose en nivel 🔴 Deficiente. Esta variación representa una reducción drástica en el desempeño comercial frente al mes anterior, lo que evidencia una ruptura en la dinámica de ventas y una alerta crítica en la gestión del área.
En términos consolidados, la tendencia entre diciembre y enero muestra un deterioro pronunciado en el cumplimiento de metas, pasando de un nivel de riesgo a un escenario de incumplimiento crítico. Este comportamiento exige una revisión integral del proceso comercial, incluyendo generación de demanda, conversión y efectividad en cierres, con el fin de implementar acciones correctivas inmediatas y restablecer la capacidad de cumplimiento de metas en el corto plazo.</t>
    </r>
  </si>
  <si>
    <r>
      <rPr>
        <b/>
        <sz val="11"/>
        <color theme="1"/>
        <rFont val="Aptos Narrow"/>
        <family val="2"/>
        <scheme val="minor"/>
      </rPr>
      <t>Análisis:</t>
    </r>
    <r>
      <rPr>
        <sz val="11"/>
        <color theme="1"/>
        <rFont val="Aptos Narrow"/>
        <family val="2"/>
        <scheme val="minor"/>
      </rPr>
      <t xml:space="preserve">
Durante los meses de noviembre ($1.500) y diciembre ($1.535), el Costo por Lead (CPL) se mantuvo en nivel 🟢 Óptimo, evidenciando una eficiencia sobresaliente en la gestión de campañas digitales y un excelente aprovechamiento del presupuesto de marketing para la generación de leads calificados.
Sin embargo, en enero el CPL ascendió a $4.007, ubicándose en nivel 🟡 Bueno. Aunque el indicador continúa dentro de un rango adecuado y no representa incumplimiento de meta, se observa un incremento significativo frente a los meses anteriores (más del 160 % de aumento respecto a noviembre).
En términos generales, el área de marketing digital mantiene un desempeño eficiente; no obstante, el aumento registrado en enero sugiere una posible reducción en la efectividad de las campañas o un encarecimiento en la captación de prospectos, lo que requiere seguimiento para evitar una tendencia creciente que impacte la rentabilidad comercial.
Es importante resaltar que, pese al buen desempeño del CPL, este resultado contrasta con la caída en el cumplimiento de ventas, lo que podría indicar que el desafío actual no está en la generación de leads, sino en la conversión comercial.</t>
    </r>
  </si>
  <si>
    <r>
      <rPr>
        <b/>
        <sz val="11"/>
        <color theme="1"/>
        <rFont val="Aptos Narrow"/>
        <family val="2"/>
        <scheme val="minor"/>
      </rPr>
      <t>Conclusión:</t>
    </r>
    <r>
      <rPr>
        <sz val="11"/>
        <color theme="1"/>
        <rFont val="Aptos Narrow"/>
        <family val="2"/>
        <scheme val="minor"/>
      </rPr>
      <t xml:space="preserve">
Durante el periodo evaluado, el KPI de generación de leads no alcanzó la meta mensual establecida.
En diciembre, con una meta de 1.000 leads, se generaron 1.590, superando ampliamente el objetivo.
En enero, con una meta ajustada a 300 leads, se alcanzaron 329, cumpliendo igualmente la meta definida para el mes.
No obstante, frente a la meta estructural de 1.500 leads mensuales, el cumplimiento consolidado del periodo diciembre–enero se ubica en 38 %, evidenciando una disminución significativa en el volumen esperado.
Esta variación está directamente asociada a:
La pausa estratégica de campañas definida por Gerencia en el marco del ajuste de precios.
La estacionalidad propia del sector inmobiliario en temporada de cierre e inicio de año.
La alta dependencia de inversión publicitaria para el cumplimiento de metas de captación.
Es importante precisar que la reducción en la generación de leads no obedece a un desempeño operativo deficiente del área comercial, sino a una decisión estratégica corporativa. En consecuencia, el periodo evaluado se considera atípico y no será ponderado dentro de la evaluación formal de cumplimiento del indicador para estos meses.</t>
    </r>
  </si>
  <si>
    <r>
      <rPr>
        <b/>
        <sz val="11"/>
        <color theme="1"/>
        <rFont val="Aptos Narrow"/>
        <family val="2"/>
        <scheme val="minor"/>
      </rPr>
      <t>Conclusión:</t>
    </r>
    <r>
      <rPr>
        <sz val="11"/>
        <color theme="1"/>
        <rFont val="Aptos Narrow"/>
        <family val="2"/>
        <scheme val="minor"/>
      </rPr>
      <t xml:space="preserve"> En diciembre, de un total de 1.590 leads generados, se calificaron 597, lo que representa un 38 % de calificación, ubicándose en nivel 🟡 Aceptable. Este resultado se encuentra dentro del rango esperado (25 % – 40 %), evidenciando una adecuada segmentación y filtrado del perfil de cliente objetivo.
En enero, de 329 leads generados, se calificaron 245, alcanzando un 74 % de calificación, situándose en nivel 🟢 Óptimo, superando ampliamente la meta establecida (&gt; 40 %). Este comportamiento refleja una mejora significativa en la calidad del tráfico captado, con mayor afinidad al perfil de comprador y mayor intención de decisión.
Comparativamente, aunque en enero disminuyó el volumen total de leads debido a la pausa estratégica en campañas, la proporción de leads calificados aumentó considerablemente, lo que indica una captación más eficiente y segmentada.
En términos estratégicos, el indicador demuestra que el desafío actual del área comercial no radica en la calidad del lead, sino en la capacidad de conversión a cierre, dado que el porcentaje de leads calificados se mantiene en niveles adecuados y, en enero, sobresalientes.</t>
    </r>
  </si>
  <si>
    <r>
      <rPr>
        <b/>
        <sz val="11"/>
        <color theme="1"/>
        <rFont val="Aptos Narrow"/>
        <family val="2"/>
        <scheme val="minor"/>
      </rPr>
      <t>Conclusión:</t>
    </r>
    <r>
      <rPr>
        <sz val="11"/>
        <color theme="1"/>
        <rFont val="Aptos Narrow"/>
        <family val="2"/>
        <scheme val="minor"/>
      </rPr>
      <t xml:space="preserve">
Durante diciembre y enero, la tasa de conversión de leads calificados a citas se mantuvo en niveles críticos, con 15,75 % y 15,51 % respectivamente, muy por debajo del rango mínimo esperado del 40 %.
El comportamiento es consistente en ambos meses, lo que indica que no se trata de un efecto estacional ni de volumen, sino de una debilidad estructural en la gestión de contacto y seguimiento comercial.
Este resultado evidencia que, aunque el porcentaje de leads calificados fue aceptable en diciembre (38 %) y óptimo en enero (74 %), el equipo comercial no está logrando transformar esos prospectos en citas efectivas, generando una fuga significativa en la etapa intermedia del embudo.
En términos estratégicos, el principal cuello de botella del área comercial no se encuentra en la generación ni en la calidad del lead, sino en la capacidad operativa de conversión a contacto efectivo y agendamiento.</t>
    </r>
  </si>
  <si>
    <t>Durante diciembre y enero, la tasa de conversión de leads calificados a visitas se mantuvo en niveles críticos, con 4,02 % y 8,98 % respectivamente, muy por debajo del rango mínimo esperado del 15 %.
Si bien en enero se observa una mejora relativa frente a diciembre (más del doble porcentualmente), el indicador continúa en nivel bajo, evidenciando una ruptura significativa en la efectividad del proceso comercial posterior al primer contacto.
El resultado confirma que el principal cuello de botella del embudo se encuentra en la etapa de transformación de prospectos calificados en visitas efectivas, afectando directamente la posibilidad de cierre y el cumplimiento de metas de ventas.
En términos estratégicos, el área comercial presenta una brecha operativa importante en:
Seguimiento efectivo.
Gestión de objeciones.
Capacidad de motivar la asistencia a sala de ventas o recorrido virtual.
Protocolos de confirmación y recordación de cita.</t>
  </si>
  <si>
    <r>
      <rPr>
        <b/>
        <sz val="11"/>
        <color theme="1"/>
        <rFont val="Aptos Narrow"/>
        <family val="2"/>
        <scheme val="minor"/>
      </rPr>
      <t xml:space="preserve">Conclusión:
</t>
    </r>
    <r>
      <rPr>
        <sz val="11"/>
        <color theme="1"/>
        <rFont val="Aptos Narrow"/>
        <family val="2"/>
        <scheme val="minor"/>
      </rPr>
      <t>Durante diciembre y enero, la tasa de conversión de visitas a ventas se ubicó en 8,33 % y 9,09 % respectivamente, superando el rango objetivo establecido (3 %–8 %) y clasificándose en nivel Óptimo en ambos meses.
Este resultado demuestra que, una vez el prospecto asiste a la visita (virtual o presencial), el equipo comercial tiene una alta efectividad en el cierre, evidenciando una adecuada argumentación comercial, manejo de objeciones y capacidad de negociación en etapa avanzada del proceso.
En términos estratégicos, este indicador confirma que el problema estructural del área comercial no se encuentra en la etapa final del embudo, sino en las fases previas de:
Conversión de leads a citas
Conversión de citas a visitas
Es decir, el equipo cierra bien cuando logra llevar al cliente a sala; el desafío está en lograr que más prospectos lleguen a esa instancia.</t>
    </r>
  </si>
  <si>
    <t>Durante diciembre y enero, la tasa de conversión global se ubicó en 0,13 % y 0,61 % respectivamente, muy por debajo del rango mínimo esperado del 1 %, clasificándose en nivel Bajo en ambos meses.
Aunque en enero se evidencia una mejora porcentual frente a diciembre, el indicador continúa en un nivel crítico, lo que confirma una baja efectividad del proceso comercial para transformar el volumen total de leads en ventas efectivas.
Este resultado consolida el diagnóstico del embudo:
La generación de leads es eficiente en costo.
La calidad del lead es adecuada.
La conversión final de visitas a ventas es óptima.
El principal cuello de botella se encuentra en la etapa intermedia: conversión a citas y visitas.
En términos estratégicos, la baja conversión global no obedece a un problema de cierre, sino a una fuga significativa en la gestión temprana del prospecto, reduciendo drásticamente el volumen que llega a etapa de visita y, por ende, a cierre.</t>
  </si>
  <si>
    <r>
      <rPr>
        <b/>
        <sz val="11"/>
        <color theme="1"/>
        <rFont val="Aptos Narrow"/>
        <family val="2"/>
        <scheme val="minor"/>
      </rPr>
      <t>Conclusión:</t>
    </r>
    <r>
      <rPr>
        <sz val="11"/>
        <color theme="1"/>
        <rFont val="Aptos Narrow"/>
        <family val="2"/>
        <scheme val="minor"/>
      </rPr>
      <t xml:space="preserve">
En diciembre, la participación de ventas provenientes de canales digitales fue de 13,33 %, ubicándose en nivel Bajo, lo que evidencia una limitada contribución del canal digital frente al total de cierres del proyecto en ese mes.
En enero, el indicador ascendió a 50 %, clasificándose en nivel Óptimo, mostrando una alta incidencia del canal digital dentro del total de ventas alcanzadas. Sin embargo, este resultado debe analizarse con cautela, ya que el volumen total de ventas fue bajo (4 cierres), lo que amplifica porcentualmente la participación digital.
En términos estratégicos:
El canal digital sí tiene capacidad de cierre.
Su aporte absoluto aún es bajo en volumen.
La dependencia del canal tradicional en diciembre fue alta.
En enero, el canal digital sostuvo la mitad de los cierres en un contexto de baja venta total.</t>
    </r>
  </si>
  <si>
    <r>
      <rPr>
        <b/>
        <sz val="11"/>
        <color theme="1"/>
        <rFont val="Aptos Narrow"/>
        <family val="2"/>
        <scheme val="minor"/>
      </rPr>
      <t>Conclusión – Tasa de Contacto Inicial</t>
    </r>
    <r>
      <rPr>
        <sz val="11"/>
        <color theme="1"/>
        <rFont val="Aptos Narrow"/>
        <family val="2"/>
        <scheme val="minor"/>
      </rPr>
      <t xml:space="preserve">
En diciembre, la tasa de contacto inicial fue de 50,94 %, ubicándose en nivel Bajo, lo que evidencia una debilidad significativa en la capacidad de respuesta del equipo comercial frente al volumen de leads recibidos. Más del 49 % de los prospectos no fueron gestionados oportunamente, generando una fuga temprana en el embudo.
En enero, el indicador mejoró considerablemente hasta 84,80 %, situándose en nivel En mejora, muy cercano al rango óptimo (&gt; 85 %). Esta mejora refleja mayor disciplina operativa y mejor capacidad de atención frente a un volumen menor de leads.</t>
    </r>
  </si>
  <si>
    <t>Aunque el porcentaje total de leads perdidos (25 % en diciembre y 27 % en enero) se ubica en nivel Excelente, el análisis de causas evidencia una debilidad estructural en la gestión de contacto inicial y seguimiento.
La principal causa de pérdida en ambos meses es la imposibilidad de establecer comunicación efectiva con el prospecto, lo que indica oportunidades de mejora en:
Velocidad de respuesta.
Frecuencia e intensidad de seguimiento.
Protocolos multicanal (llamada, WhatsApp, email).
Estrategia de reprocesamiento de leads no contactados.
Es relevante destacar que las pérdidas por causas estructurales de producto o precio son marginales, lo que confirma que el problema no es de mercado ni de propuesta de valor, sino de ejecución comercial temprana.</t>
  </si>
  <si>
    <t>Invertido Diciembre</t>
  </si>
  <si>
    <t>Invertido Enero</t>
  </si>
  <si>
    <r>
      <rPr>
        <b/>
        <sz val="11"/>
        <color theme="1"/>
        <rFont val="Aptos Narrow"/>
        <family val="2"/>
        <scheme val="minor"/>
      </rPr>
      <t>Conclusión:</t>
    </r>
    <r>
      <rPr>
        <sz val="11"/>
        <color theme="1"/>
        <rFont val="Aptos Narrow"/>
        <family val="2"/>
        <scheme val="minor"/>
      </rPr>
      <t xml:space="preserve">
En diciembre, se presentó una sobre-ejecución del presupuesto global (112,85 %), aunque con subutilización del canal Google Ads (70,96 %), lo que sugiere redistribución del gasto hacia otros medios o ineficiencia en la planificación del mix de inversión.
En enero, la ejecución global fue significativamente baja (42,57 %), reflejando una pausa estratégica en la inversión digital; sin embargo, el presupuesto específico de Google Ads sí tuvo una ejecución óptima (93,68 %), indicando enfoque táctico en el canal principal.
Desde una perspectiva estratégica:
En diciembre se invirtió más, pero no se logró eficiencia en conversión intermedia.
En enero se redujo drásticamente la inversión, pero mejoró la calidad del lead.
Existe alta correlación entre volumen de inversión y volumen de leads.
No existe correlación directa entre mayor inversión y mayor cierre, debido al cuello de botella comercial.</t>
    </r>
  </si>
  <si>
    <r>
      <rPr>
        <b/>
        <sz val="11"/>
        <color theme="1"/>
        <rFont val="Aptos Narrow"/>
        <family val="2"/>
        <scheme val="minor"/>
      </rPr>
      <t>Conclusiones – Participación de Mercado (Diciembre y Enero)</t>
    </r>
    <r>
      <rPr>
        <sz val="11"/>
        <color theme="1"/>
        <rFont val="Aptos Narrow"/>
        <family val="2"/>
        <scheme val="minor"/>
      </rPr>
      <t xml:space="preserve">
Durante noviembre y diciembre, Ciudadela San Miguel mantuvo una participación de mercado competitiva, alcanzando nivel Aceptable y posteriormente Excelente, consolidando liderazgo en diciembre.
No obstante, en enero la participación cayó a 6,78 %, ubicándose en nivel Deficiente, evidenciando una pérdida significativa de posicionamiento frente a la competencia.
La disminución no obedece únicamente a la contracción del mercado, sino a una caída proporcionalmente mayor en las ventas del proyecto frente a otros competidores.
En términos estratégicos, el proyecto perdió tracción competitiva en enero, lo cual coincide con la caída en gestión comercial y conversión del embudo previamente identificada.</t>
    </r>
  </si>
  <si>
    <r>
      <rPr>
        <b/>
        <sz val="11"/>
        <color theme="1"/>
        <rFont val="Aptos Narrow"/>
        <family val="2"/>
        <scheme val="minor"/>
      </rPr>
      <t>Análisis:</t>
    </r>
    <r>
      <rPr>
        <sz val="11"/>
        <color theme="1"/>
        <rFont val="Aptos Narrow"/>
        <family val="2"/>
        <scheme val="minor"/>
      </rPr>
      <t xml:space="preserve">
Durante Diciembre y Enero no se formalizaron alianzas.Aunqueen el último trimestre 2025 se alcanzó un avance significativo (83 % de la meta proyectada al corte de noviembre), durante diciembre y enero no se logró formalizar ninguna alianza adicional, lo que impidió cumplir la meta trimestral establecida en 2025 e inicia primer trimestre 2026 en cero. 
El indicador cierra el primer trimestre 2026 con un 0 % de cumplimiento, ubicándose en nivel Bajo, evidenciando una desaceleración en la gestión de alianzas estratégicas y falta de continuidad en la consolidación de nuevos convenios.
</t>
    </r>
  </si>
  <si>
    <r>
      <rPr>
        <b/>
        <sz val="11"/>
        <color theme="1"/>
        <rFont val="Aptos Narrow"/>
        <family val="2"/>
        <scheme val="minor"/>
      </rPr>
      <t>Análisis:</t>
    </r>
    <r>
      <rPr>
        <sz val="11"/>
        <color theme="1"/>
        <rFont val="Aptos Narrow"/>
        <family val="2"/>
        <scheme val="minor"/>
      </rPr>
      <t xml:space="preserve">
En diciembre, el equipo comercial alcanzó un cumplimiento promedio del 71 %, ubicándose en nivel Aceptable. Si bien no se logró la meta, el desempeño fue homogéneo entre los asesores, lo que indica estabilidad operativa y esfuerzo balanceado.
En enero, el cumplimiento promedio descendió drásticamente al 19 %, clasificándose en nivel Bajo, reflejando una caída significativa en productividad individual y colectiva. La reducción no fue aislada, sino generalizada en el equipo, lo que sugiere un problema estructural más que individual.
Este comportamiento se encuentra alineado con la caída en:
Tasa de contacto inicial
Conversión a citas
Conversión a visitas
Participación de mercado
En términos estratégicos, el bajo desempeño individual en enero no responde únicamente a capacidades personales, sino a una ruptura del flujo comercial y disminución en el volumen efectivo de oportunidades gestionadas.</t>
    </r>
  </si>
  <si>
    <r>
      <rPr>
        <b/>
        <sz val="11"/>
        <color theme="1"/>
        <rFont val="Aptos Narrow"/>
        <family val="2"/>
        <scheme val="minor"/>
      </rPr>
      <t>Análisis:</t>
    </r>
    <r>
      <rPr>
        <sz val="11"/>
        <color theme="1"/>
        <rFont val="Aptos Narrow"/>
        <family val="2"/>
        <scheme val="minor"/>
      </rPr>
      <t xml:space="preserve">
En diciembre, el equipo presentó baja productividad generalizada, reflejando una dificultad para transformar el volumen asignado en ventas efectivas.
En enero, aunque el volumen total de ventas fue bajo, la eficiencia individual mejoró en dos de los tres asesores, lo que evidencia que el problema no es exclusivamente de capacidad comercial, sino de gestión de carga, priorización y calidad de seguimiento.</t>
    </r>
  </si>
  <si>
    <r>
      <rPr>
        <b/>
        <sz val="11"/>
        <color theme="1"/>
        <rFont val="Aptos Narrow"/>
        <family val="2"/>
        <scheme val="minor"/>
      </rPr>
      <t>Análisis:</t>
    </r>
    <r>
      <rPr>
        <sz val="11"/>
        <color theme="1"/>
        <rFont val="Aptos Narrow"/>
        <family val="2"/>
        <scheme val="minor"/>
      </rPr>
      <t xml:space="preserve">
Durante diciembre el tiempo promedio de cierre fue de 8 días, y en enero se redujo aún más a 2 días, ambos resultados muy por debajo de la meta de 30 días.
Este comportamiento evidencia:
Alta eficiencia en negociación.
Toma de decisión rápida por parte del cliente.
Agilidad contractual y administrativa.
Buen manejo de objeciones en etapa final.
Desde el punto de vista estratégico, el equipo demuestra excelente capacidad de cierre cuando el prospecto alcanza etapa avanzada del embudo.</t>
    </r>
  </si>
  <si>
    <r>
      <rPr>
        <b/>
        <sz val="11"/>
        <color theme="1"/>
        <rFont val="Aptos Narrow"/>
        <family val="2"/>
        <scheme val="minor"/>
      </rPr>
      <t>Conclusión:</t>
    </r>
    <r>
      <rPr>
        <sz val="11"/>
        <color theme="1"/>
        <rFont val="Aptos Narrow"/>
        <family val="2"/>
        <scheme val="minor"/>
      </rPr>
      <t xml:space="preserve">
En diciembre, la distribución por canal mostró un desempeño relativamente equilibrado, con cumplimiento total del canal tradicional y avance favorable del canal digital, aunque con bajo desempeño en referidos.
En enero, se evidencia una ruptura estructural en todos los canales de captación, con incumplimiento generalizado y ausencia total de ventas tradicionales, lo que impactó directamente el resultado global del mes.
Cumplimiento de las metas del 42%, crítico. 
Este comportamiento confirma:
Alta dependencia del canal digital.
Falta de consolidación del canal de referidos.
Ausencia de una estrategia robusta multicanal que amortigüe caídas de inversión o estacionalidad.</t>
    </r>
  </si>
  <si>
    <t>El indicador de documentación comercial presenta un cumplimiento promedio del 84 %, ubicándose en nivel Bajo, por debajo de la meta establecida del 98 %.
Aunque los archivos comerciales principales (T1, T2 y T3) muestran un desempeño adecuado, se evidencian brechas críticas en la gestión de otrosíes, particularmente:
Otrosí T2 (40 %)
Otrosí T3 (65 %)
Otrosí T1 (83 %)
Estas desviaciones representan un riesgo administrativo, contractual y reputacional, especialmente frente a auditorías internas, revisiones jurídicas o procesos de escrituración.
En términos estratégicos, el área comercial presenta debilidad en disciplina documental y cierre administrativo del negocio, lo cual puede afectar trazabilidad, cartera y procesos posteriores.</t>
  </si>
  <si>
    <t>Durante diciembre y enero se cumplió en un 100 % con la entrega oportuna de los informes de ventas semanales, evidenciando disciplina administrativa, seguimiento constante y cumplimiento de los protocolos internos de reporte.
Este indicador demuestra:
Organización en la gestión de información.
Compromiso con la rendición de cuentas.
Control y trazabilidad del desempeño comercial.
En términos estratégicos, aunque el área presenta oportunidades de mejora en conversión y productividad, el sistema de reporte y seguimiento se mantiene sólido y oportuno.</t>
  </si>
  <si>
    <t>Se medira en marzo</t>
  </si>
  <si>
    <r>
      <rPr>
        <b/>
        <sz val="11"/>
        <color theme="1"/>
        <rFont val="Aptos Narrow"/>
        <family val="2"/>
        <scheme val="minor"/>
      </rPr>
      <t>Conclusión:</t>
    </r>
    <r>
      <rPr>
        <sz val="11"/>
        <color theme="1"/>
        <rFont val="Aptos Narrow"/>
        <family val="2"/>
        <scheme val="minor"/>
      </rPr>
      <t xml:space="preserve">
La Líder de Sala gestionó el 85 % de los leads asignados, ubicándose en nivel Aceptable, dentro del rango esperado pero aún con margen de mejora para alcanzar el nivel óptimo (≥ 95 %).
Se evidencia disciplina operativa adecuada y seguimiento mayoritario de los prospectos; sin embargo, el 15 % de leads no gestionados representa una oportunidad de mejora, ya que cada lead sin contacto implica riesgo de fuga temprana en el embudo comercial.</t>
    </r>
    <r>
      <rPr>
        <b/>
        <sz val="11"/>
        <color theme="1"/>
        <rFont val="Aptos Narrow"/>
        <family val="2"/>
        <scheme val="minor"/>
      </rPr>
      <t xml:space="preserve">                                                                   Plan de acción:</t>
    </r>
    <r>
      <rPr>
        <sz val="11"/>
        <color theme="1"/>
        <rFont val="Aptos Narrow"/>
        <family val="2"/>
        <scheme val="minor"/>
      </rPr>
      <t xml:space="preserve"> Implementar protocolo obligatorio de contacto &lt; 6 horas.
Activar alertas automáticas para leads sin gestión en 12 y 24 horas.
Revisión diaria de leads pendientes.
Reasignación automática de leads no contactados.</t>
    </r>
  </si>
  <si>
    <r>
      <rPr>
        <b/>
        <sz val="11"/>
        <color theme="1"/>
        <rFont val="Aptos Narrow"/>
        <family val="2"/>
        <scheme val="minor"/>
      </rPr>
      <t xml:space="preserve">11,88 % / 10 % =100 % del cumplimiento esperado  </t>
    </r>
    <r>
      <rPr>
        <sz val="11"/>
        <color theme="1"/>
        <rFont val="Aptos Narrow"/>
        <family val="2"/>
        <scheme val="minor"/>
      </rPr>
      <t xml:space="preserve">                                                                     </t>
    </r>
    <r>
      <rPr>
        <b/>
        <sz val="11"/>
        <color theme="1"/>
        <rFont val="Aptos Narrow"/>
        <family val="2"/>
        <scheme val="minor"/>
      </rPr>
      <t>Conclusión:</t>
    </r>
    <r>
      <rPr>
        <sz val="11"/>
        <color theme="1"/>
        <rFont val="Aptos Narrow"/>
        <family val="2"/>
        <scheme val="minor"/>
      </rPr>
      <t xml:space="preserve">
La Líder de Sala alcanzó una tasa de conversión a citas del 11,88 %, superando el umbral mínimo esperado del 10 %, lo que ubica el indicador en nivel Óptimo.
Este resultado evidencia:
✔ Efectividad en el primer contacto.
✔ Buena argumentación para agendar cita.
✔ Capacidad de generar interés inicial.
El indicador muestra que cuando el lead es gestionado, existe una probabilidad adecuada de avanzar a la siguiente etapa del embudo.
No obstante, el impacto real de este KPI debe analizarse junto con la conversión posterior a visita y cierre, ya que el volumen total de citas aún puede ser insuficiente frente a la meta global de ventas.</t>
    </r>
  </si>
  <si>
    <r>
      <rPr>
        <b/>
        <sz val="11"/>
        <color theme="1"/>
        <rFont val="Aptos Narrow"/>
        <family val="2"/>
        <scheme val="minor"/>
      </rPr>
      <t>100 % / 30 % = 100 % del cumplimiento esperado                                                                    Conclusión:</t>
    </r>
    <r>
      <rPr>
        <sz val="11"/>
        <color theme="1"/>
        <rFont val="Aptos Narrow"/>
        <family val="2"/>
        <scheme val="minor"/>
      </rPr>
      <t xml:space="preserve">
La Líder de Sala logró una tasa de conversión a visitas del 100 %, lo que representa un desempeño excepcional y muy por encima del rango esperado.
Este resultado evidencia:
✔ Excelente confirmación y seguimiento de citas.
✔ Alta capacidad de generar compromiso del prospecto.
✔ Gestión efectiva de recordatorios y coordinación.
✔ Nivel de interés consolidado antes de la visita.
Este indicador confirma una fortaleza clara en la etapa media del embudo comercial. Cuando el prospecto agenda cita, efectivamente asiste.</t>
    </r>
  </si>
  <si>
    <r>
      <rPr>
        <b/>
        <sz val="11"/>
        <color theme="1"/>
        <rFont val="Aptos Narrow"/>
        <family val="2"/>
        <scheme val="minor"/>
      </rPr>
      <t>Conclusión:</t>
    </r>
    <r>
      <rPr>
        <sz val="11"/>
        <color theme="1"/>
        <rFont val="Aptos Narrow"/>
        <family val="2"/>
        <scheme val="minor"/>
      </rPr>
      <t xml:space="preserve">
La Líder de Sala alcanzó una tasa de conversión a ventas del 26,32 %, superando ampliamente la meta mínima establecida (≥ 10 %).
Este resultado evidencia:
✔ Alta capacidad de cierre en sala.
✔ Manejo adecuado de objeciones.
✔ Buen acompañamiento en la toma de decisión.
✔ Argumentación comercial sólida en etapa final.
La efectividad en esta fase confirma que, cuando el prospecto llega a visita, el proceso comercial en sala funciona correctamente.</t>
    </r>
  </si>
  <si>
    <r>
      <rPr>
        <b/>
        <sz val="11"/>
        <color theme="1"/>
        <rFont val="Aptos Narrow"/>
        <family val="2"/>
        <scheme val="minor"/>
      </rPr>
      <t>Conclusión:</t>
    </r>
    <r>
      <rPr>
        <sz val="11"/>
        <color theme="1"/>
        <rFont val="Aptos Narrow"/>
        <family val="2"/>
        <scheme val="minor"/>
      </rPr>
      <t xml:space="preserve">
El 14,89 % de los leads asignados no recibieron gestión durante el período, ubicando el indicador en nivel Bajo.
Aunque la conversión posterior (citas, visitas y ventas) es fuerte, este indicador evidencia una debilidad estructural en cobertura total de atención.
Implicaciones:
❗ Cada lead sin gestión representa una oportunidad potencial perdida.
❗ Se genera fuga temprana en el embudo.
❗ Afecta la conversión global y la meta de ventas.
Este resultado contrasta con el buen desempeño en cierre, lo que sugiere que el problema no es calidad comercial, sino disciplina operativa y capacidad de cobertura.                                 </t>
    </r>
    <r>
      <rPr>
        <b/>
        <sz val="11"/>
        <color theme="1"/>
        <rFont val="Aptos Narrow"/>
        <family val="2"/>
        <scheme val="minor"/>
      </rPr>
      <t>Plan de Acción:</t>
    </r>
    <r>
      <rPr>
        <sz val="11"/>
        <color theme="1"/>
        <rFont val="Aptos Narrow"/>
        <family val="2"/>
        <scheme val="minor"/>
      </rPr>
      <t xml:space="preserve">
Protocolo obligatorio de contacto &lt; 6 horas.
Alertas automáticas en CRM a las 12 y 24 horas.
Reasignación automática de leads no gestionados.
Revisión diaria de pendientes antes de cierre de jornada.</t>
    </r>
  </si>
  <si>
    <r>
      <rPr>
        <b/>
        <sz val="11"/>
        <color theme="1"/>
        <rFont val="Aptos Narrow"/>
        <family val="2"/>
        <scheme val="minor"/>
      </rPr>
      <t>Conclusión:</t>
    </r>
    <r>
      <rPr>
        <sz val="11"/>
        <color theme="1"/>
        <rFont val="Aptos Narrow"/>
        <family val="2"/>
        <scheme val="minor"/>
      </rPr>
      <t xml:space="preserve">
La gestión general alcanzó solo el 44,83 % de la meta mensual establecida, ubicándose en nivel Bajo.
Este resultado indica una actividad comercial insuficiente frente al volumen esperado de interacciones (contactos, seguimientos y actualizaciones). Aunque la conversión a citas, visitas y ventas es fuerte, el nivel de actividad diaria no está siendo consistente ni suficiente para sostener metas de cierre más altas.
Posibles factores:
Falta de disciplina diaria en número mínimo de gestiones.
Priorización reactiva en lugar de proactiva.
Ausencia de tablero de control diario exigente. </t>
    </r>
    <r>
      <rPr>
        <b/>
        <sz val="11"/>
        <color theme="1"/>
        <rFont val="Aptos Narrow"/>
        <family val="2"/>
        <scheme val="minor"/>
      </rPr>
      <t>Recomendaciones</t>
    </r>
    <r>
      <rPr>
        <sz val="11"/>
        <color theme="1"/>
        <rFont val="Aptos Narrow"/>
        <family val="2"/>
        <scheme val="minor"/>
      </rPr>
      <t xml:space="preserve">
Establecer mínimo obligatorio de 35 gestiones por asesor/día.
Control diario en CRM con reporte automático.
Bloques de tiempo dedicados exclusivamente a gestión.
</t>
    </r>
  </si>
  <si>
    <r>
      <rPr>
        <b/>
        <sz val="11"/>
        <color theme="1"/>
        <rFont val="Aptos Narrow"/>
        <family val="2"/>
        <scheme val="minor"/>
      </rPr>
      <t>Conclusión:</t>
    </r>
    <r>
      <rPr>
        <sz val="11"/>
        <color theme="1"/>
        <rFont val="Aptos Narrow"/>
        <family val="2"/>
        <scheme val="minor"/>
      </rPr>
      <t xml:space="preserve">
La Líder de Sala alcanzó un 36 % de su meta individual, quedando 9 ventas por debajo del objetivo mensual. Este resultado ubica el indicador en nivel Bajo, evidenciando que la productividad comercial no estuvo alineada con la meta establecida. Es importante contextualizar que:La tasa de cierre es alta (26,32 %).El tiempo de cierre es óptimo (7 días).
La conversión a visitas es sobresaliente (100 %).
Esto indica que la baja productividad no se origina en falta de capacidad de cierre, sino en:
❗ Bajo volumen de oportunidades activas.
❗ Insuficiente intensidad de gestión (44,83 % en gestión general).
❗ Leads no gestionados (14,89 %).</t>
    </r>
  </si>
  <si>
    <t>Evaluación de ventas Croma</t>
  </si>
  <si>
    <t>Evaluación de ventas Parqueaderos</t>
  </si>
  <si>
    <t>Medir cantidad de ventas</t>
  </si>
  <si>
    <t>Por definir</t>
  </si>
  <si>
    <t>Meta por definir</t>
  </si>
  <si>
    <r>
      <rPr>
        <b/>
        <sz val="11"/>
        <color theme="1"/>
        <rFont val="Aptos Narrow"/>
        <family val="2"/>
        <scheme val="minor"/>
      </rPr>
      <t>Conclusión:</t>
    </r>
    <r>
      <rPr>
        <sz val="11"/>
        <color theme="1"/>
        <rFont val="Aptos Narrow"/>
        <family val="2"/>
        <scheme val="minor"/>
      </rPr>
      <t xml:space="preserve">
El tiempo promedio de cierre fue de 5 días, ubicándose cómodamente dentro del rango óptimo (1–15 días).
Este resultado evidencia:
✔ Alta eficiencia en negociación.
✔ Toma de decisión rápida del cliente.
✔ Argumentación comercial sólida.
✔ Fluidez contractual.
La Líder de Sala demuestra capacidad para cerrar en corto plazo cuando el cliente está en etapa activa de decisión. El problema comercial no está en la velocidad de cierre.
Cuando el prospecto llega a etapa avanzada, el equipo responde con agilidad.
La debilidad estructural se mantiene en:
Volumen de actividad.
Cobertura total de gestión.
Generación de flujo constante hacia cierre.</t>
    </r>
  </si>
  <si>
    <t>Vendidos: 34</t>
  </si>
  <si>
    <t>Falta 0 carpeta</t>
  </si>
  <si>
    <t>Vendidos: 24</t>
  </si>
  <si>
    <t>Faltan 2 carpetas</t>
  </si>
  <si>
    <r>
      <rPr>
        <b/>
        <sz val="11"/>
        <color theme="1"/>
        <rFont val="Aptos Narrow"/>
        <family val="2"/>
        <scheme val="minor"/>
      </rPr>
      <t>Conclusión:</t>
    </r>
    <r>
      <rPr>
        <sz val="11"/>
        <color theme="1"/>
        <rFont val="Aptos Narrow"/>
        <family val="2"/>
        <scheme val="minor"/>
      </rPr>
      <t xml:space="preserve">
La gestión de leads alcanzó un 67,4 %, manteniéndose en nivel Bajo, por debajo del estándar mínimo esperado del 80 %.
Esto significa que el 32,6 % de los leads asignados no fueron gestionados, lo cual continúa generando una fuga significativa en la etapa inicial del embudo comercial.   Este indicador confirma que el principal riesgo comercial no está en el cierre, sino en la cobertura total de atención del lead.
Mientras el nivel de gestión se mantenga por debajo del 80 %:
Se seguirá limitando el flujo hacia citas y visitas.
Se comprometerá el cumplimiento de metas.
Se desaprovechará inversión en generación de demanda.</t>
    </r>
  </si>
  <si>
    <r>
      <rPr>
        <b/>
        <sz val="11"/>
        <color theme="1"/>
        <rFont val="Aptos Narrow"/>
        <family val="2"/>
        <scheme val="minor"/>
      </rPr>
      <t>Conclusión:</t>
    </r>
    <r>
      <rPr>
        <sz val="11"/>
        <color theme="1"/>
        <rFont val="Aptos Narrow"/>
        <family val="2"/>
        <scheme val="minor"/>
      </rPr>
      <t xml:space="preserve">
La tasa de conversión a citas fue de 8,99 %, ubicándose en nivel Aceptable, dentro del rango esperado (7 % – 9,9 %), pero sin alcanzar el nivel óptimo (≥ 10 %).
Este resultado indica que:
Existe capacidad para generar interés inicial.
La argumentación comercial es funcional.
El contacto inicial logra movilizar una parte de los prospectos.
Sin embargo:
La conversión aún es moderada.
No está maximizando el potencial de los leads gestionados.
La tasa no compensa el bajo nivel de gestión total (67,4 %). Aunque la conversión a citas es aceptable, el verdadero impacto negativo está en que solo se gestionan 89 de 132 leads. Es decir: No es solo cuánto se convierte, es cuánto está dejando sin intentar convertir. Si la gestión subiera al 90 %, manteniendo esta tasa del 8,99 %, el volumen de citas crecería de manera automática.</t>
    </r>
  </si>
  <si>
    <r>
      <rPr>
        <b/>
        <sz val="11"/>
        <color theme="1"/>
        <rFont val="Aptos Narrow"/>
        <family val="2"/>
        <scheme val="minor"/>
      </rPr>
      <t>Conclusión:</t>
    </r>
    <r>
      <rPr>
        <sz val="11"/>
        <color theme="1"/>
        <rFont val="Aptos Narrow"/>
        <family val="2"/>
        <scheme val="minor"/>
      </rPr>
      <t xml:space="preserve">
La tasa de conversión a visitas fue de 87,50 %, superando ampliamente el rango esperado (30 %–50 %), ubicándose en nivel Óptimo.
Este resultado demuestra:
✔ Excelente confirmación de citas.
✔ Seguimiento efectivo.
✔ Buena gestión de recordatorios.
✔ Alto compromiso del prospecto una vez agenda.
Cuando el cliente acepta una cita, casi siempre asiste. Esto evidencia que el cuello de botella se halla en la etapa media del embudo, entre los Leads Asignados y los Gestionados. </t>
    </r>
  </si>
  <si>
    <r>
      <rPr>
        <b/>
        <sz val="11"/>
        <color theme="1"/>
        <rFont val="Aptos Narrow"/>
        <family val="2"/>
        <scheme val="minor"/>
      </rPr>
      <t>Conclusión:</t>
    </r>
    <r>
      <rPr>
        <sz val="11"/>
        <color theme="1"/>
        <rFont val="Aptos Narrow"/>
        <family val="2"/>
        <scheme val="minor"/>
      </rPr>
      <t xml:space="preserve">
La tasa de conversión a ventas alcanzó el 100 %, lo que significa que todas las visitas efectivas se transformaron en ventas.
Este resultado evidencia:
✔ Capacidad excepcional de cierre.
✔ Excelente manejo de objeciones.
✔ Argumentación comercial sólida.
✔ Alto nivel de persuasión en etapa final.
✔ Buena preparación previa del cliente antes de la visita.                                                                       La vendedora no está fallando en cerrar.
Está fallando en alimentar el embudo con suficiente volumen gestionado. Si se elevara la gestión de leads al 90 % manteniendo estos niveles de conversión, el crecimiento en ventas sería exponencial.</t>
    </r>
  </si>
  <si>
    <r>
      <rPr>
        <b/>
        <sz val="11"/>
        <color theme="1"/>
        <rFont val="Aptos Narrow"/>
        <family val="2"/>
        <scheme val="minor"/>
      </rPr>
      <t>Conclusión:</t>
    </r>
    <r>
      <rPr>
        <sz val="11"/>
        <color theme="1"/>
        <rFont val="Aptos Narrow"/>
        <family val="2"/>
        <scheme val="minor"/>
      </rPr>
      <t xml:space="preserve">
Durante el período evaluado, el 32,6 % de los leads asignados no recibieron ningún tipo de gestión, ubicando el indicador en nivel Bajo y evidenciando una brecha crítica en la cobertura operativa.
Esto significa que:
1 de cada 3 prospectos no fue contactado.
Existe fuga temprana en el embudo comercial.
Se desaprovecha inversión en generación de leads.
Se limita artificialmente el volumen potencial de citas, visitas y ventas.                                    Este es el verdadero cuello de botella del proceso comercial.
No es la capacidad de cierre.
No es la conversión en sala.
Es la cobertura total del lead.
Con una tasa de cierre del 100 % en visitas, cada lead no gestionado representa una oportunidad potencialmente muy valiosa perdida.</t>
    </r>
  </si>
  <si>
    <r>
      <rPr>
        <b/>
        <sz val="11"/>
        <color theme="1"/>
        <rFont val="Aptos Narrow"/>
        <family val="2"/>
        <scheme val="minor"/>
      </rPr>
      <t>Conclusión:</t>
    </r>
    <r>
      <rPr>
        <sz val="11"/>
        <color theme="1"/>
        <rFont val="Aptos Narrow"/>
        <family val="2"/>
        <scheme val="minor"/>
      </rPr>
      <t xml:space="preserve">
La gestión general alcanzó únicamente el 49,2 % de la meta mensual establecida, ubicándose en nivel Bajo y evidenciando una brecha estructural en intensidad comercial. Este resultado confirma que:
La actividad diaria no es suficiente para sostener metas de cierre ambiciosas.
Existe baja cobertura de seguimiento continuo.
La gestión se concentra en algunos prospectos, pero no se mantiene un flujo constante de interacción. Aquí se confirma el patrón completo del embudo:
Conversión a visitas: Excelente.
Conversión a ventas: Excelente.
Gestión total de actividad: Insuficiente.
La vendedora no está perdiendo por falta de habilidad. Está perdiendo por falta de volumen operativo. Mientras la gestión general esté por debajo del 70 %, el cumplimiento de metas dependerá de pocos casos exitosos y no de un flujo sostenible. Con 1.680 gestiones esperadas y solo 827 realizadas: Se dejaron de ejecutar 853 interacciones comerciales. Eso impacta directamente citas, visitas y cierres futuros. Se genera dependencia de un número reducido de oportunidades.</t>
    </r>
  </si>
  <si>
    <r>
      <rPr>
        <b/>
        <sz val="11"/>
        <color theme="1"/>
        <rFont val="Aptos Narrow"/>
        <family val="2"/>
        <scheme val="minor"/>
      </rPr>
      <t>Conclusión:</t>
    </r>
    <r>
      <rPr>
        <sz val="11"/>
        <color theme="1"/>
        <rFont val="Aptos Narrow"/>
        <family val="2"/>
        <scheme val="minor"/>
      </rPr>
      <t xml:space="preserve">
El tiempo promedio de cierre fue de 6,4 días, ubicándose ampliamente dentro del rango óptimo (1–15 días para ventas directas).
Este resultado evidencia:
✔ Alta eficiencia en negociación.
✔ Rapidez en toma de decisión del cliente.
✔ Excelente manejo de objeciones.
✔ Fluidez administrativa.
✔ Buen acompañamiento comercial en etapa final.
Incluso las ventas de mayor duración (17 y 21 días) no desbalancean el promedio general</t>
    </r>
  </si>
  <si>
    <r>
      <rPr>
        <b/>
        <sz val="11"/>
        <color theme="1"/>
        <rFont val="Aptos Narrow"/>
        <family val="2"/>
        <scheme val="minor"/>
      </rPr>
      <t>Conclusiones</t>
    </r>
    <r>
      <rPr>
        <sz val="11"/>
        <color theme="1"/>
        <rFont val="Aptos Narrow"/>
        <family val="2"/>
        <scheme val="minor"/>
      </rPr>
      <t xml:space="preserve">
La productividad alcanzó el 50 % de la meta, quedando 7 ventas por debajo del objetivo mensual.
El indicador continúa en nivel Bajo, evidenciando que el volumen de cierre no es suficiente para cumplir las metas establecidas. Gestión general: 49,2 %, Leads no gestionados: 32,6 %. Esto demuestra que:
La baja productividad no se debe a falta de capacidad comercial.
Se debe a falta de volumen alimentando el embudo.
Si se elevara la gestión al 90 %, manteniendo la misma tasa de cierre, la productividad se duplicaría fácilmente.</t>
    </r>
  </si>
  <si>
    <r>
      <rPr>
        <b/>
        <sz val="11"/>
        <color theme="1"/>
        <rFont val="Aptos Narrow"/>
        <family val="2"/>
        <scheme val="minor"/>
      </rPr>
      <t>Conclusiones</t>
    </r>
    <r>
      <rPr>
        <sz val="11"/>
        <color theme="1"/>
        <rFont val="Aptos Narrow"/>
        <family val="2"/>
        <scheme val="minor"/>
      </rPr>
      <t xml:space="preserve">
El porcentaje de gestión baja se ubica en 0,97 %, muy por debajo del límite máximo permitido (10 %), clasificándose en nivel Óptimo.
Esto evidencia:
✔ Seguimiento profundo y consistente.
✔ Buen registro en CRM.
✔ Constancia en el acompañamiento del prospecto.
✔ Disciplina en documentación de actividades.</t>
    </r>
  </si>
  <si>
    <r>
      <rPr>
        <b/>
        <sz val="11"/>
        <color theme="1"/>
        <rFont val="Aptos Narrow"/>
        <family val="2"/>
        <scheme val="minor"/>
      </rPr>
      <t>Conclusión:</t>
    </r>
    <r>
      <rPr>
        <sz val="11"/>
        <color theme="1"/>
        <rFont val="Aptos Narrow"/>
        <family val="2"/>
        <scheme val="minor"/>
      </rPr>
      <t xml:space="preserve">
El 22,7 % de las gestiones presenta un nivel de seguimiento bajo (menos de 6 notas), ubicando el indicador en nivel En mejora. Si bien no se encuentra en zona crítica, el porcentaje es elevado y evidencia una oportunidad clara para fortalecer la constancia y profundidad del seguimiento.
Implicaciones:
Riesgo de enfriamiento de oportunidades por falta de nutrición.
Menor probabilidad de conversión a citas/visitas para una parte relevante del embudo.
Impacto potencial en la conversión global si no se corrige.</t>
    </r>
  </si>
  <si>
    <t>Vendidos: 86</t>
  </si>
  <si>
    <t>Firmados: 41</t>
  </si>
  <si>
    <t>Cumplimiento absoluto vs meta
Evolución vs período anterior
Nivel actual: 79,5 % (🔴 Bajo)
Meta: 98 %
Variación vs mes anterior: 0 puntos
Brecha vs meta: 18,5 puntos
Por tanto:
Aunque el indicador no empeoró, tampoco presentó mejora alguna frente a una brecha crítica ya identificada.El indicador de Precisión y Actualización del CRM se mantiene en 79,5 %, sin variación respecto al mes anterior, lo que evidencia ausencia total de avance frente a una brecha previamente diagnosticada. Dado que la meta establecida es 98 % y no se registró mejora en el período evaluado, el cumplimiento del indicador en términos de avance mensual es 0 %, reflejando falta de acción correctiva efectiva.</t>
  </si>
  <si>
    <r>
      <t xml:space="preserve">87,26 % – 🔴 Nivel Bajo (No cumple la meta, igual al mes anterior)
</t>
    </r>
    <r>
      <rPr>
        <b/>
        <sz val="11"/>
        <color theme="1"/>
        <rFont val="Aptos Narrow"/>
        <family val="2"/>
        <scheme val="minor"/>
      </rPr>
      <t>Análisis:</t>
    </r>
    <r>
      <rPr>
        <sz val="11"/>
        <color theme="1"/>
        <rFont val="Aptos Narrow"/>
        <family val="2"/>
        <scheme val="minor"/>
      </rPr>
      <t xml:space="preserve">
El indicador de Precisión y Actualización del CRM se mantiene en nivel Bajo, sin presentar mejora respecto al período anterior. A pesar de haberse identificado previamente las brechas en Otrosí T1, Croma y procesos de traslados y canjes, no se evidencia avance en la regularización documental. Dado que la meta establecida es 98 % y la desviación persiste sin reducción, el avance del período se califica en 0 %.</t>
    </r>
  </si>
  <si>
    <r>
      <rPr>
        <b/>
        <sz val="11"/>
        <color theme="1"/>
        <rFont val="Aptos Narrow"/>
        <family val="2"/>
        <scheme val="minor"/>
      </rPr>
      <t>Conclusión:</t>
    </r>
    <r>
      <rPr>
        <sz val="11"/>
        <color theme="1"/>
        <rFont val="Aptos Narrow"/>
        <family val="2"/>
        <scheme val="minor"/>
      </rPr>
      <t xml:space="preserve">
La vendedora gestionó únicamente el 62 % de los leads asignados, lo que significa que el 38 % de los prospectos no recibieron ningún tipo de contacto o seguimiento.
Este resultado:
Se encuentra 18 puntos por debajo del mínimo aceptable (80 %).
Está 33 puntos por debajo del nivel óptimo (95 %).
Representa una fuga crítica en la etapa inicial del embudo comercial.
Limita directamente la generación de citas, visitas y ventas futuras.
Este indicador no mide capacidad de cierre, mide disciplina operativa básica.
Y en este caso, la cobertura del lead es insuficiente.
Cuando más de 1 de cada 3 leads no es gestionado:
Se desaprovecha inversión en marketing.
Se reduce artificialmente el volumen del embudo.
Se compromete la meta global del equipo.
Se traslada el riesgo comercial al resto del proceso.</t>
    </r>
  </si>
  <si>
    <r>
      <rPr>
        <b/>
        <sz val="11"/>
        <color theme="1"/>
        <rFont val="Aptos Narrow"/>
        <family val="2"/>
        <scheme val="minor"/>
      </rPr>
      <t>Conclusiones:</t>
    </r>
    <r>
      <rPr>
        <sz val="11"/>
        <color theme="1"/>
        <rFont val="Aptos Narrow"/>
        <family val="2"/>
        <scheme val="minor"/>
      </rPr>
      <t xml:space="preserve">
La tasa de conversión a visitas se ubica en 133,33 %, superando ampliamente el rango óptimo (30–50 %).
Sin embargo, el resultado revela una inconsistencia estructural en el proceso de registro comercial, ya que no es coherente que el número de visitas supere el número de citas agendadas.
Esto evidencia:
Falta de trazabilidad completa del embudo.
Posibles registros incompletos en CRM.
Debilidad en disciplina operativa documental.
Riesgo en confiabilidad de indicadores.
Desde el punto de vista de desempeño comercial, podría interpretarse como alta capacidad de movilizar prospectos a sala.
Pero desde el punto de vista de control operativo, el indicador presenta una alerta administrativa.</t>
    </r>
  </si>
  <si>
    <r>
      <rPr>
        <b/>
        <sz val="11"/>
        <color theme="1"/>
        <rFont val="Aptos Narrow"/>
        <family val="2"/>
        <scheme val="minor"/>
      </rPr>
      <t>Conclusiones:</t>
    </r>
    <r>
      <rPr>
        <sz val="11"/>
        <color theme="1"/>
        <rFont val="Aptos Narrow"/>
        <family val="2"/>
        <scheme val="minor"/>
      </rPr>
      <t>La vendedora alcanza una tasa de conversión a citas del 18,75 %, ubicándose claramente en nivel Óptimo y superando con amplitud el estándar esperado.
Este resultado evidencia:
✔ Alta efectividad en el primer contacto.
✔ Buena argumentación comercial.
✔ Capacidad de generar interés inicial.
✔ Oportunidad en la atención cuando el lead es gestionado.
El indicador demuestra que cuando la vendedora gestiona el lead, logra movilizarlo hacia la siguiente etapa del embudo con una probabilidad superior al promedio esperado. Aquí se confirma un patrón importante:
Gestión total de leads: Baja (62 %)
Conversión a citas: Alta (18,75 %)
Esto indica que la capacidad comercial está presente, pero el volumen gestionado es insuficiente.
Si la gestión subiera al 90 % manteniendo esta tasa del 18,75 %, el volumen de citas aumentaría de manera significativa sin necesidad de mejorar la técnica de venta.</t>
    </r>
  </si>
  <si>
    <r>
      <rPr>
        <b/>
        <sz val="11"/>
        <color theme="1"/>
        <rFont val="Aptos Narrow"/>
        <family val="2"/>
        <scheme val="minor"/>
      </rPr>
      <t>Conclusiones:</t>
    </r>
    <r>
      <rPr>
        <sz val="11"/>
        <color theme="1"/>
        <rFont val="Aptos Narrow"/>
        <family val="2"/>
        <scheme val="minor"/>
      </rPr>
      <t xml:space="preserve">
La vendedora alcanzó una tasa de conversión a ventas del 35 %, ubicándose ampliamente en nivel Óptimo y demostrando una alta capacidad de cierre en etapa avanzada del embudo.
Este resultado evidencia:
✔ Excelente manejo de objeciones.
✔ Argumentación comercial sólida.
✔ Capacidad persuasiva en sala.
✔ Buena lectura del perfil del cliente.
✔ Efectividad en negociación y cierre.
Cuando el prospecto llega a visita, la probabilidad de cierre es significativamente alta.</t>
    </r>
  </si>
  <si>
    <r>
      <rPr>
        <b/>
        <sz val="11"/>
        <color theme="1"/>
        <rFont val="Aptos Narrow"/>
        <family val="2"/>
        <scheme val="minor"/>
      </rPr>
      <t>Conclusión:</t>
    </r>
    <r>
      <rPr>
        <sz val="11"/>
        <color theme="1"/>
        <rFont val="Aptos Narrow"/>
        <family val="2"/>
        <scheme val="minor"/>
      </rPr>
      <t xml:space="preserve">
Durante el período evaluado, el 37,98 % de los leads asignados no recibió ningún tipo de gestión, lo que significa que casi 4 de cada 10 prospectos quedaron sin contacto.
Este resultado evidencia una falla estructural en cobertura operativa y constituye el principal cuello de botella del proceso comercial.
Implicaciones directas:
❗ Se desaprovecha inversión en generación de leads.
❗ Se reduce artificialmente el flujo hacia citas y visitas.
❗ Se limita el volumen potencial de cierres.
❗ Se compromete el cumplimiento de metas individuales y del equipo.
Este indicador explica por qué, a pesar de tener:
18,75 % de conversión a citas (Óptimo)
35 % de conversión a ventas (Óptimo)
La productividad total no es más alta.
No es un problema de cierre.
Es un problema de cobertura.</t>
    </r>
  </si>
  <si>
    <r>
      <rPr>
        <b/>
        <sz val="11"/>
        <color theme="1"/>
        <rFont val="Aptos Narrow"/>
        <family val="2"/>
        <scheme val="minor"/>
      </rPr>
      <t>Conclusiones</t>
    </r>
    <r>
      <rPr>
        <sz val="11"/>
        <color theme="1"/>
        <rFont val="Aptos Narrow"/>
        <family val="2"/>
        <scheme val="minor"/>
      </rPr>
      <t xml:space="preserve">
La vendedora ejecutó únicamente el 45,13 % de la meta mensual de gestiones, lo que evidencia una actividad comercial significativamente insuficiente.
Esto significa que:
Se dejaron de ejecutar 845 gestiones comerciales (1540 – 695).
No existe intensidad comercial sostenida.
El flujo del embudo depende de pocos casos activos.
Se genera riesgo directo sobre citas y cierres futuros.
Este indicador confirma lo que ya vimos en:
37,98 % de leads no gestionados.
Baja cobertura inicial.
Dependencia de pocos prospectos activos.                                                                                     La capacidad comercial existe (alta conversión y cierre).
El problema es la disciplina operativa diaria y el volumen de actividad.
Mientras la gestión general esté por debajo del 70 %, el cumplimiento de metas será inestable y dependerá de eventos puntuales, no de sistema.
</t>
    </r>
  </si>
  <si>
    <r>
      <rPr>
        <b/>
        <sz val="11"/>
        <color theme="1"/>
        <rFont val="Aptos Narrow"/>
        <family val="2"/>
        <scheme val="minor"/>
      </rPr>
      <t xml:space="preserve">Conclusiones
</t>
    </r>
    <r>
      <rPr>
        <sz val="11"/>
        <color theme="1"/>
        <rFont val="Aptos Narrow"/>
        <family val="2"/>
        <scheme val="minor"/>
      </rPr>
      <t>El tiempo promedio de cierre fue de 7 días, ubicándose ampliamente dentro del rango óptimo establecido.
Este resultado evidencia:
✔ Alta eficiencia en negociación.
✔ Rapidez en toma de decisión del cliente.
✔ Buen manejo de objeciones.
✔ Fluidez contractual y administrativa.
✔ Capacidad de cierre en corto plazo.
Incluso la venta de 41 días no afectó significativamente el promedio general.</t>
    </r>
  </si>
  <si>
    <r>
      <rPr>
        <b/>
        <sz val="11"/>
        <color theme="1"/>
        <rFont val="Aptos Narrow"/>
        <family val="2"/>
        <scheme val="minor"/>
      </rPr>
      <t>Conclusiones</t>
    </r>
    <r>
      <rPr>
        <sz val="11"/>
        <color theme="1"/>
        <rFont val="Aptos Narrow"/>
        <family val="2"/>
        <scheme val="minor"/>
      </rPr>
      <t xml:space="preserve">
La vendedora alcanzó el 50 % de su meta individual, quedando 7 ventas por debajo del objetivo mensual.
Este resultado la ubica en nivel Bajo y confirma incumplimiento del estándar mínimo esperado.
Es importante contextualizar:
Conversión a citas: Óptima (18,75 %)
Conversión a ventas: Óptima (35 %)
Tiempo de cierre: Óptimo (7 días)
Esto demuestra que:
La baja productividad no obedece a falta de capacidad comercial.
Obedece a:
❗ Bajo volumen de gestión (45,13 % de la meta).
❗ 37,98 % de leads no gestionados.
❗ Cobertura operativa insuficiente.</t>
    </r>
  </si>
  <si>
    <r>
      <rPr>
        <b/>
        <sz val="11"/>
        <color theme="1"/>
        <rFont val="Aptos Narrow"/>
        <family val="2"/>
        <scheme val="minor"/>
      </rPr>
      <t>Conclusiones</t>
    </r>
    <r>
      <rPr>
        <sz val="11"/>
        <color theme="1"/>
        <rFont val="Aptos Narrow"/>
        <family val="2"/>
        <scheme val="minor"/>
      </rPr>
      <t xml:space="preserve">
El 9,21 % de las gestiones presentan seguimiento bajo (menos de 6 notas), ubicando el indicador en nivel Óptimo.
Este resultado evidencia:
✔ Constancia en el seguimiento de los prospectos activos.
✔ Buena trazabilidad en CRM.
✔ Disciplina en el registro de actividades.
✔ Profundidad adecuada en el acompañamiento comercial.
Es importante resaltar algo estratégico:
Aunque la cobertura total de leads es baja (62 % gestionados) y la gestión general es insuficiente (45,13 %), los leads que sí se trabajan, se trabajan bien.
Esto confirma nuevamente el patrón:
La calidad de gestión es buena.
El problema es la cantidad de gestión.</t>
    </r>
  </si>
  <si>
    <t>Vendidos: 117</t>
  </si>
  <si>
    <t>Faltan 62 firmas</t>
  </si>
  <si>
    <t>CIERRE DICIEMBRE 2025 - ENERO 2026</t>
  </si>
  <si>
    <t>Diciembre-Enero</t>
  </si>
  <si>
    <t>Suma de Diciembre-Enero</t>
  </si>
  <si>
    <t>RESULTADO 02/2026</t>
  </si>
  <si>
    <t>CALIFICACIÓN FEBRERO</t>
  </si>
  <si>
    <t>Invertido Febrero</t>
  </si>
  <si>
    <t>CPL Febrero</t>
  </si>
  <si>
    <t>Prueba</t>
  </si>
  <si>
    <t>Castigo Datacredito</t>
  </si>
  <si>
    <t>De 1409 Leads, se perdieron 188 en total. 👉 Resultado: 13,3 % de leads perdidos
👉 Leads  calificados: 86 %</t>
  </si>
  <si>
    <t>Febrero: El equipo permanece igual</t>
  </si>
  <si>
    <t xml:space="preserve">Natalia </t>
  </si>
  <si>
    <t>Viernes mes Febrero</t>
  </si>
  <si>
    <t>FEBRERO</t>
  </si>
  <si>
    <t>RESULTADO Feb/2026</t>
  </si>
  <si>
    <t>2 ventas en el período</t>
  </si>
  <si>
    <t>Revisar encuestas</t>
  </si>
  <si>
    <t>Gestión Otrosí</t>
  </si>
  <si>
    <t>Gestión Promesas</t>
  </si>
  <si>
    <t>Bonos: 2+1</t>
  </si>
  <si>
    <t>Carpetas completas</t>
  </si>
  <si>
    <t>7 completos y 8 en proceso</t>
  </si>
  <si>
    <t>Proceso interno comercial</t>
  </si>
  <si>
    <t>Completados: 0; en proceso 11</t>
  </si>
  <si>
    <t>Sin usuario en Fiducia</t>
  </si>
  <si>
    <t>Parqueadero</t>
  </si>
  <si>
    <t>Vendidos: 1</t>
  </si>
  <si>
    <t>Faltan 1 carpeta</t>
  </si>
  <si>
    <t>Logrados en vinculación= 4; 16 en proceso</t>
  </si>
  <si>
    <r>
      <rPr>
        <b/>
        <sz val="11"/>
        <color theme="1"/>
        <rFont val="Aptos Narrow"/>
        <family val="2"/>
        <scheme val="minor"/>
      </rPr>
      <t>Conclusión:</t>
    </r>
    <r>
      <rPr>
        <sz val="11"/>
        <color theme="1"/>
        <rFont val="Aptos Narrow"/>
        <family val="2"/>
        <scheme val="minor"/>
      </rPr>
      <t xml:space="preserve">
La gestión de leads alcanzó un 97%, manteniéndose en nivel optimo.
Esto significa que el 3 % de los leads asignados no fueron gestionados.</t>
    </r>
  </si>
  <si>
    <r>
      <rPr>
        <b/>
        <sz val="11"/>
        <color theme="1"/>
        <rFont val="Aptos Narrow"/>
        <family val="2"/>
        <scheme val="minor"/>
      </rPr>
      <t>Conclusión:</t>
    </r>
    <r>
      <rPr>
        <sz val="11"/>
        <color theme="1"/>
        <rFont val="Aptos Narrow"/>
        <family val="2"/>
        <scheme val="minor"/>
      </rPr>
      <t xml:space="preserve">
La tasa de conversión a citas fue de 34,31 %, ubicándose en nivel Optimo.</t>
    </r>
  </si>
  <si>
    <r>
      <rPr>
        <b/>
        <sz val="11"/>
        <color theme="1"/>
        <rFont val="Aptos Narrow"/>
        <family val="2"/>
        <scheme val="minor"/>
      </rPr>
      <t>Conclusión:</t>
    </r>
    <r>
      <rPr>
        <sz val="11"/>
        <color theme="1"/>
        <rFont val="Aptos Narrow"/>
        <family val="2"/>
        <scheme val="minor"/>
      </rPr>
      <t xml:space="preserve">
La tasa de conversión a visitas fue de140 %, superando ampliamente el rango esperado (30 %–50 %), ubicándose en nivel Óptimo.
Este resultado demuestra:
✔ Excelente confirmación de citas.
✔ Seguimiento efectivo.
✔ Buena gestión de recordatorios.
✔ Alto compromiso del prospecto una vez agenda.
Cuando el cliente acepta una cita, casi siempre asiste. Esto evidencia que el cuello de botella se halla en la etapa media del embudo, entre los Leads Asignados y los Gestionados. </t>
    </r>
  </si>
  <si>
    <r>
      <rPr>
        <b/>
        <sz val="11"/>
        <color theme="1"/>
        <rFont val="Aptos Narrow"/>
        <family val="2"/>
        <scheme val="minor"/>
      </rPr>
      <t>Conclusión:</t>
    </r>
    <r>
      <rPr>
        <sz val="11"/>
        <color theme="1"/>
        <rFont val="Aptos Narrow"/>
        <family val="2"/>
        <scheme val="minor"/>
      </rPr>
      <t xml:space="preserve">
Durante el periodo evaluado se registraron 35 citas agendadas, con una tasa de conversión a citas del 34,31 %, lo que evidencia una capacidad aceptable del equipo para generar interés inicial en los clientes. Asimismo, se lograron 49 visitas efectivas, alcanzando una tasa de conversión a visitas del 140 %, lo cual indica una gestión activa en la materialización de las reuniones comerciales.
No obstante, no se concretaron ventas durante el periodo, generando una tasa de conversión a ventas del 0 %, resultado que se ubica en nivel bajo según la escala de evaluación (&lt;5 %) y, por lo tanto, no cumple con la meta establecida.
Este resultado evidencia que, aunque el proceso comercial logra avanzar en las etapas iniciales del embudo (citas y visitas), existe una debilidad en la fase de cierre de ventas, por lo que se recomienda revisar las estrategias de negociación, seguimiento a prospectos y propuestas comerciales, con el fin de mejorar la efectividad en la conversión final a ventas.</t>
    </r>
  </si>
  <si>
    <r>
      <rPr>
        <b/>
        <sz val="11"/>
        <color theme="1"/>
        <rFont val="Aptos Narrow"/>
        <family val="2"/>
        <scheme val="minor"/>
      </rPr>
      <t>Conclusión:</t>
    </r>
    <r>
      <rPr>
        <sz val="11"/>
        <color theme="1"/>
        <rFont val="Aptos Narrow"/>
        <family val="2"/>
        <scheme val="minor"/>
      </rPr>
      <t xml:space="preserve">
Durante el período evaluado, el 3% de los leads asignados no recibieron ningún tipo de gestión.</t>
    </r>
  </si>
  <si>
    <r>
      <rPr>
        <b/>
        <sz val="11"/>
        <color theme="1"/>
        <rFont val="Aptos Narrow"/>
        <family val="2"/>
        <scheme val="minor"/>
      </rPr>
      <t>Conclusión:</t>
    </r>
    <r>
      <rPr>
        <sz val="11"/>
        <color theme="1"/>
        <rFont val="Aptos Narrow"/>
        <family val="2"/>
        <scheme val="minor"/>
      </rPr>
      <t xml:space="preserve">
La gestión general alcanzó únicamente el 65,32 % de la meta mensual establecida, ubicándose en nivel Bajo y evidenciando una brecha estructural en intensidad comercial. Este resultado confirma que:
La actividad diaria no es suficiente para sostener metas de cierre ambiciosas.
Existe baja cobertura de seguimiento continuo.
La gestión se concentra en algunos prospectos, pero no se mantiene un flujo constante de interacción. Aquí se confirma el patrón completo del embudo:
Conversión a visitas: Excelente.
Conversión a ventas: Excelente.
Gestión total de actividad: Insuficiente.
La vendedora no está perdiendo por falta de habilidad. Está perdiendo por falta de volumen operativo. Mientras la gestión general esté por debajo del 70 %, el cumplimiento de metas dependerá de pocos casos exitosos y no de un flujo sostenible. Con 1.680 gestiones esperadas y solo 827 realizadas: Se dejaron de ejecutar 853 interacciones comerciales. Eso impacta directamente citas, visitas y cierres futuros. Se genera dependencia de un número reducido de oportunidades.</t>
    </r>
  </si>
  <si>
    <r>
      <rPr>
        <b/>
        <sz val="11"/>
        <color theme="1"/>
        <rFont val="Aptos Narrow"/>
        <family val="2"/>
        <scheme val="minor"/>
      </rPr>
      <t>Conclusión:</t>
    </r>
    <r>
      <rPr>
        <sz val="11"/>
        <color theme="1"/>
        <rFont val="Aptos Narrow"/>
        <family val="2"/>
        <scheme val="minor"/>
      </rPr>
      <t xml:space="preserve">
No se reportaron cierres en el periodo. No hay cumplimiento de la meta</t>
    </r>
  </si>
  <si>
    <r>
      <rPr>
        <b/>
        <sz val="11"/>
        <color theme="1"/>
        <rFont val="Aptos Narrow"/>
        <family val="2"/>
        <scheme val="minor"/>
      </rPr>
      <t>Conclusiones</t>
    </r>
    <r>
      <rPr>
        <sz val="11"/>
        <color theme="1"/>
        <rFont val="Aptos Narrow"/>
        <family val="2"/>
        <scheme val="minor"/>
      </rPr>
      <t xml:space="preserve">
No se reportaron cierres en el periodo. No hay cumplimiento de la meta</t>
    </r>
  </si>
  <si>
    <r>
      <rPr>
        <b/>
        <sz val="11"/>
        <color theme="1"/>
        <rFont val="Aptos Narrow"/>
        <family val="2"/>
        <scheme val="minor"/>
      </rPr>
      <t>Conclusiones</t>
    </r>
    <r>
      <rPr>
        <sz val="11"/>
        <color theme="1"/>
        <rFont val="Aptos Narrow"/>
        <family val="2"/>
        <scheme val="minor"/>
      </rPr>
      <t xml:space="preserve">
El porcentaje de gestión baja se ubica en 2,4 %, muy por debajo del límite máximo permitido (10 %), clasificándose en nivel Óptimo.
Esto evidencia:
✔ Seguimiento profundo y consistente.
✔ Buen registro en CRM.
✔ Constancia en el acompañamiento del prospecto.
✔ Disciplina en documentación de actividades.</t>
    </r>
  </si>
  <si>
    <t>Meta: 2 al mes</t>
  </si>
  <si>
    <t>Se cumple la meta al 50%</t>
  </si>
  <si>
    <r>
      <rPr>
        <b/>
        <sz val="11"/>
        <color theme="1"/>
        <rFont val="Aptos Narrow"/>
        <family val="2"/>
        <scheme val="minor"/>
      </rPr>
      <t>Análisis:</t>
    </r>
    <r>
      <rPr>
        <sz val="11"/>
        <color theme="1"/>
        <rFont val="Aptos Narrow"/>
        <family val="2"/>
        <scheme val="minor"/>
      </rPr>
      <t xml:space="preserve">
Durante el mes evaluado, se logró un cumplimiento del 50 % de la meta de ventas, con 5 cierres frente a una meta proyectada de 10 unidades (la meta baja este mes debido a la estacionalidad del mes de febrero). Aunque se mantiene una actividad comercial constante, el resultado refleja una brecha del  50 % frente al objetivo mensual. Las causas pueden estar relacionadas con la alta tasa de leads no contactados y la disminución en la participación de mercado observada en el mismo periodo.
</t>
    </r>
    <r>
      <rPr>
        <b/>
        <sz val="11"/>
        <color theme="1"/>
        <rFont val="Aptos Narrow"/>
        <family val="2"/>
        <scheme val="minor"/>
      </rPr>
      <t>Conclusión:</t>
    </r>
    <r>
      <rPr>
        <sz val="11"/>
        <color theme="1"/>
        <rFont val="Aptos Narrow"/>
        <family val="2"/>
        <scheme val="minor"/>
      </rPr>
      <t xml:space="preserve">
El indicador se ubica en nivel en riesgo, evidenciando la necesidad de fortalecer la conversión de leads gestionados en cierres efectivos y de reforzar las estrategias comerciales para los próximos meses.
</t>
    </r>
    <r>
      <rPr>
        <b/>
        <sz val="11"/>
        <color theme="1"/>
        <rFont val="Aptos Narrow"/>
        <family val="2"/>
        <scheme val="minor"/>
      </rPr>
      <t>Plan de acción / Meta:</t>
    </r>
    <r>
      <rPr>
        <sz val="11"/>
        <color theme="1"/>
        <rFont val="Aptos Narrow"/>
        <family val="2"/>
        <scheme val="minor"/>
      </rPr>
      <t xml:space="preserve">
Aumentar el cumplimiento al 100 % para el siguiente mes (20 cierres).
Implementar seguimiento reforzado a leads calientes y en negociación.
Revisar estrategias de oferta y beneficios para acelerar decisiones de compra.</t>
    </r>
  </si>
  <si>
    <r>
      <rPr>
        <b/>
        <sz val="11"/>
        <color theme="1"/>
        <rFont val="Aptos Narrow"/>
        <family val="2"/>
        <scheme val="minor"/>
      </rPr>
      <t>Conclusión:</t>
    </r>
    <r>
      <rPr>
        <sz val="11"/>
        <color theme="1"/>
        <rFont val="Aptos Narrow"/>
        <family val="2"/>
        <scheme val="minor"/>
      </rPr>
      <t xml:space="preserve">
Aunque el presupuesto total del mes fue ejecutado de manera óptima, se evidencia una distribución desigual entre los canales, donde algunos medios absorbieron mayor inversión para compensar la menor ejecución en Google Ads.
</t>
    </r>
    <r>
      <rPr>
        <b/>
        <sz val="11"/>
        <color theme="1"/>
        <rFont val="Aptos Narrow"/>
        <family val="2"/>
        <scheme val="minor"/>
      </rPr>
      <t>Plan de acción / Meta:</t>
    </r>
    <r>
      <rPr>
        <sz val="11"/>
        <color theme="1"/>
        <rFont val="Aptos Narrow"/>
        <family val="2"/>
        <scheme val="minor"/>
      </rPr>
      <t xml:space="preserve">
Se recomienda optimizar la planificación y distribución del presupuesto entre canales publicitarios, asegurando que Google Ads alcance una ejecución cercana al 90–100 %, maximizando así el potencial de alcance, generación de tráfico y conversión de la estrategia digital.</t>
    </r>
  </si>
  <si>
    <r>
      <rPr>
        <b/>
        <sz val="11"/>
        <color theme="1"/>
        <rFont val="Aptos Narrow"/>
        <family val="2"/>
        <scheme val="minor"/>
      </rPr>
      <t>Mejora significativa en la eficiencia de las campañas</t>
    </r>
    <r>
      <rPr>
        <sz val="11"/>
        <color theme="1"/>
        <rFont val="Aptos Narrow"/>
        <family val="2"/>
        <scheme val="minor"/>
      </rPr>
      <t xml:space="preserve">
Durante el mes de febrero, el Costo por Lead (CPL) se ubicó en $1.030, lo que representa una mejora sustancial frente a enero, donde el CPL fue de $4.007. Esta reducción evidencia una optimización importante en la eficiencia de las campañas digitales, logrando generar leads calificados con una inversión considerablemente menor por contacto.
</t>
    </r>
    <r>
      <rPr>
        <b/>
        <sz val="11"/>
        <color theme="1"/>
        <rFont val="Aptos Narrow"/>
        <family val="2"/>
        <scheme val="minor"/>
      </rPr>
      <t>Nivel de desempeño del indicador</t>
    </r>
    <r>
      <rPr>
        <sz val="11"/>
        <color theme="1"/>
        <rFont val="Aptos Narrow"/>
        <family val="2"/>
        <scheme val="minor"/>
      </rPr>
      <t xml:space="preserve">
El resultado obtenido en febrero se clasifica en nivel 🟢 Óptimo, al encontrarse muy por debajo del umbral de $3.000 establecido como meta de eficiencia sobresaliente. Esto indica que las estrategias de segmentación, pauta y optimización de campañas están generando un alto rendimiento en la captación de prospectos.
</t>
    </r>
    <r>
      <rPr>
        <b/>
        <sz val="11"/>
        <color theme="1"/>
        <rFont val="Aptos Narrow"/>
        <family val="2"/>
        <scheme val="minor"/>
      </rPr>
      <t>Impacto en la estrategia de marketing</t>
    </r>
    <r>
      <rPr>
        <sz val="11"/>
        <color theme="1"/>
        <rFont val="Aptos Narrow"/>
        <family val="2"/>
        <scheme val="minor"/>
      </rPr>
      <t xml:space="preserve">
La disminución del CPL implica que con el mismo presupuesto es posible captar un mayor número de leads, lo que mejora el retorno potencial de la inversión publicitaria y fortalece el embudo comercial.
</t>
    </r>
    <r>
      <rPr>
        <b/>
        <sz val="11"/>
        <color theme="1"/>
        <rFont val="Aptos Narrow"/>
        <family val="2"/>
        <scheme val="minor"/>
      </rPr>
      <t>Recomendación estratégica</t>
    </r>
    <r>
      <rPr>
        <sz val="11"/>
        <color theme="1"/>
        <rFont val="Aptos Narrow"/>
        <family val="2"/>
        <scheme val="minor"/>
      </rPr>
      <t xml:space="preserve">
Se recomienda analizar y documentar las campañas, audiencias y formatos que generaron el mejor desempeño en febrero, con el fin de replicar y escalar estas estrategias en los próximos meses, manteniendo el CPL dentro del rango óptimo y asegurando la sostenibilidad del rendimiento.</t>
    </r>
  </si>
  <si>
    <r>
      <rPr>
        <b/>
        <sz val="11"/>
        <color theme="1"/>
        <rFont val="Aptos Narrow"/>
        <family val="2"/>
        <scheme val="minor"/>
      </rPr>
      <t>Conclusión:</t>
    </r>
    <r>
      <rPr>
        <sz val="11"/>
        <color theme="1"/>
        <rFont val="Aptos Narrow"/>
        <family val="2"/>
        <scheme val="minor"/>
      </rPr>
      <t xml:space="preserve">
El volumen de leads alcanzado refleja que las campañas digitales están logrando una captación efectiva de potenciales clientes, lo cual se alinea con el buen desempeño observado en el Costo por Lead (CPL) del mismo mes. Aunque la meta no se alcanzó en su totalidad, la brecha es mínima (91 leads), lo que indica que la estrategia digital se encuentra bien encaminada y con capacidad de alcanzar o superar la meta en los próximos periodos mediante pequeños ajustes en la pauta o ampliación de alcance.                                                           </t>
    </r>
    <r>
      <rPr>
        <b/>
        <sz val="11"/>
        <color theme="1"/>
        <rFont val="Aptos Narrow"/>
        <family val="2"/>
        <scheme val="minor"/>
      </rPr>
      <t>Plan de acción:</t>
    </r>
    <r>
      <rPr>
        <sz val="11"/>
        <color theme="1"/>
        <rFont val="Aptos Narrow"/>
        <family val="2"/>
        <scheme val="minor"/>
      </rPr>
      <t xml:space="preserve">
Se recomienda fortalecer las campañas con mejor rendimiento y optimizar las audiencias que presentaron mayor conversión, con el objetivo de superar la meta mensual de 1.500 leads y consolidar un flujo constante de prospectos para el equipo comercial.</t>
    </r>
  </si>
  <si>
    <r>
      <rPr>
        <b/>
        <sz val="11"/>
        <color theme="1"/>
        <rFont val="Aptos Narrow"/>
        <family val="2"/>
        <scheme val="minor"/>
      </rPr>
      <t>Desempeño sobresaliente en la calidad de los leads</t>
    </r>
    <r>
      <rPr>
        <sz val="11"/>
        <color theme="1"/>
        <rFont val="Aptos Narrow"/>
        <family val="2"/>
        <scheme val="minor"/>
      </rPr>
      <t xml:space="preserve">
Durante el mes de febrero, de un total de 1.409 leads generados, 1.221 fueron clasificados como leads calificados, lo que representa un 87 % de calificación. Este resultado se ubica muy por encima del 40 % establecido como nivel óptimo, evidenciando una alta efectividad en la segmentación y calidad de las campañas digitales.
</t>
    </r>
    <r>
      <rPr>
        <b/>
        <sz val="11"/>
        <color theme="1"/>
        <rFont val="Aptos Narrow"/>
        <family val="2"/>
        <scheme val="minor"/>
      </rPr>
      <t>Mejora significativa frente al periodo anterior</t>
    </r>
    <r>
      <rPr>
        <sz val="11"/>
        <color theme="1"/>
        <rFont val="Aptos Narrow"/>
        <family val="2"/>
        <scheme val="minor"/>
      </rPr>
      <t xml:space="preserve">
En enero se registraron 245 leads calificados, mientras que en febrero la cifra aumentó a 1.221, mostrando un crecimiento considerable tanto en volumen como en calidad de los prospectos obtenidos.
</t>
    </r>
    <r>
      <rPr>
        <b/>
        <sz val="11"/>
        <color theme="1"/>
        <rFont val="Aptos Narrow"/>
        <family val="2"/>
        <scheme val="minor"/>
      </rPr>
      <t>Impacto en el proceso comercial</t>
    </r>
    <r>
      <rPr>
        <sz val="11"/>
        <color theme="1"/>
        <rFont val="Aptos Narrow"/>
        <family val="2"/>
        <scheme val="minor"/>
      </rPr>
      <t xml:space="preserve">
Un porcentaje tan alto de leads calificados indica que la estrategia digital está atrayendo prospectos con mayor afinidad al perfil del cliente objetivo, lo que facilita el trabajo del equipo comercial y aumenta la probabilidad de conversión en ventas.
</t>
    </r>
    <r>
      <rPr>
        <b/>
        <sz val="11"/>
        <color theme="1"/>
        <rFont val="Aptos Narrow"/>
        <family val="2"/>
        <scheme val="minor"/>
      </rPr>
      <t>Recomendación estratégica</t>
    </r>
    <r>
      <rPr>
        <sz val="11"/>
        <color theme="1"/>
        <rFont val="Aptos Narrow"/>
        <family val="2"/>
        <scheme val="minor"/>
      </rPr>
      <t xml:space="preserve">
Se recomienda mantener y escalar las estrategias de segmentación, mensajes publicitarios y canales que están generando este alto nivel de calificación, así como fortalecer la coordinación con el equipo comercial para aprovechar el potencial de conversión de estos leads.</t>
    </r>
  </si>
  <si>
    <r>
      <rPr>
        <b/>
        <sz val="11"/>
        <color theme="1"/>
        <rFont val="Aptos Narrow"/>
        <family val="2"/>
        <scheme val="minor"/>
      </rPr>
      <t xml:space="preserve">6,39 % / 60 % = 10,6 % del cumplimiento esperado                                                                                                                                 Bajo nivel de conversión frente a la meta establecida
</t>
    </r>
    <r>
      <rPr>
        <sz val="11"/>
        <color theme="1"/>
        <rFont val="Aptos Narrow"/>
        <family val="2"/>
        <scheme val="minor"/>
      </rPr>
      <t xml:space="preserve">Durante el mes de febrero, de 1.221 leads calificados, se lograron 78 citas agendadas, lo que representa una tasa de conversión del 6,39 %. Este resultado se ubica en nivel 🔴 Bajo, al encontrarse muy por debajo del rango mínimo esperado del 40 %, lo que evidencia una brecha importante entre la generación de leads calificados y su avance hacia el agendamiento de citas.
</t>
    </r>
    <r>
      <rPr>
        <b/>
        <sz val="11"/>
        <color theme="1"/>
        <rFont val="Aptos Narrow"/>
        <family val="2"/>
        <scheme val="minor"/>
      </rPr>
      <t>Incremento en número absoluto de citas frente a enero</t>
    </r>
    <r>
      <rPr>
        <sz val="11"/>
        <color theme="1"/>
        <rFont val="Aptos Narrow"/>
        <family val="2"/>
        <scheme val="minor"/>
      </rPr>
      <t xml:space="preserve">
En enero se registraron 38 citas, mientras que en febrero se alcanzaron 78, mostrando un crecimiento en el número de citas gestionadas. Sin embargo, este aumento no es proporcional al alto volumen de leads calificados obtenidos, lo que reduce la eficiencia del proceso de conversión.
</t>
    </r>
    <r>
      <rPr>
        <b/>
        <sz val="11"/>
        <color theme="1"/>
        <rFont val="Aptos Narrow"/>
        <family val="2"/>
        <scheme val="minor"/>
      </rPr>
      <t>Posibles factores que afectan la conversión</t>
    </r>
    <r>
      <rPr>
        <sz val="11"/>
        <color theme="1"/>
        <rFont val="Aptos Narrow"/>
        <family val="2"/>
        <scheme val="minor"/>
      </rPr>
      <t xml:space="preserve">
El bajo porcentaje de conversión puede estar asociado a factores como:
Tiempo de respuesta del equipo comercial
Calidad del seguimiento a los leads
Disponibilidad de agenda para citas
Madurez del lead dentro del proceso de decisión
</t>
    </r>
    <r>
      <rPr>
        <b/>
        <sz val="11"/>
        <color theme="1"/>
        <rFont val="Aptos Narrow"/>
        <family val="2"/>
        <scheme val="minor"/>
      </rPr>
      <t>Recomendación estratégica</t>
    </r>
    <r>
      <rPr>
        <sz val="11"/>
        <color theme="1"/>
        <rFont val="Aptos Narrow"/>
        <family val="2"/>
        <scheme val="minor"/>
      </rPr>
      <t xml:space="preserve">
Se recomienda fortalecer el proceso de gestión comercial de leads, implementando acciones como:
contacto inmediato o en menos de 5 minutos después del registro, protocolos claros de seguimiento, automatización de agendamiento, y mejor alineación entre marketing y el equipo comercial.
Optimizar este proceso permitirá aprovechar mejor el alto volumen de leads calificados y aumentar significativamente las oportunidades de cierre de ventas.</t>
    </r>
  </si>
  <si>
    <r>
      <rPr>
        <b/>
        <sz val="11"/>
        <color theme="1"/>
        <rFont val="Aptos Narrow"/>
        <family val="2"/>
        <scheme val="minor"/>
      </rPr>
      <t xml:space="preserve">4,18 % / 30% = 13,9 % del cumplimiento esperado     </t>
    </r>
    <r>
      <rPr>
        <sz val="11"/>
        <color theme="1"/>
        <rFont val="Aptos Narrow"/>
        <family val="2"/>
        <scheme val="minor"/>
      </rPr>
      <t xml:space="preserve">                                                                                                                                           Bajo nivel de conversión frente al objetivo establecido
Durante el mes de febrero, de un total de 1.221 leads calificados, se registraron 51 visitas efectivas, lo que corresponde a una tasa de conversión del 4,18 %. Este resultado se ubica en nivel 🔴 Bajo, al encontrarse por debajo del 15 % mínimo esperado, evidenciando una brecha significativa entre la generación de leads calificados y la materialización de visitas a sala de ventas o recorridos virtuales/presenciales.
</t>
    </r>
    <r>
      <rPr>
        <b/>
        <sz val="11"/>
        <color theme="1"/>
        <rFont val="Aptos Narrow"/>
        <family val="2"/>
        <scheme val="minor"/>
      </rPr>
      <t>Incremento en número absoluto de visitas frente al mes anterior</t>
    </r>
    <r>
      <rPr>
        <sz val="11"/>
        <color theme="1"/>
        <rFont val="Aptos Narrow"/>
        <family val="2"/>
        <scheme val="minor"/>
      </rPr>
      <t xml:space="preserve">
En enero se registraron 22 visitas, mientras que en febrero se alcanzaron 51, mostrando un crecimiento en el número total de visitas gestionadas. Sin embargo, este incremento sigue siendo bajo frente al volumen de leads calificados generados durante el periodo.
</t>
    </r>
    <r>
      <rPr>
        <b/>
        <sz val="11"/>
        <color theme="1"/>
        <rFont val="Aptos Narrow"/>
        <family val="2"/>
        <scheme val="minor"/>
      </rPr>
      <t>Identificación de oportunidad en el proceso comercial</t>
    </r>
    <r>
      <rPr>
        <sz val="11"/>
        <color theme="1"/>
        <rFont val="Aptos Narrow"/>
        <family val="2"/>
        <scheme val="minor"/>
      </rPr>
      <t xml:space="preserve">
El resultado sugiere que el principal reto no se encuentra en la generación de leads ni en su calidad, sino en la etapa de gestión comercial posterior, específicamente en la capacidad de convertir los leads calificados en visitas efectivas.
</t>
    </r>
    <r>
      <rPr>
        <b/>
        <sz val="11"/>
        <color theme="1"/>
        <rFont val="Aptos Narrow"/>
        <family val="2"/>
        <scheme val="minor"/>
      </rPr>
      <t>Recomendación estratégica</t>
    </r>
    <r>
      <rPr>
        <sz val="11"/>
        <color theme="1"/>
        <rFont val="Aptos Narrow"/>
        <family val="2"/>
        <scheme val="minor"/>
      </rPr>
      <t xml:space="preserve">
Se recomienda fortalecer las estrategias de seguimiento y agendamiento, implementando acciones como:
contacto inmediato con los leads calificados, confirmación previa de citas, incentivos o experiencias atractivas para asistir a la sala de ventas, y mejor integración entre marketing y el equipo comercial.
Optimizar esta etapa permitirá incrementar la tasa de visitas y aprovechar de manera más efectiva el alto volumen de leads generados por las campañas digitales.</t>
    </r>
  </si>
  <si>
    <r>
      <t xml:space="preserve">Cumplimiento del rango óptimo de conversión
Durante el mes evaluado se registraron 51 visitas y 4 ventas digitales confirmadas, lo que representa una tasa de conversión del 7,84 %. Este resultado se clasifica en nivel 🟢 Óptimo, al ubicarse dentro del rango establecido de 3 % a 8 %, evidenciando un buen desempeño del proceso comercial en la etapa final del embudo de ventas.
</t>
    </r>
    <r>
      <rPr>
        <b/>
        <sz val="11"/>
        <color theme="1"/>
        <rFont val="Aptos Narrow"/>
        <family val="2"/>
        <scheme val="minor"/>
      </rPr>
      <t>Efectividad en el cierre de oportunidades</t>
    </r>
    <r>
      <rPr>
        <sz val="11"/>
        <color theme="1"/>
        <rFont val="Aptos Narrow"/>
        <family val="2"/>
        <scheme val="minor"/>
      </rPr>
      <t xml:space="preserve">
El indicador demuestra que cuando los prospectos llegan a la etapa de visita, existe una alta probabilidad de conversión a venta, lo que refleja una adecuada gestión comercial, argumentación de valor y acompañamiento al cliente durante el proceso de decisión.
</t>
    </r>
    <r>
      <rPr>
        <b/>
        <sz val="11"/>
        <color theme="1"/>
        <rFont val="Aptos Narrow"/>
        <family val="2"/>
        <scheme val="minor"/>
      </rPr>
      <t>Coherencia con el embudo comercial</t>
    </r>
    <r>
      <rPr>
        <sz val="11"/>
        <color theme="1"/>
        <rFont val="Aptos Narrow"/>
        <family val="2"/>
        <scheme val="minor"/>
      </rPr>
      <t xml:space="preserve">
Aunque el número total de ventas es relativamente bajo en términos absolutos, el porcentaje de conversión es positivo, lo que sugiere que la principal oportunidad de mejora no se encuentra en el cierre de ventas, sino en aumentar el volumen de visitas efectivas dentro del embudo comercial.
Recomendación estratégica
Se recomienda fortalecer las etapas intermedias del embudo comercial (conversión a citas y visitas), ya que al incrementar el número de visitas efectivas se podría escalar proporcionalmente el número de ventas, manteniendo el buen desempeño actual en el cierre.</t>
    </r>
  </si>
  <si>
    <r>
      <rPr>
        <b/>
        <sz val="11"/>
        <color theme="1"/>
        <rFont val="Aptos Narrow"/>
        <family val="2"/>
        <scheme val="minor"/>
      </rPr>
      <t xml:space="preserve">0,28% / 3% = 9,3 % del cumplimiento esperado      </t>
    </r>
    <r>
      <rPr>
        <sz val="11"/>
        <color theme="1"/>
        <rFont val="Aptos Narrow"/>
        <family val="2"/>
        <scheme val="minor"/>
      </rPr>
      <t xml:space="preserve">                                                                                                                                                     </t>
    </r>
    <r>
      <rPr>
        <b/>
        <sz val="11"/>
        <color theme="1"/>
        <rFont val="Aptos Narrow"/>
        <family val="2"/>
        <scheme val="minor"/>
      </rPr>
      <t>Bajo nivel de conversión global del embudo comercial</t>
    </r>
    <r>
      <rPr>
        <sz val="11"/>
        <color theme="1"/>
        <rFont val="Aptos Narrow"/>
        <family val="2"/>
        <scheme val="minor"/>
      </rPr>
      <t xml:space="preserve">
Durante el mes de febrero se generaron 1.409 leads y se concretaron 4 ventas digitales, lo que corresponde a una tasa de conversión global del 0,28 %. Este resultado se clasifica en nivel 🔴 Bajo, al encontrarse muy por debajo del rango esperado del 3 % al 8 % establecido como meta de desempeño.
</t>
    </r>
    <r>
      <rPr>
        <b/>
        <sz val="11"/>
        <color theme="1"/>
        <rFont val="Aptos Narrow"/>
        <family val="2"/>
        <scheme val="minor"/>
      </rPr>
      <t>Desaprovechamiento del alto volumen de leads generados</t>
    </r>
    <r>
      <rPr>
        <sz val="11"/>
        <color theme="1"/>
        <rFont val="Aptos Narrow"/>
        <family val="2"/>
        <scheme val="minor"/>
      </rPr>
      <t xml:space="preserve">
A pesar de que las campañas digitales lograron un alto volumen de leads y una excelente calidad de prospectos (87 % calificados), el resultado final en ventas evidencia una pérdida significativa de oportunidades a lo largo del embudo comercial.
</t>
    </r>
    <r>
      <rPr>
        <b/>
        <sz val="11"/>
        <color theme="1"/>
        <rFont val="Aptos Narrow"/>
        <family val="2"/>
        <scheme val="minor"/>
      </rPr>
      <t>Identificación del punto crítico del proceso</t>
    </r>
    <r>
      <rPr>
        <sz val="11"/>
        <color theme="1"/>
        <rFont val="Aptos Narrow"/>
        <family val="2"/>
        <scheme val="minor"/>
      </rPr>
      <t xml:space="preserve">
El análisis de los indicadores muestra que el cierre de ventas tiene un buen desempeño cuando se logra llevar al cliente a la etapa de visita, pero existe una caída considerable en las etapas intermedias del embudo, especialmente en:
Conversión de leads a citas
Conversión de leads a visitas
Esto reduce considerablemente el potencial de ventas final.
</t>
    </r>
    <r>
      <rPr>
        <b/>
        <sz val="11"/>
        <color theme="1"/>
        <rFont val="Aptos Narrow"/>
        <family val="2"/>
        <scheme val="minor"/>
      </rPr>
      <t>Recomendación estratégica</t>
    </r>
    <r>
      <rPr>
        <sz val="11"/>
        <color theme="1"/>
        <rFont val="Aptos Narrow"/>
        <family val="2"/>
        <scheme val="minor"/>
      </rPr>
      <t xml:space="preserve">
Se recomienda fortalecer la gestión comercial en las etapas iniciales y medias del proceso, implementando acciones como: contacto más rápido con los leads generados, protocolos claros de seguimiento, automatización de agendamiento de citas, y mayor articulación entre marketing y el equipo comercial.
Mejorar estas etapas permitirá aprovechar de manera más efectiva el alto volumen de leads generados y aumentar la tasa de conversión global de ventas.</t>
    </r>
  </si>
  <si>
    <r>
      <rPr>
        <b/>
        <sz val="11"/>
        <color theme="1"/>
        <rFont val="Aptos Narrow"/>
        <family val="2"/>
        <scheme val="minor"/>
      </rPr>
      <t>Alta contribución de los canales digitales en las ventas</t>
    </r>
    <r>
      <rPr>
        <sz val="11"/>
        <color theme="1"/>
        <rFont val="Aptos Narrow"/>
        <family val="2"/>
        <scheme val="minor"/>
      </rPr>
      <t xml:space="preserve">
Durante el periodo evaluado se registraron 5 ventas totales, de las cuales 4 se originaron a partir de canales digitales, lo que representa una participación del 80 % de las ventas provenientes de estrategias digitales.
</t>
    </r>
    <r>
      <rPr>
        <b/>
        <sz val="11"/>
        <color theme="1"/>
        <rFont val="Aptos Narrow"/>
        <family val="2"/>
        <scheme val="minor"/>
      </rPr>
      <t>Cumplimiento en nivel óptimo</t>
    </r>
    <r>
      <rPr>
        <sz val="11"/>
        <color theme="1"/>
        <rFont val="Aptos Narrow"/>
        <family val="2"/>
        <scheme val="minor"/>
      </rPr>
      <t xml:space="preserve">
El resultado se clasifica en nivel 🟢 Óptimo, al superar ampliamente el 50 % establecido como referencia de alta participación digital. Esto evidencia que las campañas digitales, redes sociales y formularios web están siendo una fuente clave de generación de oportunidades comerciales y cierres de ventas.
</t>
    </r>
    <r>
      <rPr>
        <b/>
        <sz val="11"/>
        <color theme="1"/>
        <rFont val="Aptos Narrow"/>
        <family val="2"/>
        <scheme val="minor"/>
      </rPr>
      <t>Importancia estratégica del canal digital</t>
    </r>
    <r>
      <rPr>
        <sz val="11"/>
        <color theme="1"/>
        <rFont val="Aptos Narrow"/>
        <family val="2"/>
        <scheme val="minor"/>
      </rPr>
      <t xml:space="preserve">
El indicador confirma que el ecosistema digital se ha consolidado como el principal canal de origen de las ventas del proyecto, aportando la mayoría de los cierres comerciales durante el periodo analizado.
</t>
    </r>
    <r>
      <rPr>
        <b/>
        <sz val="11"/>
        <color theme="1"/>
        <rFont val="Aptos Narrow"/>
        <family val="2"/>
        <scheme val="minor"/>
      </rPr>
      <t>Recomendación estratégica</t>
    </r>
    <r>
      <rPr>
        <sz val="11"/>
        <color theme="1"/>
        <rFont val="Aptos Narrow"/>
        <family val="2"/>
        <scheme val="minor"/>
      </rPr>
      <t xml:space="preserve">
Se recomienda mantener y fortalecer la inversión y optimización de las estrategias digitales, aprovechando su alto impacto en la generación de ventas. Asimismo, se sugiere seguir integrando los canales digitales con el proceso comercial y el CRM, para continuar potenciando su aporte en los resultados generales del proyecto.</t>
    </r>
  </si>
  <si>
    <r>
      <rPr>
        <b/>
        <sz val="11"/>
        <color theme="1"/>
        <rFont val="Aptos Narrow"/>
        <family val="2"/>
        <scheme val="minor"/>
      </rPr>
      <t>Nivel bajo de contacto con los leads generados</t>
    </r>
    <r>
      <rPr>
        <sz val="11"/>
        <color theme="1"/>
        <rFont val="Aptos Narrow"/>
        <family val="2"/>
        <scheme val="minor"/>
      </rPr>
      <t xml:space="preserve">
Durante el periodo evaluado se registraron 1.409 leads totales, de los cuales 811 fueron gestionados o contactados, lo que representa una tasa de contacto inicial del 57,6 %. Este resultado se clasifica en nivel 🔴 Bajo, al encontrarse por debajo del 70 % establecido como mínimo esperado.
</t>
    </r>
    <r>
      <rPr>
        <b/>
        <sz val="11"/>
        <color theme="1"/>
        <rFont val="Aptos Narrow"/>
        <family val="2"/>
        <scheme val="minor"/>
      </rPr>
      <t>Acumulación significativa de leads sin gestión</t>
    </r>
    <r>
      <rPr>
        <sz val="11"/>
        <color theme="1"/>
        <rFont val="Aptos Narrow"/>
        <family val="2"/>
        <scheme val="minor"/>
      </rPr>
      <t xml:space="preserve">
Se identifican 598 leads pendientes por gestión, lo que evidencia una brecha importante en la capacidad de respuesta del equipo comercial frente al volumen de prospectos generados por las campañas digitales.
</t>
    </r>
    <r>
      <rPr>
        <b/>
        <sz val="11"/>
        <color theme="1"/>
        <rFont val="Aptos Narrow"/>
        <family val="2"/>
        <scheme val="minor"/>
      </rPr>
      <t>Impacto en el desempeño del embudo comercial</t>
    </r>
    <r>
      <rPr>
        <sz val="11"/>
        <color theme="1"/>
        <rFont val="Aptos Narrow"/>
        <family val="2"/>
        <scheme val="minor"/>
      </rPr>
      <t xml:space="preserve">
El bajo nivel de contacto inicial afecta directamente las etapas posteriores del embudo comercial, ya que un número considerable de prospectos no alcanza a ser calificado, agendado o convertido en visita, reduciendo así el potencial de ventas.
</t>
    </r>
    <r>
      <rPr>
        <b/>
        <sz val="11"/>
        <color theme="1"/>
        <rFont val="Aptos Narrow"/>
        <family val="2"/>
        <scheme val="minor"/>
      </rPr>
      <t>Recomendación estratégica</t>
    </r>
    <r>
      <rPr>
        <sz val="11"/>
        <color theme="1"/>
        <rFont val="Aptos Narrow"/>
        <family val="2"/>
        <scheme val="minor"/>
      </rPr>
      <t xml:space="preserve">
Se recomienda fortalecer la capacidad operativa del equipo comercial para la gestión de leads, implementando acciones como: contacto inmediato o en los primeros minutos después del registro,
automatización de notificaciones y asignación de leads, protocolos claros de seguimiento, y ampliación de la capacidad de atención en momentos de alto volumen de leads.
Optimizar este indicador permitirá aprovechar mejor el esfuerzo de generación de leads realizado por marketing y mejorar el desempeño general del embudo de conversión.</t>
    </r>
  </si>
  <si>
    <r>
      <rPr>
        <b/>
        <sz val="11"/>
        <color theme="1"/>
        <rFont val="Aptos Narrow"/>
        <family val="2"/>
        <scheme val="minor"/>
      </rPr>
      <t>Nivel excelente de control en la pérdida de leads</t>
    </r>
    <r>
      <rPr>
        <sz val="11"/>
        <color theme="1"/>
        <rFont val="Aptos Narrow"/>
        <family val="2"/>
        <scheme val="minor"/>
      </rPr>
      <t xml:space="preserve">
Durante el periodo evaluado se registraron 1.409 leads generados, de los cuales 188 se clasificaron como leads perdidos, lo que representa una tasa de pérdida del 13,3 %. Este resultado se ubica en nivel 🟢 Excelente, al encontrarse dentro del rango 0 % – 30 %, lo que refleja una gestión comercial adecuada y una buena trazabilidad del proceso de seguimiento.
</t>
    </r>
    <r>
      <rPr>
        <b/>
        <sz val="11"/>
        <color theme="1"/>
        <rFont val="Aptos Narrow"/>
        <family val="2"/>
        <scheme val="minor"/>
      </rPr>
      <t>Alta calidad en los leads generados</t>
    </r>
    <r>
      <rPr>
        <sz val="11"/>
        <color theme="1"/>
        <rFont val="Aptos Narrow"/>
        <family val="2"/>
        <scheme val="minor"/>
      </rPr>
      <t xml:space="preserve">
El análisis evidencia que el 86 % de los leads fueron calificados, lo que confirma que las estrategias de captación digital están atrayendo prospectos alineados con el perfil del cliente objetivo.
</t>
    </r>
    <r>
      <rPr>
        <b/>
        <sz val="11"/>
        <color theme="1"/>
        <rFont val="Aptos Narrow"/>
        <family val="2"/>
        <scheme val="minor"/>
      </rPr>
      <t>Principales causas de pérdida identificadas</t>
    </r>
    <r>
      <rPr>
        <sz val="11"/>
        <color theme="1"/>
        <rFont val="Aptos Narrow"/>
        <family val="2"/>
        <scheme val="minor"/>
      </rPr>
      <t xml:space="preserve">
Las principales razones de pérdida de leads se concentran en:
No contesta seguimiento: 62 casos (33 %)
Reportes en centrales de riesgo: 29 casos (15,4 %)
Duplicados: 20 casos (10,6 %)
Aplaza compra: 17 casos (9 %)
Clientes inconformes (“furioso”): 17 casos (9 %)
Limitaciones de presupuesto: 12 casos (6,4 %)
Estos factores evidencian que una parte importante de las pérdidas se relaciona con dificultades de contacto o con condiciones financieras del prospecto, más que con la calidad del producto o la estrategia de marketing.
</t>
    </r>
    <r>
      <rPr>
        <b/>
        <sz val="11"/>
        <color theme="1"/>
        <rFont val="Aptos Narrow"/>
        <family val="2"/>
        <scheme val="minor"/>
      </rPr>
      <t>Oportunidades de mejora en la gestión comercial</t>
    </r>
    <r>
      <rPr>
        <sz val="11"/>
        <color theme="1"/>
        <rFont val="Aptos Narrow"/>
        <family val="2"/>
        <scheme val="minor"/>
      </rPr>
      <t xml:space="preserve">
A pesar de que el indicador se encuentra en nivel excelente, se identifican oportunidades para optimizar la gestión de seguimiento, especialmente en los leads que no responden o presentan dificultades de contacto.
</t>
    </r>
    <r>
      <rPr>
        <b/>
        <sz val="11"/>
        <color theme="1"/>
        <rFont val="Aptos Narrow"/>
        <family val="2"/>
        <scheme val="minor"/>
      </rPr>
      <t>Recomendaciones estratégicas</t>
    </r>
    <r>
      <rPr>
        <sz val="11"/>
        <color theme="1"/>
        <rFont val="Aptos Narrow"/>
        <family val="2"/>
        <scheme val="minor"/>
      </rPr>
      <t xml:space="preserve">
Se recomienda implementar las siguientes acciones para mejorar aún más el desempeño del indicador:
Incrementar la tasa de contacto efectiva, buscando alcanzar al menos 85 % de leads gestionados.
Reducir los leads perdidos por causas de contacto, pasando de 81 % a 65 % en el próximo trimestre.
Implementar reprocesamiento semanal de leads no contactados, antes de clasificarlos como perdidos.
Fortalecer la capacitación del equipo comercial en gestión de CRM, argumentación de valor y recuperación de leads fríos.
Estas acciones permitirán reducir aún más la pérdida de oportunidades y mejorar el aprovechamiento del volumen de leads generado por las campañas digitales.</t>
    </r>
  </si>
  <si>
    <r>
      <rPr>
        <b/>
        <sz val="11"/>
        <color theme="1"/>
        <rFont val="Aptos Narrow"/>
        <family val="2"/>
        <scheme val="minor"/>
      </rPr>
      <t>Análisis:</t>
    </r>
    <r>
      <rPr>
        <sz val="11"/>
        <color theme="1"/>
        <rFont val="Aptos Narrow"/>
        <family val="2"/>
        <scheme val="minor"/>
      </rPr>
      <t xml:space="preserve">
La ausencia de alianzas limita el potencial de ampliación de canales de captación de clientes, ya que las alianzas estratégicas suelen convertirse en fuentes adicionales de leads, referidos o posicionamiento del proyecto en nuevos segmentos de mercado. El resultado sugiere la necesidad de activar una estrategia más estructurada de desarrollo de alianzas, especialmente con actores clave que puedan aportar tráfico de clientes potenciales o visibilidad al proyecto.
</t>
    </r>
    <r>
      <rPr>
        <b/>
        <sz val="11"/>
        <color theme="1"/>
        <rFont val="Aptos Narrow"/>
        <family val="2"/>
        <scheme val="minor"/>
      </rPr>
      <t>Recomendación estratégica:</t>
    </r>
    <r>
      <rPr>
        <sz val="11"/>
        <color theme="1"/>
        <rFont val="Aptos Narrow"/>
        <family val="2"/>
        <scheme val="minor"/>
      </rPr>
      <t xml:space="preserve">
Se recomienda definir un plan de gestión de alianzas comerciales, priorizando actores estratégicos como:
Inmobiliarias y brokers independientes
Empresas o gremios con potencial de compradores
Cajas de compensación y entidades financieras
Empresas con programas de vivienda para empleados
Influencers o aliados digitales del sector inmobiliario
La implementación de una estrategia clara de alianzas permitirá diversificar las fuentes de generación de clientes potenciales y contribuir al cumplimiento de las metas comerciales del proyecto.</t>
    </r>
  </si>
  <si>
    <r>
      <t xml:space="preserve">Bajo nivel de cumplimiento promedio del equipo
Durante el periodo evaluado el promedio de cumplimiento de metas del equipo comercial fue del 44 %, resultado que se clasifica en nivel 🔴 Bajo, al encontrarse por debajo del 70 % establecido como mínimo esperado. Esto evidencia un desempeño general del equipo por debajo de las metas comerciales definidas.
</t>
    </r>
    <r>
      <rPr>
        <b/>
        <sz val="11"/>
        <color theme="1"/>
        <rFont val="Aptos Narrow"/>
        <family val="2"/>
        <scheme val="minor"/>
      </rPr>
      <t>Desempeño desigual entre los asesores</t>
    </r>
    <r>
      <rPr>
        <sz val="11"/>
        <color theme="1"/>
        <rFont val="Aptos Narrow"/>
        <family val="2"/>
        <scheme val="minor"/>
      </rPr>
      <t xml:space="preserve">
El análisis individual muestra diferencias importantes en el desempeño del equipo:
Ingrid: 4 ventas sobre 4 meta (100 % de cumplimiento) – desempeño óptimo.
Natalia: 1 venta sobre 3 meta (33 % de cumplimiento) – desempeño bajo.
Alzurak: 0 ventas sobre 3 meta (0 % de cumplimiento) – sin cumplimiento de meta.
Esto evidencia que los resultados del equipo dependen en gran medida del desempeño de un solo asesor, generando un riesgo operativo para el cumplimiento de metas comerciales del proyecto.
</t>
    </r>
    <r>
      <rPr>
        <b/>
        <sz val="11"/>
        <color theme="1"/>
        <rFont val="Aptos Narrow"/>
        <family val="2"/>
        <scheme val="minor"/>
      </rPr>
      <t>Impacto en los resultados comerciales</t>
    </r>
    <r>
      <rPr>
        <sz val="11"/>
        <color theme="1"/>
        <rFont val="Aptos Narrow"/>
        <family val="2"/>
        <scheme val="minor"/>
      </rPr>
      <t xml:space="preserve">
La baja contribución de algunos asesores afecta directamente el resultado global del equipo, limitando la capacidad de convertir el volumen de leads y visitas generadas en ventas efectivas.
</t>
    </r>
    <r>
      <rPr>
        <b/>
        <sz val="11"/>
        <color theme="1"/>
        <rFont val="Aptos Narrow"/>
        <family val="2"/>
        <scheme val="minor"/>
      </rPr>
      <t>Recomendación estratégica</t>
    </r>
    <r>
      <rPr>
        <sz val="11"/>
        <color theme="1"/>
        <rFont val="Aptos Narrow"/>
        <family val="2"/>
        <scheme val="minor"/>
      </rPr>
      <t xml:space="preserve">
Se recomienda implementar acciones de fortalecimiento del desempeño comercial, tales como:
acompañamiento y seguimiento más cercano a los asesores con bajo rendimiento,
capacitación en técnicas de cierre y manejo de objeciones,
revisión del proceso de asignación y gestión de leads, y
replicar las buenas prácticas del asesor con mejor desempeño dentro del equipo.
Estas acciones permitirán mejorar el equilibrio en el desempeño del equipo y aumentar el cumplimiento global de las metas comerciales.</t>
    </r>
  </si>
  <si>
    <r>
      <rPr>
        <b/>
        <sz val="11"/>
        <color theme="1"/>
        <rFont val="Aptos Narrow"/>
        <family val="2"/>
        <scheme val="minor"/>
      </rPr>
      <t>Nivel bajo de productividad comercial del equipo</t>
    </r>
    <r>
      <rPr>
        <sz val="11"/>
        <color theme="1"/>
        <rFont val="Aptos Narrow"/>
        <family val="2"/>
        <scheme val="minor"/>
      </rPr>
      <t xml:space="preserve">
El análisis del indicador muestra que ningún asesor alcanza el nivel mínimo esperado de productividad (1,8 %), por lo que el resultado general del equipo se clasifica en 🔴 Bajo. Esto evidencia que el volumen de leads asignados no se está transformando eficientemente en ventas.
</t>
    </r>
    <r>
      <rPr>
        <b/>
        <sz val="11"/>
        <color theme="1"/>
        <rFont val="Aptos Narrow"/>
        <family val="2"/>
        <scheme val="minor"/>
      </rPr>
      <t>Desempeño individual de los asesores</t>
    </r>
    <r>
      <rPr>
        <sz val="11"/>
        <color theme="1"/>
        <rFont val="Aptos Narrow"/>
        <family val="2"/>
        <scheme val="minor"/>
      </rPr>
      <t xml:space="preserve">
El comportamiento por asesor refleja los siguientes resultados:
Ingrid: 3 ventas de 266 leads (1,13 %) – el mejor desempeño del equipo, aunque aún por debajo del rango aceptable.
Natalia: 1 venta de 120 leads (0,83 %) – desempeño bajo frente al estándar esperado.
Alzurak: 0 ventas de 105 leads (0 %) – sin productividad comercial registrada.
</t>
    </r>
    <r>
      <rPr>
        <b/>
        <sz val="11"/>
        <color theme="1"/>
        <rFont val="Aptos Narrow"/>
        <family val="2"/>
        <scheme val="minor"/>
      </rPr>
      <t>Desaprovechamiento del volumen de leads asignados</t>
    </r>
    <r>
      <rPr>
        <sz val="11"/>
        <color theme="1"/>
        <rFont val="Aptos Narrow"/>
        <family val="2"/>
        <scheme val="minor"/>
      </rPr>
      <t xml:space="preserve">
Considerando el supuesto operativo de 840 leads por asesor al mes (35 leads diarios durante 24 días), los resultados evidencian una baja conversión del esfuerzo comercial, lo que sugiere oportunidades de mejora en el seguimiento, argumentación comercial, manejo de objeciones y cierre de ventas.
</t>
    </r>
    <r>
      <rPr>
        <b/>
        <sz val="11"/>
        <color theme="1"/>
        <rFont val="Aptos Narrow"/>
        <family val="2"/>
        <scheme val="minor"/>
      </rPr>
      <t>Recomendación estratégica</t>
    </r>
    <r>
      <rPr>
        <sz val="11"/>
        <color theme="1"/>
        <rFont val="Aptos Narrow"/>
        <family val="2"/>
        <scheme val="minor"/>
      </rPr>
      <t xml:space="preserve">
Se recomienda implementar acciones para mejorar la productividad del equipo, tales como:
fortalecer la capacitación en técnicas de cierre y gestión de leads,
establecer protocolos claros de seguimiento comercial,
monitorear tiempos de respuesta y número de contactos por lead, y
replicar las buenas prácticas del asesor con mejor desempeño para elevar el rendimiento del equipo.
El fortalecimiento de estas prácticas permitirá incrementar la conversión de leads en ventas y mejorar el índice de productividad comercial de los asesores.</t>
    </r>
  </si>
  <si>
    <r>
      <rPr>
        <b/>
        <sz val="11"/>
        <color theme="1"/>
        <rFont val="Aptos Narrow"/>
        <family val="2"/>
        <scheme val="minor"/>
      </rPr>
      <t>Alto nivel de eficiencia en el proceso de cierre</t>
    </r>
    <r>
      <rPr>
        <sz val="11"/>
        <color theme="1"/>
        <rFont val="Aptos Narrow"/>
        <family val="2"/>
        <scheme val="minor"/>
      </rPr>
      <t xml:space="preserve">
Durante el periodo evaluado se registraron 5 negocios cerrados, con los siguientes tiempos de cierre: 1, 0, 6, 1 y 1 días, lo que arroja un tiempo promedio de cierre de 1,8 días desde el primer contacto hasta la confirmación de la venta.
</t>
    </r>
    <r>
      <rPr>
        <b/>
        <sz val="11"/>
        <color theme="1"/>
        <rFont val="Aptos Narrow"/>
        <family val="2"/>
        <scheme val="minor"/>
      </rPr>
      <t>Cumplimiento sobresaliente frente a la meta establecida</t>
    </r>
    <r>
      <rPr>
        <sz val="11"/>
        <color theme="1"/>
        <rFont val="Aptos Narrow"/>
        <family val="2"/>
        <scheme val="minor"/>
      </rPr>
      <t xml:space="preserve">
La meta definida establece un tiempo promedio máximo de 30 días, o una reducción significativa del ciclo de cierre. El resultado obtenido (1,8 días) se encuentra muy por debajo de este umbral, lo que evidencia un proceso de decisión rápido por parte de los clientes y una gestión comercial eficiente en la etapa final del cierre.
</t>
    </r>
    <r>
      <rPr>
        <b/>
        <sz val="11"/>
        <color theme="1"/>
        <rFont val="Aptos Narrow"/>
        <family val="2"/>
        <scheme val="minor"/>
      </rPr>
      <t>Indicador coherente con la alta conversión en etapa de visita</t>
    </r>
    <r>
      <rPr>
        <sz val="11"/>
        <color theme="1"/>
        <rFont val="Aptos Narrow"/>
        <family val="2"/>
        <scheme val="minor"/>
      </rPr>
      <t xml:space="preserve">
Este resultado confirma que cuando los prospectos avanzan hasta las etapas finales del embudo comercial (visita y negociación), el proceso de cierre se realiza de forma ágil y efectiva, reduciendo tiempos de negociación y facilitando la concreción de ventas.
El corto tiempo de cierre sugiere que los clientes que llegan a esta etapa ya tienen un alto nivel de intención de compra, lo que refuerza la conclusión de que la principal oportunidad de mejora no se encuentra en el cierre, sino en aumentar el flujo de prospectos que logran llegar a la etapa de visita.
</t>
    </r>
    <r>
      <rPr>
        <b/>
        <sz val="11"/>
        <color theme="1"/>
        <rFont val="Aptos Narrow"/>
        <family val="2"/>
        <scheme val="minor"/>
      </rPr>
      <t>Recomendación estratégica</t>
    </r>
    <r>
      <rPr>
        <sz val="11"/>
        <color theme="1"/>
        <rFont val="Aptos Narrow"/>
        <family val="2"/>
        <scheme val="minor"/>
      </rPr>
      <t xml:space="preserve">
Se recomienda mantener las buenas prácticas comerciales en la fase de cierre, mientras se fortalecen las etapas intermedias del embudo (contacto, citas y visitas) para incrementar el número de oportunidades que puedan llegar a esta fase final y aprovechar la eficiencia actual en el cierre de negocios.</t>
    </r>
  </si>
  <si>
    <r>
      <rPr>
        <b/>
        <sz val="11"/>
        <color theme="1"/>
        <rFont val="Aptos Narrow"/>
        <family val="2"/>
        <scheme val="minor"/>
      </rPr>
      <t>Predominio del canal digital en la generación de ventas</t>
    </r>
    <r>
      <rPr>
        <sz val="11"/>
        <color theme="1"/>
        <rFont val="Aptos Narrow"/>
        <family val="2"/>
        <scheme val="minor"/>
      </rPr>
      <t xml:space="preserve">
Durante el periodo evaluado se registraron 5 ventas totales, de las cuales 4 se originaron en el canal digital, representando un 80 % de cumplimiento frente a la meta establecida de 5 ventas. Este resultado confirma que las estrategias digitales son actualmente el principal motor de generación de ventas del proyecto.
</t>
    </r>
    <r>
      <rPr>
        <b/>
        <sz val="11"/>
        <color theme="1"/>
        <rFont val="Aptos Narrow"/>
        <family val="2"/>
        <scheme val="minor"/>
      </rPr>
      <t>Bajo aporte de los canales complementarios</t>
    </r>
    <r>
      <rPr>
        <sz val="11"/>
        <color theme="1"/>
        <rFont val="Aptos Narrow"/>
        <family val="2"/>
        <scheme val="minor"/>
      </rPr>
      <t xml:space="preserve">
El canal tradicional registró 1 venta frente a una meta de 2, alcanzando un 50 % de cumplimiento, mientras que el canal de referidos no generó ventas durante el periodo, con un 0 % de cumplimiento frente a la meta de 3 ventas.
</t>
    </r>
    <r>
      <rPr>
        <b/>
        <sz val="11"/>
        <color theme="1"/>
        <rFont val="Aptos Narrow"/>
        <family val="2"/>
        <scheme val="minor"/>
      </rPr>
      <t>Desbalance en la estructura de generación de ventas</t>
    </r>
    <r>
      <rPr>
        <sz val="11"/>
        <color theme="1"/>
        <rFont val="Aptos Narrow"/>
        <family val="2"/>
        <scheme val="minor"/>
      </rPr>
      <t xml:space="preserve">
La distribución actual evidencia una alta dependencia del canal digital, mientras que los canales de referidos y tradicional presentan una baja participación en los resultados comerciales. Esto limita la diversificación de fuentes de clientes potenciales y puede generar riesgos en la sostenibilidad de la estrategia comercial.
</t>
    </r>
    <r>
      <rPr>
        <b/>
        <sz val="11"/>
        <color theme="1"/>
        <rFont val="Aptos Narrow"/>
        <family val="2"/>
        <scheme val="minor"/>
      </rPr>
      <t>Recomendación estratégica</t>
    </r>
    <r>
      <rPr>
        <sz val="11"/>
        <color theme="1"/>
        <rFont val="Aptos Narrow"/>
        <family val="2"/>
        <scheme val="minor"/>
      </rPr>
      <t xml:space="preserve">
Se recomienda fortalecer los canales complementarios de captación de clientes, especialmente el canal de referidos, mediante estrategias como:
programas de incentivos para clientes y aliados que generen referidos,
alianzas con inmobiliarias, brokers o empresas,
campañas de recomendación entre compradores actuales, y
acciones comerciales en campo o eventos para reforzar el canal tradicional.
Diversificar las fuentes de ventas permitirá equilibrar el aporte de los diferentes canales y reducir la dependencia exclusiva del canal digital.</t>
    </r>
  </si>
  <si>
    <r>
      <rPr>
        <b/>
        <sz val="11"/>
        <color theme="1"/>
        <rFont val="Aptos Narrow"/>
        <family val="2"/>
        <scheme val="minor"/>
      </rPr>
      <t>Alto nivel de gestión de leads asignados</t>
    </r>
    <r>
      <rPr>
        <sz val="11"/>
        <color theme="1"/>
        <rFont val="Aptos Narrow"/>
        <family val="2"/>
        <scheme val="minor"/>
      </rPr>
      <t xml:space="preserve">
Durante el periodo evaluado se asignaron 266 leads, de los cuales 263 fueron gestionados, lo que representa una tasa de gestión del 98,9 %. Este resultado se clasifica en nivel 🟢 Óptimo, al ubicarse dentro del rango de 95 % a 100 % establecido como cumplimiento pleno del indicador.
</t>
    </r>
    <r>
      <rPr>
        <b/>
        <sz val="11"/>
        <color theme="1"/>
        <rFont val="Aptos Narrow"/>
        <family val="2"/>
        <scheme val="minor"/>
      </rPr>
      <t>Eficiencia en el seguimiento comercial</t>
    </r>
    <r>
      <rPr>
        <sz val="11"/>
        <color theme="1"/>
        <rFont val="Aptos Narrow"/>
        <family val="2"/>
        <scheme val="minor"/>
      </rPr>
      <t xml:space="preserve">
El indicador evidencia que prácticamente la totalidad de los leads asignados fueron contactados o atendidos, lo que refleja una gestión activa y oportuna por parte del asesor responsable, reduciendo significativamente el riesgo de pérdida de oportunidades por falta de contacto.
</t>
    </r>
    <r>
      <rPr>
        <b/>
        <sz val="11"/>
        <color theme="1"/>
        <rFont val="Aptos Narrow"/>
        <family val="2"/>
        <scheme val="minor"/>
      </rPr>
      <t>Consistencia en la administración de oportunidades</t>
    </r>
    <r>
      <rPr>
        <sz val="11"/>
        <color theme="1"/>
        <rFont val="Aptos Narrow"/>
        <family val="2"/>
        <scheme val="minor"/>
      </rPr>
      <t xml:space="preserve">
El alto porcentaje de gestión también demuestra un adecuado uso del CRM y disciplina en el seguimiento de los prospectos, lo que contribuye a mantener un control efectivo del embudo comercial.
</t>
    </r>
    <r>
      <rPr>
        <b/>
        <sz val="11"/>
        <color theme="1"/>
        <rFont val="Aptos Narrow"/>
        <family val="2"/>
        <scheme val="minor"/>
      </rPr>
      <t>Recomendación estratégica</t>
    </r>
    <r>
      <rPr>
        <sz val="11"/>
        <color theme="1"/>
        <rFont val="Aptos Narrow"/>
        <family val="2"/>
        <scheme val="minor"/>
      </rPr>
      <t xml:space="preserve">
Se recomienda mantener este nivel de gestión de leads, garantizando tiempos de respuesta rápidos y continuidad en el seguimiento. Asimismo, se sugiere complementar esta eficiencia con estrategias de fortalecimiento en la conversión a citas, visitas y ventas, para aprovechar al máximo el alto nivel de gestión alcanzado.</t>
    </r>
  </si>
  <si>
    <r>
      <rPr>
        <b/>
        <sz val="11"/>
        <color theme="1"/>
        <rFont val="Aptos Narrow"/>
        <family val="2"/>
        <scheme val="minor"/>
      </rPr>
      <t>Variación en la participación del proyecto en el mercado</t>
    </r>
    <r>
      <rPr>
        <sz val="11"/>
        <color theme="1"/>
        <rFont val="Aptos Narrow"/>
        <family val="2"/>
        <scheme val="minor"/>
      </rPr>
      <t xml:space="preserve">
El proyecto Ciudadela San Miguel presentó cambios importantes en su participación de mercado durante el periodo analizado:
Diciembre: 15 ventas de 99 totales → 15,15 % (🟢 Excelente)
Enero: 4 ventas de 59 totales → 6,78 % (🔴 Deficiente)
Febrero: 5 ventas de 41 totales → 12,20 % (🟡 Aceptable)
Esto evidencia una caída significativa en enero, seguida de una recuperación parcial en febrero, ubicándose nuevamente dentro de un rango competitivo frente al mercado.
</t>
    </r>
    <r>
      <rPr>
        <b/>
        <sz val="11"/>
        <color theme="1"/>
        <rFont val="Aptos Narrow"/>
        <family val="2"/>
        <scheme val="minor"/>
      </rPr>
      <t>Contexto del comportamiento del mercado</t>
    </r>
    <r>
      <rPr>
        <sz val="11"/>
        <color theme="1"/>
        <rFont val="Aptos Narrow"/>
        <family val="2"/>
        <scheme val="minor"/>
      </rPr>
      <t xml:space="preserve">
Se observa una disminución general en el volumen total de ventas del mercado (de 99 en diciembre a 41 en febrero), lo cual indica un escenario de desaceleración comercial en el sector, que puede estar influenciado por factores como condiciones económicas, acceso a crédito o comportamiento de la demanda.</t>
    </r>
    <r>
      <rPr>
        <b/>
        <sz val="11"/>
        <color theme="1"/>
        <rFont val="Aptos Narrow"/>
        <family val="2"/>
        <scheme val="minor"/>
      </rPr>
      <t xml:space="preserve">
Posicionamiento frente a la competencia</t>
    </r>
    <r>
      <rPr>
        <sz val="11"/>
        <color theme="1"/>
        <rFont val="Aptos Narrow"/>
        <family val="2"/>
        <scheme val="minor"/>
      </rPr>
      <t xml:space="preserve">
Durante febrero, proyectos como Azzuri, Fontanar y Mazzú presentan una mayor participación en el mercado, lo que sugiere una competencia activa que está captando una porción relevante de la demanda disponible.
</t>
    </r>
    <r>
      <rPr>
        <b/>
        <sz val="11"/>
        <color theme="1"/>
        <rFont val="Aptos Narrow"/>
        <family val="2"/>
        <scheme val="minor"/>
      </rPr>
      <t>Tendencia del proyecto</t>
    </r>
    <r>
      <rPr>
        <sz val="11"/>
        <color theme="1"/>
        <rFont val="Aptos Narrow"/>
        <family val="2"/>
        <scheme val="minor"/>
      </rPr>
      <t xml:space="preserve">
La recuperación de participación en febrero demuestra que el proyecto mantiene capacidad competitiva en el mercado, aunque aún se encuentra por debajo del nivel de liderazgo alcanzado en diciembre.
</t>
    </r>
    <r>
      <rPr>
        <b/>
        <sz val="11"/>
        <color theme="1"/>
        <rFont val="Aptos Narrow"/>
        <family val="2"/>
        <scheme val="minor"/>
      </rPr>
      <t>Recomendación estratégica</t>
    </r>
    <r>
      <rPr>
        <sz val="11"/>
        <color theme="1"/>
        <rFont val="Aptos Narrow"/>
        <family val="2"/>
        <scheme val="minor"/>
      </rPr>
      <t xml:space="preserve">
Se recomienda fortalecer las estrategias de visibilidad del proyecto, activación comercial y posicionamiento frente a la competencia, especialmente en canales digitales y alianzas comerciales, con el objetivo de volver a niveles de participación superiores al 15 % y consolidar el liderazgo en el mercado.</t>
    </r>
  </si>
  <si>
    <r>
      <rPr>
        <b/>
        <sz val="11"/>
        <color theme="1"/>
        <rFont val="Aptos Narrow"/>
        <family val="2"/>
        <scheme val="minor"/>
      </rPr>
      <t xml:space="preserve">37,26 % / 10 % =100 % del cumplimiento esperado  </t>
    </r>
    <r>
      <rPr>
        <sz val="11"/>
        <color theme="1"/>
        <rFont val="Aptos Narrow"/>
        <family val="2"/>
        <scheme val="minor"/>
      </rPr>
      <t xml:space="preserve">                                                                     </t>
    </r>
    <r>
      <rPr>
        <b/>
        <sz val="11"/>
        <color theme="1"/>
        <rFont val="Aptos Narrow"/>
        <family val="2"/>
        <scheme val="minor"/>
      </rPr>
      <t xml:space="preserve">Alto nivel de efectividad en la conversión a citas
</t>
    </r>
    <r>
      <rPr>
        <sz val="11"/>
        <color theme="1"/>
        <rFont val="Aptos Narrow"/>
        <family val="2"/>
        <scheme val="minor"/>
      </rPr>
      <t xml:space="preserve">Durante el periodo evaluado se registraron 98 citas agendadas, lo que representa una tasa de conversión a citas del 37,26 % frente al total de leads gestionados. Este resultado se clasifica en nivel 🟢 Óptimo, superando ampliamente la meta mínima establecida del 10 %.
</t>
    </r>
    <r>
      <rPr>
        <b/>
        <sz val="11"/>
        <color theme="1"/>
        <rFont val="Aptos Narrow"/>
        <family val="2"/>
        <scheme val="minor"/>
      </rPr>
      <t>Eficiencia en el contacto inicial con los prospectos</t>
    </r>
    <r>
      <rPr>
        <sz val="11"/>
        <color theme="1"/>
        <rFont val="Aptos Narrow"/>
        <family val="2"/>
        <scheme val="minor"/>
      </rPr>
      <t xml:space="preserve">
El indicador evidencia que el equipo comercial está logrando transformar una proporción significativa de los leads gestionados en oportunidades de interacción directa, lo que refleja una adecuada gestión del primer contacto, argumentación comercial efectiva y tiempos de respuesta oportunos.
</t>
    </r>
    <r>
      <rPr>
        <b/>
        <sz val="11"/>
        <color theme="1"/>
        <rFont val="Aptos Narrow"/>
        <family val="2"/>
        <scheme val="minor"/>
      </rPr>
      <t>Impacto positivo en el embudo comercial</t>
    </r>
    <r>
      <rPr>
        <sz val="11"/>
        <color theme="1"/>
        <rFont val="Aptos Narrow"/>
        <family val="2"/>
        <scheme val="minor"/>
      </rPr>
      <t xml:space="preserve">
Un porcentaje alto de citas agendadas fortalece las etapas intermedias del embudo comercial, aumentando las probabilidades de que los prospectos avancen hacia visitas, negociación y cierre de ventas.
</t>
    </r>
    <r>
      <rPr>
        <b/>
        <sz val="11"/>
        <color theme="1"/>
        <rFont val="Aptos Narrow"/>
        <family val="2"/>
        <scheme val="minor"/>
      </rPr>
      <t>Recomendación estratégica</t>
    </r>
    <r>
      <rPr>
        <sz val="11"/>
        <color theme="1"/>
        <rFont val="Aptos Narrow"/>
        <family val="2"/>
        <scheme val="minor"/>
      </rPr>
      <t xml:space="preserve">
Se recomienda mantener las buenas prácticas de contacto y seguimiento que están permitiendo este nivel de conversión, así como continuar fortaleciendo la calidad del discurso comercial y la rapidez en la atención, para garantizar que las citas programadas se traduzcan posteriormente en visitas efectivas y oportunidades de cierre.</t>
    </r>
  </si>
  <si>
    <r>
      <rPr>
        <b/>
        <sz val="11"/>
        <color theme="1"/>
        <rFont val="Aptos Narrow"/>
        <family val="2"/>
        <scheme val="minor"/>
      </rPr>
      <t xml:space="preserve">113,27 % / 30 % = 100 % del cumplimiento esperado                            Desempeño sobresaliente en la conversión a visitas
</t>
    </r>
    <r>
      <rPr>
        <sz val="11"/>
        <color theme="1"/>
        <rFont val="Aptos Narrow"/>
        <family val="2"/>
        <scheme val="minor"/>
      </rPr>
      <t xml:space="preserve">Durante el periodo evaluado se registraron 111 visitas efectivas, frente a 98 citas agendadas, lo que representa una tasa de conversión del 113,27 %. Este resultado se clasifica en nivel 🟢 Óptimo, superando ampliamente el rango esperado de 30 % – 50 %.
</t>
    </r>
    <r>
      <rPr>
        <b/>
        <sz val="11"/>
        <color theme="1"/>
        <rFont val="Aptos Narrow"/>
        <family val="2"/>
        <scheme val="minor"/>
      </rPr>
      <t>Interpretación del resultado</t>
    </r>
    <r>
      <rPr>
        <sz val="11"/>
        <color theme="1"/>
        <rFont val="Aptos Narrow"/>
        <family val="2"/>
        <scheme val="minor"/>
      </rPr>
      <t xml:space="preserve">
El porcentaje superior al 100 % indica que no todas las visitas provienen exclusivamente de las citas agendadas del periodo, sino que también pueden haberse concretado visitas provenientes de citas programadas en periodos anteriores, reprogramaciones o clientes que asistieron sin cita previa.
</t>
    </r>
    <r>
      <rPr>
        <b/>
        <sz val="11"/>
        <color theme="1"/>
        <rFont val="Aptos Narrow"/>
        <family val="2"/>
        <scheme val="minor"/>
      </rPr>
      <t>Efectividad en la gestión comercial</t>
    </r>
    <r>
      <rPr>
        <sz val="11"/>
        <color theme="1"/>
        <rFont val="Aptos Narrow"/>
        <family val="2"/>
        <scheme val="minor"/>
      </rPr>
      <t xml:space="preserve">
El indicador evidencia una buena capacidad del equipo comercial para lograr que los prospectos interesados se desplacen a la sala de ventas o participen en recorridos virtuales, lo que refleja un adecuado manejo de seguimiento, recordación de citas y motivación del cliente para asistir.
</t>
    </r>
    <r>
      <rPr>
        <b/>
        <sz val="11"/>
        <color theme="1"/>
        <rFont val="Aptos Narrow"/>
        <family val="2"/>
        <scheme val="minor"/>
      </rPr>
      <t>Impacto en el embudo de ventas</t>
    </r>
    <r>
      <rPr>
        <sz val="11"/>
        <color theme="1"/>
        <rFont val="Aptos Narrow"/>
        <family val="2"/>
        <scheme val="minor"/>
      </rPr>
      <t xml:space="preserve">
Un alto volumen de visitas es un factor clave en el proceso de cierre, ya que la experiencia presencial o virtual del proyecto suele ser determinante en la decisión de compra del cliente.
</t>
    </r>
    <r>
      <rPr>
        <b/>
        <sz val="11"/>
        <color theme="1"/>
        <rFont val="Aptos Narrow"/>
        <family val="2"/>
        <scheme val="minor"/>
      </rPr>
      <t>Recomendación estratégica</t>
    </r>
    <r>
      <rPr>
        <sz val="11"/>
        <color theme="1"/>
        <rFont val="Aptos Narrow"/>
        <family val="2"/>
        <scheme val="minor"/>
      </rPr>
      <t xml:space="preserve">
Se recomienda mantener las estrategias actuales de seguimiento y confirmación de citas, así como continuar fortaleciendo la experiencia de visita del cliente, asegurando que el aumento en el número de visitas se traduzca en mayores oportunidades de negociación y cierre de ventas.</t>
    </r>
  </si>
  <si>
    <r>
      <rPr>
        <b/>
        <sz val="11"/>
        <color theme="1"/>
        <rFont val="Aptos Narrow"/>
        <family val="2"/>
        <scheme val="minor"/>
      </rPr>
      <t>Nivel bajo de conversión de visitas a ventas</t>
    </r>
    <r>
      <rPr>
        <sz val="11"/>
        <color theme="1"/>
        <rFont val="Aptos Narrow"/>
        <family val="2"/>
        <scheme val="minor"/>
      </rPr>
      <t xml:space="preserve">
Durante el periodo evaluado se registraron 111 visitas efectivas y 4 ventas logradas, lo que representa una tasa de conversión del 3,60 %. Este resultado se clasifica en nivel 🔴 Bajo, al encontrarse por debajo del 5 % establecido como mínimo esperado para este indicador.
</t>
    </r>
    <r>
      <rPr>
        <b/>
        <sz val="11"/>
        <color theme="1"/>
        <rFont val="Aptos Narrow"/>
        <family val="2"/>
        <scheme val="minor"/>
      </rPr>
      <t>Brecha entre interés del cliente y cierre de la venta</t>
    </r>
    <r>
      <rPr>
        <sz val="11"/>
        <color theme="1"/>
        <rFont val="Aptos Narrow"/>
        <family val="2"/>
        <scheme val="minor"/>
      </rPr>
      <t xml:space="preserve">
El número de visitas refleja que existe un volumen adecuado de prospectos interesados en conocer el proyecto, sin embargo, la proporción de estos que finalmente se convierten en compradores es relativamente baja, lo que indica una oportunidad de mejora en la fase de negociación y cierre comercial.
</t>
    </r>
    <r>
      <rPr>
        <b/>
        <sz val="11"/>
        <color theme="1"/>
        <rFont val="Aptos Narrow"/>
        <family val="2"/>
        <scheme val="minor"/>
      </rPr>
      <t>Impacto en el desempeño del embudo de ventas</t>
    </r>
    <r>
      <rPr>
        <sz val="11"/>
        <color theme="1"/>
        <rFont val="Aptos Narrow"/>
        <family val="2"/>
        <scheme val="minor"/>
      </rPr>
      <t xml:space="preserve">
Aunque el proceso comercial logra llevar clientes hasta la etapa de visita efectiva, el bajo porcentaje de cierre limita el impacto del esfuerzo comercial y reduce el aprovechamiento del flujo de prospectos que llegan a la sala de ventas o recorridos virtuales.
</t>
    </r>
    <r>
      <rPr>
        <b/>
        <sz val="11"/>
        <color theme="1"/>
        <rFont val="Aptos Narrow"/>
        <family val="2"/>
        <scheme val="minor"/>
      </rPr>
      <t>Recomendación estratégica</t>
    </r>
    <r>
      <rPr>
        <sz val="11"/>
        <color theme="1"/>
        <rFont val="Aptos Narrow"/>
        <family val="2"/>
        <scheme val="minor"/>
      </rPr>
      <t xml:space="preserve">
Se recomienda fortalecer las estrategias de cierre comercial mediante acciones como:
reforzar la argumentación de valor del proyecto, capacitación en manejo de objeciones y técnicas de cierre, seguimiento estructurado a los clientes después de la visita, y ofertas o incentivos comerciales que faciliten la decisión de compra.
Estas acciones permitirán incrementar la tasa de conversión de visitas en ventas y mejorar el rendimiento del canal digital en los resultados comerciales del proyecto.</t>
    </r>
  </si>
  <si>
    <r>
      <rPr>
        <b/>
        <sz val="11"/>
        <color theme="1"/>
        <rFont val="Aptos Narrow"/>
        <family val="2"/>
        <scheme val="minor"/>
      </rPr>
      <t>Bajo nivel de leads sin gestión</t>
    </r>
    <r>
      <rPr>
        <sz val="11"/>
        <color theme="1"/>
        <rFont val="Aptos Narrow"/>
        <family val="2"/>
        <scheme val="minor"/>
      </rPr>
      <t xml:space="preserve">
Durante el periodo evaluado se asignaron 266 leads, de los cuales 3 no fueron gestionados, lo que representa aproximadamente 1,13 % de leads no atendidos. Este resultado se clasifica en nivel 🟡 Aceptable, al encontrarse dentro del rango de 1 % a 10 %.
</t>
    </r>
    <r>
      <rPr>
        <b/>
        <sz val="11"/>
        <color theme="1"/>
        <rFont val="Aptos Narrow"/>
        <family val="2"/>
        <scheme val="minor"/>
      </rPr>
      <t>Alta eficiencia en la atención de prospectos</t>
    </r>
    <r>
      <rPr>
        <sz val="11"/>
        <color theme="1"/>
        <rFont val="Aptos Narrow"/>
        <family val="2"/>
        <scheme val="minor"/>
      </rPr>
      <t xml:space="preserve">
El indicador evidencia que la gran mayoría de los leads recibieron algún tipo de contacto o seguimiento, reflejando una gestión comercial activa y oportuna por parte del equipo responsable.
</t>
    </r>
    <r>
      <rPr>
        <b/>
        <sz val="11"/>
        <color theme="1"/>
        <rFont val="Aptos Narrow"/>
        <family val="2"/>
        <scheme val="minor"/>
      </rPr>
      <t>Impacto en el aprovechamiento de oportunidades</t>
    </r>
    <r>
      <rPr>
        <sz val="11"/>
        <color theme="1"/>
        <rFont val="Aptos Narrow"/>
        <family val="2"/>
        <scheme val="minor"/>
      </rPr>
      <t xml:space="preserve">
Aunque el porcentaje de leads no gestionados es bajo, estos casos representan oportunidades potenciales de negocio que podrían perderse por falta de contacto, especialmente considerando el costo de adquisición de cada lead generado por las campañas.
</t>
    </r>
    <r>
      <rPr>
        <b/>
        <sz val="11"/>
        <color theme="1"/>
        <rFont val="Aptos Narrow"/>
        <family val="2"/>
        <scheme val="minor"/>
      </rPr>
      <t>Recomendación estratégica</t>
    </r>
    <r>
      <rPr>
        <sz val="11"/>
        <color theme="1"/>
        <rFont val="Aptos Narrow"/>
        <family val="2"/>
        <scheme val="minor"/>
      </rPr>
      <t xml:space="preserve">
Se recomienda mantener el nivel actual de gestión cercano al 100 %, implementando controles adicionales como:
alertas automáticas en el CRM para leads sin contacto, seguimiento diario de leads pendientes, y protocolos de contacto en las primeras 24 horas después de recibido el lead.
Estas acciones permitirán reducir el porcentaje de leads no gestionados a cero, alcanzando el nivel óptimo esperado para este indicador.</t>
    </r>
  </si>
  <si>
    <r>
      <t xml:space="preserve">Cumplimiento óptimo de la meta de gestión comercial
</t>
    </r>
    <r>
      <rPr>
        <sz val="11"/>
        <color theme="1"/>
        <rFont val="Aptos Narrow"/>
        <family val="2"/>
        <scheme val="minor"/>
      </rPr>
      <t xml:space="preserve">Durante el periodo evaluado se realizaron 779 gestiones comerciales frente a una meta establecida de 770, lo que representa un cumplimiento del 101,2 %. Este resultado se clasifica en nivel 🟢 Óptimo, al superar la meta definida para el indicador.
</t>
    </r>
    <r>
      <rPr>
        <b/>
        <sz val="11"/>
        <color theme="1"/>
        <rFont val="Aptos Narrow"/>
        <family val="2"/>
        <scheme val="minor"/>
      </rPr>
      <t>Alta actividad comercial del equipo</t>
    </r>
    <r>
      <rPr>
        <sz val="11"/>
        <color theme="1"/>
        <rFont val="Aptos Narrow"/>
        <family val="2"/>
        <scheme val="minor"/>
      </rPr>
      <t xml:space="preserve">
El indicador evidencia que el equipo comercial mantiene una interacción constante con los prospectos, realizando contactos, seguimientos y actualizaciones dentro del embudo de ventas. Esto refleja un nivel adecuado de actividad operativa en la gestión de oportunidades comerciales.
</t>
    </r>
    <r>
      <rPr>
        <b/>
        <sz val="11"/>
        <color theme="1"/>
        <rFont val="Aptos Narrow"/>
        <family val="2"/>
        <scheme val="minor"/>
      </rPr>
      <t xml:space="preserve">Compromiso con el seguimiento del embudo de ventas
</t>
    </r>
    <r>
      <rPr>
        <sz val="11"/>
        <color theme="1"/>
        <rFont val="Aptos Narrow"/>
        <family val="2"/>
        <scheme val="minor"/>
      </rPr>
      <t xml:space="preserve">El cumplimiento superior al 100 % indica que el equipo no solo alcanzó la meta prevista, sino que realizó gestiones adicionales, lo cual contribuye a mantener activo el proceso comercial y a mejorar las probabilidades de conversión en etapas posteriores.
</t>
    </r>
    <r>
      <rPr>
        <b/>
        <sz val="11"/>
        <color theme="1"/>
        <rFont val="Aptos Narrow"/>
        <family val="2"/>
        <scheme val="minor"/>
      </rPr>
      <t>Recomendación estratégica</t>
    </r>
    <r>
      <rPr>
        <sz val="11"/>
        <color theme="1"/>
        <rFont val="Aptos Narrow"/>
        <family val="2"/>
        <scheme val="minor"/>
      </rPr>
      <t xml:space="preserve">
Se recomienda mantener este nivel de gestión comercial, asegurando que la cantidad de gestiones realizadas continúe acompañada de acciones de calidad orientadas a la conversión, especialmente en las etapas de visita, negociación y cierre de ventas, para maximizar el impacto del esfuerzo comercial realizado.</t>
    </r>
  </si>
  <si>
    <r>
      <rPr>
        <b/>
        <sz val="11"/>
        <color theme="1"/>
        <rFont val="Aptos Narrow"/>
        <family val="2"/>
        <scheme val="minor"/>
      </rPr>
      <t xml:space="preserve">Cierre comercial altamente eficiente
</t>
    </r>
    <r>
      <rPr>
        <sz val="11"/>
        <color theme="1"/>
        <rFont val="Aptos Narrow"/>
        <family val="2"/>
        <scheme val="minor"/>
      </rPr>
      <t xml:space="preserve">Durante el periodo evaluado se registraron 4 ventas, con tiempos de cierre de 0, 6, 1 y 1 días, lo que arroja un tiempo promedio de cierre de 2 días desde el primer contacto hasta la confirmación de la venta.
</t>
    </r>
    <r>
      <rPr>
        <b/>
        <sz val="11"/>
        <color theme="1"/>
        <rFont val="Aptos Narrow"/>
        <family val="2"/>
        <scheme val="minor"/>
      </rPr>
      <t>Cumplimiento sobresaliente frente a la meta</t>
    </r>
    <r>
      <rPr>
        <sz val="11"/>
        <color theme="1"/>
        <rFont val="Aptos Narrow"/>
        <family val="2"/>
        <scheme val="minor"/>
      </rPr>
      <t xml:space="preserve">
La meta establecida para ventas directas es entre 1 y 15 días, por lo que el resultado obtenido (2 días) se clasifica en nivel 🟢 Óptimo, evidenciando un proceso de cierre rápido y efectivo por parte del equipo comercial.
</t>
    </r>
    <r>
      <rPr>
        <b/>
        <sz val="11"/>
        <color theme="1"/>
        <rFont val="Aptos Narrow"/>
        <family val="2"/>
        <scheme val="minor"/>
      </rPr>
      <t>Interpretación comercial</t>
    </r>
    <r>
      <rPr>
        <sz val="11"/>
        <color theme="1"/>
        <rFont val="Aptos Narrow"/>
        <family val="2"/>
        <scheme val="minor"/>
      </rPr>
      <t xml:space="preserve">
El corto tiempo de cierre sugiere que los prospectos que llegan a la etapa final del proceso comercial tienen una alta intención de compra, lo que permite concretar negocios en un periodo muy reducido.
</t>
    </r>
    <r>
      <rPr>
        <b/>
        <sz val="11"/>
        <color theme="1"/>
        <rFont val="Aptos Narrow"/>
        <family val="2"/>
        <scheme val="minor"/>
      </rPr>
      <t>Recomendación estratégica</t>
    </r>
    <r>
      <rPr>
        <sz val="11"/>
        <color theme="1"/>
        <rFont val="Aptos Narrow"/>
        <family val="2"/>
        <scheme val="minor"/>
      </rPr>
      <t xml:space="preserve">
Se recomienda mantener las prácticas comerciales actuales en la fase de negociación y cierre, y enfocar los esfuerzos en incrementar el número de visitas y oportunidades calificadas, ya que el proceso de cierre demuestra ser eficiente cuando los clientes llegan a esta etapa del embudo comercial.</t>
    </r>
  </si>
  <si>
    <r>
      <rPr>
        <b/>
        <sz val="11"/>
        <color theme="1"/>
        <rFont val="Aptos Narrow"/>
        <family val="2"/>
        <scheme val="minor"/>
      </rPr>
      <t>Cumplimiento total de la meta de ventas</t>
    </r>
    <r>
      <rPr>
        <sz val="11"/>
        <color theme="1"/>
        <rFont val="Aptos Narrow"/>
        <family val="2"/>
        <scheme val="minor"/>
      </rPr>
      <t xml:space="preserve">
Durante el periodo evaluado se registraron 4 ventas logradas frente a una meta de 4 ventas, lo que representa un cumplimiento del 100 % del objetivo establecido. Este resultado se clasifica en nivel 🟢 Óptimo, indicando que la meta comercial fue alcanzada en su totalidad.
</t>
    </r>
    <r>
      <rPr>
        <b/>
        <sz val="11"/>
        <color theme="1"/>
        <rFont val="Aptos Narrow"/>
        <family val="2"/>
        <scheme val="minor"/>
      </rPr>
      <t>Adecuada eficiencia en la conversión de oportunidades</t>
    </r>
    <r>
      <rPr>
        <sz val="11"/>
        <color theme="1"/>
        <rFont val="Aptos Narrow"/>
        <family val="2"/>
        <scheme val="minor"/>
      </rPr>
      <t xml:space="preserve">
El indicador refleja que la gestión comercial logró convertir las oportunidades disponibles en ventas dentro de lo esperado, evidenciando una efectividad adecuada del asesor en la gestión de los prospectos asignados.
</t>
    </r>
    <r>
      <rPr>
        <b/>
        <sz val="11"/>
        <color theme="1"/>
        <rFont val="Aptos Narrow"/>
        <family val="2"/>
        <scheme val="minor"/>
      </rPr>
      <t>Contribución al cumplimiento de objetivos comerciales</t>
    </r>
    <r>
      <rPr>
        <sz val="11"/>
        <color theme="1"/>
        <rFont val="Aptos Narrow"/>
        <family val="2"/>
        <scheme val="minor"/>
      </rPr>
      <t xml:space="preserve">
El cumplimiento de la meta demuestra que la productividad del asesor permitió alcanzar el objetivo de ventas planteado para el periodo, contribuyendo positivamente al desempeño general del equipo comercial.
</t>
    </r>
    <r>
      <rPr>
        <b/>
        <sz val="11"/>
        <color theme="1"/>
        <rFont val="Aptos Narrow"/>
        <family val="2"/>
        <scheme val="minor"/>
      </rPr>
      <t>Recomendación estratégica</t>
    </r>
    <r>
      <rPr>
        <sz val="11"/>
        <color theme="1"/>
        <rFont val="Aptos Narrow"/>
        <family val="2"/>
        <scheme val="minor"/>
      </rPr>
      <t xml:space="preserve">
Se recomienda mantener las prácticas comerciales actuales que permitieron cumplir la meta, así como continuar fortaleciendo la gestión del embudo de ventas para incrementar el volumen de cierres y superar las metas en próximos periodos.</t>
    </r>
  </si>
  <si>
    <r>
      <rPr>
        <b/>
        <sz val="11"/>
        <color theme="1"/>
        <rFont val="Aptos Narrow"/>
        <family val="2"/>
        <scheme val="minor"/>
      </rPr>
      <t>Alto porcentaje de leads con seguimiento insuficiente</t>
    </r>
    <r>
      <rPr>
        <sz val="11"/>
        <color theme="1"/>
        <rFont val="Aptos Narrow"/>
        <family val="2"/>
        <scheme val="minor"/>
      </rPr>
      <t xml:space="preserve">
Durante el periodo evaluado se registraron 218 leads con gestión baja (menos de 6 notas registradas en Zoho) frente a un total de 779 gestiones realizadas, lo que representa aproximadamente un 27,99 % de gestión baja. Este resultado se clasifica en nivel 🔴 Bajo, al superar el 25 % máximo permitido para un seguimiento comercial adecuado.
</t>
    </r>
    <r>
      <rPr>
        <b/>
        <sz val="11"/>
        <color theme="1"/>
        <rFont val="Aptos Narrow"/>
        <family val="2"/>
        <scheme val="minor"/>
      </rPr>
      <t>Debilidad en la profundidad del seguimiento comercial</t>
    </r>
    <r>
      <rPr>
        <sz val="11"/>
        <color theme="1"/>
        <rFont val="Aptos Narrow"/>
        <family val="2"/>
        <scheme val="minor"/>
      </rPr>
      <t xml:space="preserve">
Aunque el volumen total de gestiones es alto, el indicador evidencia que una proporción significativa de leads no está recibiendo un seguimiento suficientemente profundo o estructurado, lo que puede limitar el avance de estos prospectos dentro del embudo de ventas.
</t>
    </r>
    <r>
      <rPr>
        <b/>
        <sz val="11"/>
        <color theme="1"/>
        <rFont val="Aptos Narrow"/>
        <family val="2"/>
        <scheme val="minor"/>
      </rPr>
      <t xml:space="preserve">Impacto en el proceso de conversión
</t>
    </r>
    <r>
      <rPr>
        <sz val="11"/>
        <color theme="1"/>
        <rFont val="Aptos Narrow"/>
        <family val="2"/>
        <scheme val="minor"/>
      </rPr>
      <t xml:space="preserve">Un nivel elevado de gestión baja puede traducirse en pérdida de oportunidades de negocio, ya que los prospectos que no reciben un seguimiento constante tienden a perder interés, retrasar su decisión o migrar hacia proyectos competidores.
</t>
    </r>
    <r>
      <rPr>
        <b/>
        <sz val="11"/>
        <color theme="1"/>
        <rFont val="Aptos Narrow"/>
        <family val="2"/>
        <scheme val="minor"/>
      </rPr>
      <t>Recomendación estratégica</t>
    </r>
    <r>
      <rPr>
        <sz val="11"/>
        <color theme="1"/>
        <rFont val="Aptos Narrow"/>
        <family val="2"/>
        <scheme val="minor"/>
      </rPr>
      <t xml:space="preserve">
Se recomienda implementar acciones para fortalecer la calidad del seguimiento comercial, tales como: realizar revisiones periódicas del historial de seguimiento de cada asesor, reforzar la disciplina en el registro de actividades en Zoho, y estructurar protocolos de contacto que garanticen múltiples interacciones antes de descartar un lead.
Estas acciones permitirán reducir el porcentaje de gestión baja, mejorar la trazabilidad de los prospectos y aumentar las probabilidades de conversión dentro del embudo comercial.</t>
    </r>
  </si>
  <si>
    <t>Cumplimiento aceptable en la actualización del CRM
Durante el periodo evaluado el indicador de precisión y actualización del CRM alcanzó un 94 %, resultado que se clasifica en nivel 🟡 Aceptable, al ubicarse dentro del rango de 90 % – 97 %. Esto indica que la mayoría de los negocios registrados en Zoho CRM cuentan con información completa y actualizada, aunque aún existe margen para alcanzar el estándar óptimo del 98 %.
Avances en la gestión documental de los negocios
Se evidencia un buen nivel de control en algunos procesos específicos:
Promesas: gestión completa (100 %)
Carpetas de Croma vendidos: 24 negocios con documentación completa
Bonos: seguimiento identificado
Novedades: información actualizada
Estos resultados reflejan una adecuada organización documental y seguimiento administrativo del proceso comercial.
Aspectos pendientes de consolidación
Se identifican algunos procesos que aún requieren cierre o actualización completa en el CRM:
Gestión de Otrosí: falta la firma de 16 documentos, lo que reduce el nivel de completitud del registro.
Traslados: de 15 procesos, 7 se encuentran completos y 8 en proceso, lo que indica que aún existen registros pendientes de consolidación.
Impacto en el control comercial
La actualización constante del CRM es clave para mantener la trazabilidad del proceso comercial, facilitar la toma de decisiones y asegurar la confiabilidad de los reportes de gestión y ventas. El resultado obtenido muestra un buen nivel de control operativo, aunque aún existen oportunidades de mejora para alcanzar el estándar óptimo.
Recomendación estratégica
Se recomienda: finalizar los documentos pendientes de firma en los Otrosí, completar los procesos de traslados en curso, y mantener revisiones periódicas del CRM para garantizar la integridad y actualización de los registros.
Estas acciones permitirán elevar el indicador por encima del 98 % y consolidar un control operativo más robusto del proceso comercial.</t>
  </si>
  <si>
    <r>
      <rPr>
        <b/>
        <sz val="11"/>
        <color theme="1"/>
        <rFont val="Aptos Narrow"/>
        <family val="2"/>
        <scheme val="minor"/>
      </rPr>
      <t xml:space="preserve">Conclusiones: </t>
    </r>
    <r>
      <rPr>
        <sz val="11"/>
        <color theme="1"/>
        <rFont val="Aptos Narrow"/>
        <family val="2"/>
        <scheme val="minor"/>
      </rPr>
      <t>Se gestionaron 118 de 120 leads asignados, lo que representa un 98,3 % de gestión. El resultado se ubica en nivel 🟢 Óptimo, evidenciando una alta eficiencia en el contacto y seguimiento de los prospectos asignados.</t>
    </r>
  </si>
  <si>
    <r>
      <rPr>
        <b/>
        <sz val="11"/>
        <color theme="1"/>
        <rFont val="Aptos Narrow"/>
        <family val="2"/>
        <scheme val="minor"/>
      </rPr>
      <t>Conclusiones:</t>
    </r>
    <r>
      <rPr>
        <sz val="11"/>
        <color theme="1"/>
        <rFont val="Aptos Narrow"/>
        <family val="2"/>
        <scheme val="minor"/>
      </rPr>
      <t>Se agendaron 34 citas, alcanzando una tasa de conversión del 28,81 %, resultado que se clasifica en nivel 🟢 Óptimo, evidenciando una buena efectividad en el contacto inicial con los leads gestionados.</t>
    </r>
  </si>
  <si>
    <r>
      <rPr>
        <b/>
        <sz val="11"/>
        <color theme="1"/>
        <rFont val="Aptos Narrow"/>
        <family val="2"/>
        <scheme val="minor"/>
      </rPr>
      <t>Conclusiones:</t>
    </r>
    <r>
      <rPr>
        <sz val="11"/>
        <color theme="1"/>
        <rFont val="Aptos Narrow"/>
        <family val="2"/>
        <scheme val="minor"/>
      </rPr>
      <t xml:space="preserve">
Se registraron 91 visitas efectivas, alcanzando una tasa de conversión del 267,65 %, resultado 🟢 Óptimo, lo que evidencia una alta asistencia a sala de ventas y visitas provenientes también de citas de periodos anteriores o contactos directos.</t>
    </r>
  </si>
  <si>
    <r>
      <rPr>
        <b/>
        <sz val="11"/>
        <color theme="1"/>
        <rFont val="Aptos Narrow"/>
        <family val="2"/>
        <scheme val="minor"/>
      </rPr>
      <t>Conclusiones:</t>
    </r>
    <r>
      <rPr>
        <sz val="11"/>
        <color theme="1"/>
        <rFont val="Aptos Narrow"/>
        <family val="2"/>
        <scheme val="minor"/>
      </rPr>
      <t xml:space="preserve">
Se registró 1 venta, con una tasa de conversión del 1,10 %, resultado que se clasifica en nivel 🔴 Bajo, evidenciando oportunidad de mejora en la etapa de cierre comercial a partir de las visitas realizadas.</t>
    </r>
  </si>
  <si>
    <r>
      <rPr>
        <b/>
        <sz val="11"/>
        <color theme="1"/>
        <rFont val="Aptos Narrow"/>
        <family val="2"/>
        <scheme val="minor"/>
      </rPr>
      <t>Conclusión:</t>
    </r>
    <r>
      <rPr>
        <sz val="11"/>
        <color theme="1"/>
        <rFont val="Aptos Narrow"/>
        <family val="2"/>
        <scheme val="minor"/>
      </rPr>
      <t xml:space="preserve">
Se registraron 2 leads no gestionados de 120 asignados, equivalente al 1,67 %, resultado que se clasifica en nivel 🟡 Aceptable, evidenciando una alta cobertura en la atención de prospectos con una mínima cantidad de leads pendientes de gestión.</t>
    </r>
  </si>
  <si>
    <r>
      <rPr>
        <b/>
        <sz val="11"/>
        <color theme="1"/>
        <rFont val="Aptos Narrow"/>
        <family val="2"/>
        <scheme val="minor"/>
      </rPr>
      <t>Conclusiones</t>
    </r>
    <r>
      <rPr>
        <sz val="11"/>
        <color theme="1"/>
        <rFont val="Aptos Narrow"/>
        <family val="2"/>
        <scheme val="minor"/>
      </rPr>
      <t xml:space="preserve">
Se realizaron 392 gestiones frente a una meta de 770, alcanzando un 50,9 % de cumplimiento, resultado que se clasifica en nivel 🔴 Bajo, evidenciando una actividad comercial inferior a la meta establecida y oportunidad de fortalecer el seguimiento a los prospectos.</t>
    </r>
  </si>
  <si>
    <r>
      <rPr>
        <b/>
        <sz val="11"/>
        <color theme="1"/>
        <rFont val="Aptos Narrow"/>
        <family val="2"/>
        <scheme val="minor"/>
      </rPr>
      <t xml:space="preserve">Conclusiones
</t>
    </r>
    <r>
      <rPr>
        <sz val="11"/>
        <color theme="1"/>
        <rFont val="Aptos Narrow"/>
        <family val="2"/>
        <scheme val="minor"/>
      </rPr>
      <t>Se registró 1 venta con un tiempo de cierre de 1 día, resultado que se clasifica en nivel 🟢 Óptimo, al ubicarse dentro del rango esperado para ventas directas (1–15 días), evidenciando alta agilidad en el proceso de cierre comercial.</t>
    </r>
  </si>
  <si>
    <r>
      <rPr>
        <b/>
        <sz val="11"/>
        <color theme="1"/>
        <rFont val="Aptos Narrow"/>
        <family val="2"/>
        <scheme val="minor"/>
      </rPr>
      <t>Conclusiones</t>
    </r>
    <r>
      <rPr>
        <sz val="11"/>
        <color theme="1"/>
        <rFont val="Aptos Narrow"/>
        <family val="2"/>
        <scheme val="minor"/>
      </rPr>
      <t xml:space="preserve">
Se logró 1 venta frente a una meta de 3, alcanzando un 33,3 % de cumplimiento, resultado que se clasifica en nivel 🔴 Bajo, evidenciando oportunidad de mejorar la conversión de leads en ventas para alcanzar la meta establecida.</t>
    </r>
  </si>
  <si>
    <r>
      <rPr>
        <b/>
        <sz val="11"/>
        <color theme="1"/>
        <rFont val="Aptos Narrow"/>
        <family val="2"/>
        <scheme val="minor"/>
      </rPr>
      <t>Conclusiones</t>
    </r>
    <r>
      <rPr>
        <sz val="11"/>
        <color theme="1"/>
        <rFont val="Aptos Narrow"/>
        <family val="2"/>
        <scheme val="minor"/>
      </rPr>
      <t xml:space="preserve">
Se registraron 89 leads con gestión baja de 392 gestiones, equivalente al 22,7 %, resultado que se clasifica en nivel 🟡 En mejora, evidenciando seguimiento comercial aceptable pero con oportunidad de fortalecer la profundidad del contacto con los prospectos.</t>
    </r>
  </si>
  <si>
    <t>Se logra la meta de 2 ventas en el período</t>
  </si>
  <si>
    <t>CIERRE FEBRERO 2026</t>
  </si>
  <si>
    <t>Suma de Febrero</t>
  </si>
  <si>
    <t>RESULTADO 03/2026</t>
  </si>
  <si>
    <t>CALIFICACIÓN MARZO</t>
  </si>
  <si>
    <t>Invertido Marzo</t>
  </si>
  <si>
    <t>CPL Marzo</t>
  </si>
  <si>
    <t>De 1710 Leads, se perdieron 195 en total. 👉 Resultado: 11,4 % de leads perdidos
👉 Leads  calificados: 88,5 %</t>
  </si>
  <si>
    <t>Referidos de broker</t>
  </si>
  <si>
    <t>2 ventas</t>
  </si>
  <si>
    <t>Paola</t>
  </si>
  <si>
    <t>Marzo: Se realiza despido con justa causa de Alzurak y entra Paola Arenas</t>
  </si>
  <si>
    <t>NATALIA</t>
  </si>
  <si>
    <t xml:space="preserve">INGRID </t>
  </si>
  <si>
    <t>PAOLA</t>
  </si>
  <si>
    <t>INGRID</t>
  </si>
  <si>
    <t>Viernes mes Marzo</t>
  </si>
  <si>
    <t>MARZO</t>
  </si>
  <si>
    <t>RESULTADO Mar/2026</t>
  </si>
  <si>
    <t>El KPI de cumplimiento de la meta global de ventas refleja un desempeño excelente (🟢), alcanzando un 140% de cumplimiento con 14 cierres frente a una meta ajustada de 10 unidades. Este resultado evidencia una alta efectividad comercial y capacidad de cierre del equipo, incluso en un contexto retador de inicio de año marcado por la falta de claridad en precios hasta el mes de marzo. Es importante precisar que, aunque la meta estructural del proyecto corresponde a 20 unidades, la reducción temporal a 10 permitió una medición más realista acorde al momento coyuntural. En este sentido, el sobrecumplimiento no solo valida la estrategia comercial adoptada, sino que demuestra una respuesta ágil del equipo ante condiciones de incertidumbre, sentando una base sólida para retomar el ritmo esperado en los próximos periodos.</t>
  </si>
  <si>
    <t>El KPI de total invertido en el mes presenta un comportamiento mixto, evidenciando oportunidades de optimización en la gestión del presupuesto comercial. Por un lado, la inversión asociada a la meta supera el presupuesto con un 112%, lo que indica una sobreejecución que debe ser analizada en términos de retorno y eficiencia. Por otro lado, el canal de Google Ads muestra una subutilización significativa (65%), ubicándose en nivel inadecuado, lo que sugiere una posible pérdida de oportunidades de generación de demanda en un canal clave. En conjunto, el resultado refleja una desalineación en la distribución de la inversión, donde no necesariamente se está optimizando el mix de medios. Se recomienda ajustar la planeación y ejecución presupuestal, priorizando una asignación más estratégica que maximice el impacto comercial y asegure un uso equilibrado y eficiente de los recursos.</t>
  </si>
  <si>
    <t>El KPI de Costo por Lead (CPL) promedio refleja un desempeño óptimo (🟢), con un valor de $848 en marzo, significativamente por debajo del umbral de excelencia establecido (≤ $3.000). Adicionalmente, se evidencia una mejora del 18% frente a febrero, lo que confirma una optimización efectiva en la eficiencia de las campañas digitales. Este resultado indica una adecuada gestión de la inversión publicitaria, logrando generar leads calificados a un costo altamente competitivo. En términos estratégicos, el desempeño del indicador sugiere que el canal digital está operando con un alto nivel de eficiencia, por lo que representa una oportunidad clave para escalar inversión de manera controlada y maximizar resultados comerciales manteniendo estos niveles de costo.</t>
  </si>
  <si>
    <t>El KPI de cumplimiento de meta de leads generados presenta un desempeño excelente (🟢), alcanzando un 114% de cumplimiento con 1.710 leads frente a una meta de 1.500. Este resultado evidencia una alta efectividad en la generación de demanda a través de las campañas digitales, superando el objetivo establecido y consolidando un flujo robusto de oportunidades comerciales. Al analizarlo en conjunto con el bajo costo por lead, se confirma no solo volumen sino también eficiencia en la inversión, lo que fortalece la estrategia digital. Este desempeño representa una base sólida para el equipo comercial, permitiendo enfocar esfuerzos en la conversión de leads a ventas y la optimización del embudo comercial en los siguientes periodos.</t>
  </si>
  <si>
    <t>El KPI de leads calificados presenta un desempeño sobresaliente (🟢), con un 88% de calificación sobre el total de leads generados, superando ampliamente el umbral óptimo (&gt;40%). Este resultado evidencia una altísima calidad en la generación de leads, confirmando que las campañas no solo están atrayendo volumen, sino también perfiles altamente alineados con el cliente objetivo. Adicionalmente, el crecimiento de leads calificados frente a febrero refuerza la consistencia y mejora en la estrategia de segmentación. En términos estratégicos, este indicador valida la efectividad del embudo comercial desde su etapa inicial, permitiendo al equipo enfocarse en la conversión y cierre, con una base sólida de oportunidades reales y bien perfiladas.</t>
  </si>
  <si>
    <r>
      <t xml:space="preserve">6,09 % / 60 % = 10,15 % del cumplimiento esperado                              </t>
    </r>
    <r>
      <rPr>
        <sz val="11"/>
        <color theme="1"/>
        <rFont val="Aptos Narrow"/>
        <family val="2"/>
        <scheme val="minor"/>
      </rPr>
      <t>El KPI de conversión de leads a citas presenta un desempeño crítico (🔴), con una tasa de 6,09%, muy por debajo del rango mínimo esperado (≥ 40%). A pesar de evidenciarse un incremento en el número de citas agendadas frente a febrero, el volumen de leads calificados es significativamente alto, lo que diluye la tasa de conversión y refleja una brecha importante en la gestión comercial en la etapa de contacto y agendamiento. Este resultado indica que, aunque la estrategia de generación de leads es altamente efectiva en volumen y calidad, no se está logrando capitalizar adecuadamente en la fase de seguimiento y cierre de citas. Es fundamental fortalecer los procesos de contacto, tiempos de respuesta, argumentación comercial y disciplina de seguimiento, para convertir el alto flujo de oportunidades en citas efectivas y mejorar el rendimiento del embudo comercial.</t>
    </r>
  </si>
  <si>
    <r>
      <rPr>
        <b/>
        <sz val="11"/>
        <color theme="1"/>
        <rFont val="Aptos Narrow"/>
        <family val="2"/>
        <scheme val="minor"/>
      </rPr>
      <t xml:space="preserve">3,57 % / 30% = 11,9 % del cumplimiento esperado    </t>
    </r>
    <r>
      <rPr>
        <sz val="11"/>
        <color theme="1"/>
        <rFont val="Aptos Narrow"/>
        <family val="2"/>
        <scheme val="minor"/>
      </rPr>
      <t xml:space="preserve">                                            El KPI de conversión de leads a visitas presenta un desempeño crítico (🔴), con una tasa de 3,57%, muy por debajo del mínimo esperado (≥ 15%). Aunque se observa un leve incremento en el número de visitas frente al mes anterior, este crecimiento no es proporcional al alto volumen de leads calificados, lo que evidencia una baja efectividad en la transformación de interés en acciones reales de acercamiento comercial. Este resultado confirma una ruptura en el embudo comercial, especialmente en la etapa de gestión y seguimiento, donde no se está logrando movilizar a los prospectos hacia visitas efectivas. Es fundamental reforzar la estrategia comercial en términos de contacto oportuno, argumentación de valor, agendamiento efectivo y confirmación de asistencia, para capitalizar el alto volumen y calidad de leads generados y mejorar significativamente el desempeño en esta etapa clave del proceso de ventas.</t>
    </r>
  </si>
  <si>
    <t>El KPI de conversión de visitas a ventas presenta un desempeño sobresaliente (🟢), con una tasa de 18,52%, superando ampliamente el rango óptimo establecido (3%–8%). Este resultado evidencia una alta efectividad del equipo comercial en el cierre, logrando capitalizar de manera muy eficiente las visitas generadas. A pesar de las debilidades identificadas en las etapas previas del embudo (conversión a citas y visitas), cuando el cliente llega a la fase de contacto directo, la gestión comercial demuestra una fuerte capacidad de persuasión, cierre y alineación con el producto ofrecido. Este indicador confirma que el principal foco de mejora no está en el cierre, sino en fortalecer las etapas iniciales del embudo para incrementar el volumen de visitas, lo que potencialmente permitiría escalar significativamente los resultados comerciales.</t>
  </si>
  <si>
    <t>Tasa de Conversión Global (%) = Número de ventas digitales confirmadas / Total de leads generados</t>
  </si>
  <si>
    <r>
      <rPr>
        <b/>
        <sz val="11"/>
        <color theme="1"/>
        <rFont val="Aptos Narrow"/>
        <family val="2"/>
        <scheme val="minor"/>
      </rPr>
      <t xml:space="preserve">0,58% / 3% = 19 % del cumplimiento esperado    </t>
    </r>
    <r>
      <rPr>
        <sz val="11"/>
        <color theme="1"/>
        <rFont val="Aptos Narrow"/>
        <family val="2"/>
        <scheme val="minor"/>
      </rPr>
      <t xml:space="preserve">                                                  El KPI de tasa de conversión global de ventas presenta un desempeño crítico (🔴), con una conversión aproximada del 0,58% (10 ventas sobre 1.710 leads), ubicándose por debajo del mínimo esperado (&lt; 1%). Este resultado evidencia que, aunque el área comercial está logrando una alta generación de leads y una excelente tasa de cierre sobre visitas, el embudo presenta fuertes ineficiencias en las etapas intermedias, particularmente en la conversión de leads a citas y visitas. En consecuencia, el volumen de oportunidades no logra transformarse proporcionalmente en ventas efectivas. Se concluye que el principal reto no está en la calidad del producto ni en la capacidad de cierre, sino en la gestión comercial inicial (contacto, seguimiento y agendamiento), donde se deben enfocar los esfuerzos estratégicos para mejorar la eficiencia global del proceso y maximizar el retorno de la inversión en marketing.</t>
    </r>
  </si>
  <si>
    <t>El KPI de participación de ventas por canales digitales presenta un desempeño óptimo (🟢), con una participación del 71,43%, superando ampliamente el umbral establecido (≥ 50%). Este resultado evidencia que el canal digital se ha consolidado como la principal fuente de generación de ventas, demostrando alta efectividad en la atracción de clientes y en su contribución directa a los cierres comerciales. Asimismo, confirma que la estrategia digital está correctamente orientada y alineada con el mercado objetivo. No obstante, este alto nivel de dependencia también refuerza la importancia de optimizar las etapas intermedias del embudo (conversión a citas y visitas), ya que cualquier mejora en estos puntos tendría un impacto directo y significativo en el incremento de ventas totales, potenciando aún más el rendimiento del canal digital.</t>
  </si>
  <si>
    <t>El KPI de tasa de contacto inicial presenta un desempeño óptimo (🟢), alcanzando un 90%, lo que evidencia una alta capacidad de respuesta y gestión oportuna del equipo comercial en el primer acercamiento a los leads. Este resultado confirma que el volumen de leads está siendo efectivamente atendido en su gran mayoría, lo cual es un punto fuerte dentro del proceso comercial. Sin embargo, la existencia de 174 leads pendientes por gestión representa una oportunidad de mejora, ya que estos podrían impactar directamente en las tasas de conversión posteriores. En este sentido, aunque el indicador cumple ampliamente la meta, es clave trabajar en el cierre total del ciclo de contacto para maximizar el aprovechamiento del flujo de leads y fortalecer la eficiencia global del embudo comercial.</t>
  </si>
  <si>
    <t>El KPI de leads perdidos presenta un desempeño óptimo (🟢), con un 11,4% de pérdida sobre el total de leads, lo que indica una gestión comercial sólida y una adecuada trazabilidad del proceso. Este resultado refleja que la gran mayoría de los leads están siendo gestionados y avanzan dentro del embudo, alcanzando además un alto porcentaje de leads calificados (88,5%). No obstante, el análisis de causas evidencia oportunidades claras de mejora, especialmente en contactabilidad (no contesta y problemas de contacto) y en la categoría de “prueba”, que concentra una proporción relevante de pérdidas y sugiere posibles fallas en la calidad del registro o clasificación de leads. En este sentido, si bien el indicador global es positivo, es clave implementar acciones enfocadas en la depuración de bases de datos, fortalecimiento del seguimiento comercial y mejora en la calificación inicial, con el fin de optimizar aún más la eficiencia del embudo y reducir pérdidas evitables.</t>
  </si>
  <si>
    <t>El KPI de número de alianzas estratégicas formalizadas presenta un desempeño bajo (🔴), considerando que a la fecha solo se evidencian resultados asociados a referidos de broker que han generado 2 ventas, sin una consolidación clara de nuevas alianzas frente a la meta trimestral de 6. Esto indica un avance insuficiente en la estructuración de canales alternos de generación de negocio, limitando la diversificación de fuentes de ventas. Si bien los resultados obtenidos a través de broker reflejan potencial en este tipo de estrategia, es fundamental formalizar y escalar alianzas comerciales, estableciendo acuerdos estructurados, seguimiento y metas claras por aliado. Fortalecer este frente permitirá reducir la dependencia del canal digital y ampliar el alcance comercial del proyecto de manera más sostenible.</t>
  </si>
  <si>
    <t>El KPI de cumplimiento de meta individual del equipo presenta un desempeño sobresaliente (🟢), con un promedio de cumplimiento del 144%, superando ampliamente el umbral óptimo (≥ 90%). Este resultado evidencia un alto nivel de productividad y efectividad comercial por parte del equipo, destacándose especialmente el desempeño de los asesores, quienes no solo cumplieron, sino que superaron significativamente sus metas individuales. Este indicador confirma que el equipo cuenta con capacidades sólidas de cierre, disciplina comercial y alineación con los objetivos, constituyéndose en una de las principales fortalezas del área. En este contexto, el reto estratégico no está en el desempeño del equipo, sino en potenciar el volumen de oportunidades en las etapas previas del embudo, de manera que este alto nivel de efectividad pueda traducirse en un mayor número de ventas totales.</t>
  </si>
  <si>
    <t>El indicador de rotación del personal comercial se mantiene controlado (🟢), evidenciando una adecuada estabilidad del equipo, pese a la novedad presentada en el mes de marzo con la salida de un colaborador por justa causa y la incorporación de un nuevo recurso. Este movimiento no representa un impacto negativo significativo en el indicador, ya que responde a una decisión puntual y no a una tendencia de rotación. Por el contrario, la rápida vinculación de una nueva asesora permite mantener la continuidad operativa y la capacidad comercial del equipo. No obstante, es importante hacer seguimiento a la adaptación y desempeño del nuevo integrante para asegurar la estabilidad del equipo y sostener los niveles de productividad alcanzados.</t>
  </si>
  <si>
    <t>El KPI de índice de productividad por asesor presenta un desempeño bajo (🔴), ya que todas las asesoras se encuentran por debajo del umbral mínimo esperado (&lt; 1,8%), con resultados de 1,30% (Ingrid), 1,57% (Natalia) y 1,05% (Paola). Este comportamiento evidencia una baja eficiencia en la conversión de leads asignados a ventas, lo cual contrasta con el buen desempeño en cierre cuando se logra avanzar en el embudo. El resultado sugiere que el alto volumen de leads por asesor no está siendo aprovechado de manera óptima, posiblemente por sobrecarga operativa, dispersión en la gestión o falta de profundidad en el seguimiento individual. En este sentido, se hace necesario revisar la distribución de leads, la calidad de los mismos y los tiempos efectivos de gestión, así como fortalecer herramientas y estrategias de priorización y seguimiento, con el fin de mejorar la productividad individual y alinear este indicador con el alto potencial demostrado en etapas finales del proceso comercial.</t>
  </si>
  <si>
    <t>El KPI de tiempo promedio de cierre de negocios presenta un desempeño sobresaliente (🟢), con un promedio de 5 días, muy por debajo de la meta establecida de 30 días. Este resultado evidencia una altísima eficiencia del equipo comercial en el proceso de cierre, logrando convertir oportunidades en ventas en tiempos significativamente reducidos. Se destaca además que varios negocios se cierran el mismo día o en pocos días, lo que refleja agilidad, claridad en la oferta y una excelente capacidad de respuesta al cliente. Este indicador reafirma que el equipo es altamente efectivo en las etapas finales del embudo, por lo que el principal potencial de mejora del área radica en fortalecer las fases iniciales del proceso comercial, con el fin de incrementar el volumen de oportunidades que llegan a esta etapa de cierre altamente eficiente.</t>
  </si>
  <si>
    <t>El KPI de porcentaje de ventas por canal presenta un desempeño favorable (🟢) en términos generales, con un cumplimiento global del 122%, impulsado principalmente por el sobrecumplimiento del canal digital (200%), que se consolida como el principal motor de ventas. El canal tradicional cumple la meta establecida (100%), evidenciando estabilidad, mientras que el canal de referidos presenta un desempeño por debajo de lo esperado (67%), lo que indica una oportunidad clara de fortalecimiento. Este comportamiento refleja una alta dependencia del canal digital, lo cual ha sido efectivo en resultados, pero sugiere la necesidad de diversificar y potenciar canales complementarios, especialmente referidos y alianzas, para lograr un equilibrio más sostenible en la estrategia comercial y mitigar riesgos asociados a la concentración en un solo canal.</t>
  </si>
  <si>
    <t>Envio de informe general del área del cierre de mes</t>
  </si>
  <si>
    <t>Informe enviado al cerrar el período</t>
  </si>
  <si>
    <t>Nro informes enviados / mes</t>
  </si>
  <si>
    <t>Informe enviado</t>
  </si>
  <si>
    <t>Cumple</t>
  </si>
  <si>
    <t>Si</t>
  </si>
  <si>
    <t>Se medira en mayo</t>
  </si>
  <si>
    <t>Durante el mes de marzo, se logró el envío del 100 % de los informes de ventas semanales en las fechas programadas (cada viernes), garantizando la continuidad del seguimiento comercial y la trazabilidad de resultados.
El indicador refleja puntualidad, compromiso y cumplimiento administrativo del área comercial.</t>
  </si>
  <si>
    <t>El KPI de gestión de leads presenta un desempeño óptimo (🟢), alcanzando un 100% de gestión sobre los leads asignados, lo que evidencia una disciplina operativa sólida y un alto nivel de cumplimiento en el seguimiento comercial individual. Este resultado confirma que los leads están siendo atendidos en su totalidad dentro del periodo, asegurando cobertura completa del embudo en su etapa inicial. No obstante, el hecho de no registrar gestiones adicionales sobre leads de periodos anteriores sugiere una oportunidad de mejora en la reactivación y reprocesamiento de oportunidades no convertidas, lo cual podría contribuir a incrementar las tasas de conversión sin depender exclusivamente de nuevos leads. En este contexto, el indicador refleja una gestión eficiente, pero con potencial de optimización en estrategias de recuperación y profundización comercial.</t>
  </si>
  <si>
    <r>
      <rPr>
        <b/>
        <sz val="11"/>
        <color theme="1"/>
        <rFont val="Aptos Narrow"/>
        <family val="2"/>
        <scheme val="minor"/>
      </rPr>
      <t>7,79 % / 10 % =77,9 % del cumplimiento esperado</t>
    </r>
    <r>
      <rPr>
        <sz val="11"/>
        <color theme="1"/>
        <rFont val="Aptos Narrow"/>
        <family val="2"/>
        <scheme val="minor"/>
      </rPr>
      <t xml:space="preserve">               El KPI de conversión a citas presenta un desempeño aceptable (🟡), con una tasa de 7,79%, ubicándose dentro del rango de mejora (7%–9,9%) pero aún por debajo del nivel óptimo (≥ 10%). Este resultado evidencia que el equipo comercial está logrando una conversión inicial funcional, coherente con la alta tasa de contacto alcanzada, pero todavía con oportunidades importantes para optimizar la efectividad en el agendamiento. La brecha hacia el nivel óptimo sugiere la necesidad de fortalecer aspectos como la calidad del discurso comercial, la identificación de necesidades del cliente, la rapidez en el contacto y la insistencia estructurada en el seguimiento. Mejorar este indicador es clave, ya que representa el primer punto crítico de transformación del embudo y tiene un impacto directo en el incremento de visitas y, posteriormente, en las ventas.</t>
    </r>
  </si>
  <si>
    <r>
      <t xml:space="preserve">50 % / 30 % = 100 % del cumplimiento esperado             </t>
    </r>
    <r>
      <rPr>
        <sz val="11"/>
        <color theme="1"/>
        <rFont val="Aptos Narrow"/>
        <family val="2"/>
        <scheme val="minor"/>
      </rPr>
      <t>El KPI de conversión a visitas presenta un desempeño óptimo (🟢), con una tasa del 50%, ubicándose en el límite superior del rango esperado y cumpliendo plenamente la meta establecida. Este resultado evidencia una alta efectividad en la gestión de citas, logrando que una proporción significativa de clientes agendados efectivamente asistan a sala de ventas o recorridos, lo cual refleja compromiso del cliente y una adecuada gestión de confirmación y seguimiento por parte del equipo comercial. Este indicador confirma que, una vez se logra el agendamiento, el proceso comercial fluye de manera eficiente, por lo que el principal foco de mejora continúa estando en fortalecer la conversión inicial a citas para incrementar el volumen de oportunidades que llegan a esta etapa altamente efectiva.</t>
    </r>
  </si>
  <si>
    <t>El KPI de ventas por canales digitales (conversión de visitas a ventas) presenta un desempeño sobresaliente (🟢), con una tasa de 33,33%, superando ampliamente el umbral óptimo establecido (≥ 10%). Este resultado evidencia una altísima efectividad del equipo comercial en el cierre de negocios provenientes del canal digital, confirmando que las visitas generadas son de alta calidad y que el equipo cuenta con habilidades sólidas de negociación, argumentación y cierre. Este indicador refuerza que el canal digital no solo aporta volumen, sino también resultados altamente efectivos en conversión, consolidándose como un pilar estratégico del negocio. En este contexto, el mayor potencial de crecimiento radica en incrementar el volumen de visitas, ya que la capacidad de cierre está plenamente validada y podría escalar significativamente los resultados comerciales totales.</t>
  </si>
  <si>
    <t>El indicador de leads no gestionados refleja un desempeño óptimo (🟢) al registrar 0 casos sin atención (0,00%) sobre un total de 308 leads asignados, cumpliendo plenamente con la meta de gestión del 100%. Este resultado evidencia un alto nivel de disciplina operativa, control del proceso comercial y compromiso del equipo, asegurando que todas las oportunidades generadas reciben atención oportuna. Este nivel de ejecución elimina pérdidas por falta de contacto y fortalece la base del embudo comercial; sin embargo, el enfoque estratégico debe centrarse ahora en mejorar la calidad de la gestión y las tasas de conversión en etapas posteriores, para maximizar el retorno sobre el volumen de leads atendidos.</t>
  </si>
  <si>
    <t>El indicador de gestión general de leads presenta un desempeño óptimo (🟢) con un cumplimiento del 119,20%, superando ampliamente la meta establecida de 875 gestiones al alcanzar un total de 1.043. Este resultado evidencia un alto nivel de actividad comercial, disciplina operativa y compromiso del equipo en el seguimiento continuo de los prospectos, garantizando una presencia constante a lo largo del embudo de ventas. La sobre ejecución refleja una adecuada dinámica de trabajo y una fuerte orientación a la gestión; sin embargo, el foco estratégico debe centrarse en asegurar que este alto volumen de gestiones se traduzca en mayores tasas de conversión, optimizando la calidad de las interacciones y priorizando los leads con mayor probabilidad de cierre para maximizar el impacto en resultados comerciales.</t>
  </si>
  <si>
    <t>El indicador de tiempo promedio de cierre presenta un desempeño altamente óptimo (🟢) con un promedio de 4,5 días, evidenciando una excelente eficiencia del proceso comercial desde el primer contacto hasta el cierre. Este resultado refleja un equipo con alta capacidad de respuesta, agilidad en la gestión y una efectiva conversión en ciclos muy cortos, lo cual es especialmente favorable para la rotación del inventario y el flujo de caja del proyecto. Este nivel de desempeño indica que el equipo no solo cumple, sino que supera ampliamente los estándares esperados, consolidando una operación comercial ágil y altamente productiva. El reto estratégico en adelante será mantener esta velocidad sin sacrificar calidad en la venta, asegurando cierres sostenibles y clientes bien perfilados.</t>
  </si>
  <si>
    <t>El indicador de índice de productividad por asesor presenta un cumplimiento del 100%, ubicándose en nivel óptimo (🟢) al alcanzar exactamente la meta establecida de 4 ventas. Este resultado evidencia que el asesor cumple con lo esperado en términos de conversión de leads en ventas, manteniendo un desempeño sólido y alineado con los objetivos comerciales. Si bien se logra el estándar requerido, existe una oportunidad de mejora en superar la meta y aumentar la productividad, apalancándose en el alto volumen de leads gestionados y en la eficiencia demostrada en otras etapas del embudo, con el fin de generar un impacto aún mayor en los resultados del equipo.</t>
  </si>
  <si>
    <t>El indicador de porcentaje de gestión baja presenta un resultado del 40,6% (125 de 308 leads), ubicándose en nivel bajo (🔴) y evidenciando una debilidad importante en la profundidad y constancia del seguimiento comercial. A pesar de que el equipo gestiona el 100% de los leads, una proporción significativa no alcanza el nivel mínimo esperado de interacción (menos de 6 notas), lo que sugiere gestiones superficiales o falta de trazabilidad en el CRM. Este hallazgo indica que el reto no está en la cobertura, sino en la calidad del seguimiento, impactando directamente las tasas de conversión en el embudo. Es clave implementar acciones como estandarización de contactos mínimos por lead, seguimiento estructurado, control de calidad en CRM y acompañamiento al equipo comercial, para fortalecer la gestión y asegurar un proceso más robusto y efectivo.</t>
  </si>
  <si>
    <t>El indicador de evaluación de ventas Croma presenta un cumplimiento del 100%, al alcanzar las 2 ventas frente a una meta de 2, lo que refleja un desempeño positivo y alineado con lo esperado para el período. Si bien la meta se cumple en su totalidad, es importante considerar que el indicador aún se encuentra en etapa de definición, por lo que se recomienda establecer rangos de evaluación más exigentes en próximos periodos que permitan medir no solo el cumplimiento, sino también el nivel de sobre ejecución y crecimiento del canal. Este resultado confirma un buen arranque comercial, con oportunidad de escalar y consolidar el desempeño en futuras mediciones.</t>
  </si>
  <si>
    <t>El indicador de evaluación de ventas de parqueaderos presenta un cumplimiento del 100%, alcanzando las 2 ventas frente a la meta establecida de 2, lo que evidencia un desempeño positivo y alineado con los objetivos del período. Este resultado confirma una adecuada gestión comercial en este producto; sin embargo, al ser un indicador aún por definir en sus rangos de evaluación, se recomienda estructurar métricas más robustas que permitan medir niveles de desempeño superiores, identificar oportunidades de crecimiento y potenciar este ingreso complementario dentro de la estrategia comercial global.</t>
  </si>
  <si>
    <t>Revisar encuestas, aún no estan separadas por asesor, se separan para el mes de abril</t>
  </si>
  <si>
    <t>El indicador de gestión de leads para la asesora presenta un cumplimiento del 100%, ubicándose en nivel óptimo (🟢) al gestionar la totalidad de los 255 leads asignados. Este resultado evidencia una excelente disciplina comercial, compromiso y capacidad de respuesta, garantizando que ninguna oportunidad quede sin atención. La asesora demuestra un alto nivel de organización y seguimiento, lo cual fortalece la base del embudo comercial y contribuye positivamente a los resultados del equipo. En adelante, el enfoque debe centrarse en potenciar la calidad de la gestión y la conversión de estos leads en citas, visitas y ventas, para capitalizar al máximo este desempeño sobresaliente en cobertura.</t>
  </si>
  <si>
    <t>El indicador de conversión a citas para la asesora presenta un resultado de 7,45%, ubicándose en nivel aceptable (🟡) dentro del rango de mejora. Este desempeño evidencia que, si bien se están generando citas a partir de los leads gestionados, aún existe una oportunidad importante de optimizar la efectividad del contacto inicial, especialmente en aspectos como el discurso comercial, la rapidez de respuesta y la capacidad de generar interés inmediato en el cliente. Considerando que la asesora tiene un 100% de gestión de leads, el foco estratégico debe centrarse en elevar la calidad de la interacción y la argumentación, ya que el volumen de gestión ya está garantizado. Con ajustes en técnicas de conversión, es altamente probable lograr un salto hacia niveles óptimos y mejorar significativamente el desempeño en el embudo comercial.</t>
  </si>
  <si>
    <t>El indicador de conversión a visitas para la asesora presenta un desempeño sobresaliente (🟢) con una tasa de 73,68%, superando ampliamente el rango óptimo establecido (30%–50%). Este resultado evidencia una alta efectividad en la gestión de citas, reflejando que las oportunidades generadas están bien perfiladas y que la asesora logra movilizar al cliente hacia una visita efectiva con gran éxito. Se destaca una excelente capacidad de seguimiento, persuasión y manejo del interés del cliente, lo cual fortalece significativamente el avance en el embudo comercial. El principal reto estratégico será incrementar el volumen de citas generadas, ya que la conversión a visitas está altamente optimizada y representa una ventaja competitiva clara en el proceso de cierre.</t>
  </si>
  <si>
    <t>El indicador de ventas por canales digitales (conversión de visitas a ventas) para la asesora presenta un desempeño sobresaliente (🟢) con una tasa de 42,86%, superando ampliamente el umbral óptimo (≥ 10%). Este resultado evidencia una altísima efectividad en el cierre comercial, confirmando que las visitas gestionadas son de alta calidad y que la asesora cuenta con habilidades sólidas de negociación, manejo de objeciones y cierre. Se destaca una excelente capacidad para capitalizar las oportunidades generadas, convirtiendo un alto porcentaje en ventas efectivas. El principal foco estratégico debe orientarse a incrementar el volumen de visitas, ya que la capacidad de conversión ya está altamente optimizada y representa una palanca clave para escalar los resultados comerciales.</t>
  </si>
  <si>
    <t>El indicador de leads no gestionados para la asesora presenta un resultado óptimo (🟢) con 0 leads sin atención (0,00%) sobre un total de 255 asignados, cumpliendo plenamente con la meta de gestión del 100%. Este desempeño evidencia una excelente capacidad de respuesta, organización y disciplina comercial, asegurando que todas las oportunidades reciban seguimiento oportuno. Este nivel de ejecución elimina riesgos de pérdida por falta de contacto y fortalece la base del embudo comercial; no obstante, el foco estratégico debe centrarse en elevar la calidad del seguimiento y su impacto en la conversión, para maximizar el valor de cada lead gestionado.</t>
  </si>
  <si>
    <t>El indicador de gestión general de leads para la asesora presenta un cumplimiento del 74,7% (654 de 875), ubicándose en nivel aceptable (🟡) dentro del rango de mejora. Este resultado evidencia que existe una actividad comercial constante, pero aún insuficiente para alcanzar el nivel óptimo esperado, lo que puede limitar el avance efectivo de los leads dentro del embudo. A pesar de contar con un 100% de leads gestionados, se identifica una brecha en la intensidad y frecuencia de las interacciones, lo cual sugiere oportunidades de mejora en el seguimiento continuo y la profundidad de la gestión. El enfoque debe centrarse en incrementar el volumen de gestiones por lead (seguimientos, contactos y actualizaciones), estructurando rutinas comerciales más robustas que permitan elevar este indicador a nivel óptimo y potenciar los resultados en conversión.</t>
  </si>
  <si>
    <t>El indicador de tiempo promedio de cierre para la asesora presenta un desempeño óptimo (🟢) con un promedio cercano a 7 días, evidenciando una alta eficiencia en el proceso comercial desde el primer contacto hasta el cierre. Este resultado refleja una gran agilidad en la gestión, capacidad de respuesta y efectividad en la conversión en ciclos cortos, lo cual es altamente favorable para la dinámica comercial del proyecto. Si bien se observa un caso puntual con mayor duración (29 días), este no impacta de forma crítica el resultado general. En conjunto, la asesora demuestra una excelente capacidad de cierre en tiempos reducidos, consolidando un proceso comercial eficiente. El reto estará en mantener esta velocidad de cierre asegurando calidad en la venta y estabilidad en los resultados, especialmente en negocios de mayor complejidad.</t>
  </si>
  <si>
    <t>El indicador de índice de productividad por asesor presenta un cumplimiento del 200%, ubicándose en un nivel sobresaliente (🟢) al duplicar la meta establecida (6 ventas frente a 3). Este resultado evidencia una alta efectividad en la conversión de leads en ventas, reflejando no solo cumplimiento, sino una clara sobre ejecución del desempeño comercial. La asesora demuestra una excelente capacidad de cierre, priorización de oportunidades y aprovechamiento del embudo, consolidándose como un perfil altamente productivo dentro del equipo. Este nivel de desempeño representa una mejor práctica replicable, y el reto estratégico será mantener esta consistencia en el tiempo y escalar el volumen de oportunidades, capitalizando su alto nivel de conversión para maximizar el impacto en los resultados comerciales globales.</t>
  </si>
  <si>
    <t>El indicador de porcentaje de gestión baja para la asesora presenta un resultado del 16,1% (41 de 255 leads), ubicándose en nivel en mejora (🟡). Este desempeño indica que, aunque la gestión general es adecuada, aún existe una proporción relevante de leads con seguimiento insuficiente (menos de 6 interacciones), lo que puede limitar el avance efectivo en el embudo comercial. A diferencia de otros casos críticos, aquí se evidencia una base sólida de gestión, pero con oportunidad clara de fortalecimiento en la profundidad y consistencia del seguimiento. El enfoque debe centrarse en incrementar la trazabilidad en CRM, estandarizar el número mínimo de contactos por lead y reforzar hábitos de seguimiento, con el objetivo de llevar este indicador a nivel óptimo y potenciar las tasas de conversión en las siguientes etapas del proceso comercial.</t>
  </si>
  <si>
    <t>La asesora presenta un cumplimiento óptimo en la gestión de leads (100%), evidenciando una alta disciplina operativa y control total sobre los prospectos asignados, sin registros de leads sin atención. Este resultado refleja un adecuado seguimiento y responsabilidad en la ejecución del proceso comercial. No obstante, desde una perspectiva gerencial, el enfoque debe evolucionar de la cantidad hacia la calidad de la gestión, asegurando que este nivel de actividad se traduzca efectivamente en conversiones y cierres. En este sentido, el reto no es gestionar más, sino gestionar mejor, potenciando la efectividad del contacto y el avance real dentro del embudo de ventas.</t>
  </si>
  <si>
    <t>La asesora presenta una tasa de conversión a citas del 8,42%, ubicándose en un nivel aceptable (🟡 en rango de mejora). Este resultado indica que, aunque existe capacidad para generar citas a partir de los leads gestionados, aún hay una oportunidad clara de optimización en la calidad del primer contacto, la argumentación comercial y la velocidad de respuesta. Desde una perspectiva gerencial, el enfoque debe centrarse en fortalecer las habilidades de perfilamiento del cliente y cierre de agenda, ya que pequeños incrementos en este indicador tienen un impacto directo en todo el embudo comercial. El reto es evolucionar de un desempeño adecuado a uno óptimo, llevando la conversión por encima del 10% mediante una gestión más estratégica y efectiva del lead.</t>
  </si>
  <si>
    <t>La asesora presenta una tasa de conversión a visitas del 100%, ubicándose en un nivel óptimo (🟢 cumple y supera ampliamente la meta). Este resultado evidencia una excelente calidad en la gestión de las citas agendadas, reflejando un alto nivel de compromiso del cliente y una adecuada preparación previa por parte de la asesora. Desde una perspectiva gerencial, este indicador confirma una fortaleza clara en la etapa media del embudo comercial, donde la asesora logra capitalizar efectivamente las oportunidades generadas. El reto estratégico no está en esta fase, sino en alimentar más este punto fuerte, incrementando el volumen de citas iniciales para potenciar aún más el impacto en visitas y, posteriormente, en cierres.</t>
  </si>
  <si>
    <t>La asesora presenta una tasa de conversión a ventas del 25%, ubicándose en un nivel óptimo (🟢 cumple y supera ampliamente la meta). Este resultado evidencia una alta capacidad de cierre, logrando convertir una proporción significativa de las visitas efectivas en ventas concretas. Desde una perspectiva gerencial, este indicador confirma una fortaleza sólida en la etapa final del embudo comercial, donde la asesora demuestra habilidades efectivas de negociación, manejo de objeciones y cierre. El enfoque estratégico debe orientarse a incrementar el volumen de visitas, ya que con este nivel de efectividad, cada oportunidad adicional tiene un alto potencial de convertirse en venta, maximizando así el resultado comercial global.</t>
  </si>
  <si>
    <t>La asesora presenta un resultado óptimo en el indicador de leads no gestionados (0%), evidenciando una gestión completamente oportuna y sin pérdida de oportunidades comerciales. Este desempeño refleja un alto nivel de responsabilidad, organización y control del proceso, garantizando que el 100% de los leads asignados reciben atención y seguimiento. Desde una perspectiva gerencial, este es un indicador clave de eficiencia operativa que respalda la solidez del proceso comercial. El reto estratégico no está en este frente, sino en mantener este estándar mientras se optimizan las tasas de conversión en las etapas posteriores del embudo, asegurando que esta excelente cobertura se traduzca en mayores resultados en ventas.</t>
  </si>
  <si>
    <t>La asesora presenta un nivel de gestión general del 53,13%, ubicándose en un rango bajo (🔴 no cumple la meta), lo que evidencia una brecha significativa frente a la meta establecida de actividad comercial. Este resultado indica una insuficiente frecuencia de interacción con los leads, lo que puede afectar directamente el avance del embudo y la generación de oportunidades reales de cierre. Desde una perspectiva gerencial, aunque la asesora muestra fortalezas en etapas posteriores del proceso (conversión y cierre), existe una debilidad crítica en el volumen de gestión, que limita su potencial comercial. El enfoque prioritario debe centrarse en incrementar la disciplina de actividades diarias, establecer metas operativas claras y hacer seguimiento cercano, asegurando un flujo constante de interacciones que sostenga y potencie los resultados en ventas.</t>
  </si>
  <si>
    <t>La asesora presenta un tiempo promedio de cierre de 2,5 días, ubicándose en un nivel óptimo (🟢) y superando ampliamente los rangos esperados para ventas directas. Este resultado evidencia una alta agilidad comercial, rapidez en la gestión y capacidad efectiva de cierre en ciclos cortos, lo que representa una fortaleza significativa dentro del proceso. Desde una perspectiva gerencial, este desempeño confirma una excelente eficiencia en la etapa final del embudo; sin embargo, el reto estratégico está en incrementar el volumen de oportunidades gestionadas, ya que con este nivel de velocidad de cierre, la asesora tiene un alto potencial de escalar sus resultados comerciales si logra fortalecer la actividad en las etapas iniciales del proceso.</t>
  </si>
  <si>
    <t>No aplica en este período</t>
  </si>
  <si>
    <t>La asesora presenta un porcentaje de gestión baja del 25,8%, ubicándose en un nivel bajo (🔴), lo que evidencia una debilidad importante en la profundidad y consistencia del seguimiento comercial. Aunque logra gestionar el 100% de los leads, una proporción significativa no alcanza el nivel mínimo de interacción requerido (menos de 6 contactos), lo que limita la maduración efectiva de las oportunidades dentro del embudo. Desde una perspectiva gerencial, esto revela que el problema no es de cobertura, sino de calidad en la gestión, afectando directamente las tasas de conversión en etapas iniciales. El enfoque debe centrarse en fortalecer la disciplina de seguimiento, estandarizar el número mínimo de interacciones por lead y mejorar el uso del CRM, con el fin de convertir una gestión operativa correcta en una gestión verdaderamente efectiva.</t>
  </si>
  <si>
    <t>CIERRE MARZO 2026</t>
  </si>
  <si>
    <t>DIRECTORA COMERCIAL - LIDER SALA DE VENTAS - ASESORA COMERCIAL 1 - ASESORA COMERCIAL 2</t>
  </si>
  <si>
    <t>PAOLA ANDREA ARENAS GAVIRIA</t>
  </si>
  <si>
    <t>Asesor</t>
  </si>
  <si>
    <t>Realizados</t>
  </si>
  <si>
    <t>% participación</t>
  </si>
  <si>
    <t>Firmas de promesas T2</t>
  </si>
  <si>
    <t>Firmas</t>
  </si>
  <si>
    <r>
      <t xml:space="preserve">Conclusión desde la Dirección Comercial: </t>
    </r>
    <r>
      <rPr>
        <sz val="11"/>
        <color theme="1"/>
        <rFont val="Aptos Narrow"/>
        <family val="2"/>
        <scheme val="minor"/>
      </rPr>
      <t>Ingrid lidera el desempeño integral, con la mayor participación en traslados y la mejor efectividad (85%), además de una contribución relevante en promesas.</t>
    </r>
  </si>
  <si>
    <t>La asesora evidencia un desempeño destacado en la gestión y actualización de las dos tareas pactadas para este período, los traslados y las firmas de las promesas de la Torre 2. Este comportamiento indica un adecuado manejo de la información comercial, disciplina en el registro y seguimiento de los negocios, y una contribución relevante al orden y confiabilidad del pipeline. Este indicador respalda una base sólida en la calidad de datos, lo cual es fundamental para la toma de decisiones y la trazabilidad del proceso comercial. El enfoque debe mantenerse en sostener este nivel de rigor operativo, asegurando que la información registrada continúe siendo un habilitador estratégico para mejorar la conversión y el desempeño global del equipo.</t>
  </si>
  <si>
    <r>
      <t xml:space="preserve">Conclusión desde la Dirección Comercial: </t>
    </r>
    <r>
      <rPr>
        <sz val="11"/>
        <color theme="1"/>
        <rFont val="Aptos Narrow"/>
        <family val="2"/>
        <scheme val="minor"/>
      </rPr>
      <t>Natalia presenta alta capacidad de cierre, liderando en promesas (28.8%), pero con menor eficiencia en la gestión de traslados (13,6%).</t>
    </r>
  </si>
  <si>
    <t>La asesora presenta un desempeño sólido en la gestión operativa y control de ventas, destacándose por su alta capacidad de cierre, evidenciada en su liderazgo en firmas de promesas (28,8%).  Sin embargo, se identifica una oportunidad de mejora en la gestión de traslados (13,6%), lo que sugiere una menor eficiencia en la movilización de los clientes dentro del proceso comercial. El enfoque debe centrarse en equilibrar el desempeño del embudo, fortaleciendo las etapas intermedias para asegurar un flujo más eficiente y sostenible de oportunidades que respalden su capacidad de cierre.</t>
  </si>
  <si>
    <r>
      <t xml:space="preserve">Conclusión desde la Dirección Comercial: </t>
    </r>
    <r>
      <rPr>
        <sz val="11"/>
        <color theme="1"/>
        <rFont val="Aptos Narrow"/>
        <family val="2"/>
        <scheme val="minor"/>
      </rPr>
      <t>Paola evidencia una brecha operativa crítica, sin ejecución en traslados (0%), aunque mantiene una participación relevante en promesas (20.3%).</t>
    </r>
  </si>
  <si>
    <t>La asesora presenta una brecha operativa crítica en la gestión del proceso comercial, evidenciada por la ausencia total de ejecución en traslados (0%), lo que afecta la continuidad y sostenibilidad del embudo de ventas. Si bien mantiene una participación relevante en firmas de promesas (20,3% en promesas), este resultado no compensa la debilidad estructural en las etapas intermedias del proceso. El desempeño refleja un proceso desbalanceado y dependiente, donde la falta de ejecución en actividades clave limita la trazabilidad y eficiencia comercial. El enfoque debe centrarse en corregir de manera prioritaria la gestión operativa, fortaleciendo la ejecución en traslados para garantizar un flujo completo, consistente y sostenible de oportunidades comerciales.</t>
  </si>
  <si>
    <t>Ingrid lidera el desempeño integral, con la mayor participación en traslados y la mejor efectividad (85%), además de una contribución relevante en promesas.
Natalia presenta alta capacidad de cierre, liderando en promesas (28.8%), pero con menor eficiencia en la gestión de traslados (60%).
Paola evidencia una brecha operativa crítica, sin ejecución en traslados (0%), aunque mantiene una participación relevante en promesas (20.3%).</t>
  </si>
  <si>
    <t>Efectividad</t>
  </si>
  <si>
    <r>
      <rPr>
        <b/>
        <sz val="11"/>
        <color theme="1"/>
        <rFont val="Aptos Narrow"/>
        <family val="2"/>
        <scheme val="minor"/>
      </rPr>
      <t>Informacion del mes de FEBRERO. NO HA SALIDO MARZO Variación en la participación del proyecto en el mercado</t>
    </r>
    <r>
      <rPr>
        <sz val="11"/>
        <color theme="1"/>
        <rFont val="Aptos Narrow"/>
        <family val="2"/>
        <scheme val="minor"/>
      </rPr>
      <t xml:space="preserve">
El proyecto Ciudadela San Miguel presentó cambios importantes en su participación de mercado durante el periodo analizado:
Diciembre: 15 ventas de 99 totales → 15,15 % (🟢 Excelente)
Enero: 4 ventas de 59 totales → 6,78 % (🔴 Deficiente)
Febrero: 5 ventas de 41 totales → 12,20 % (🟡 Aceptable)
Esto evidencia una caída significativa en enero, seguida de una recuperación parcial en febrero, ubicándose nuevamente dentro de un rango competitivo frente al mercado.
</t>
    </r>
    <r>
      <rPr>
        <b/>
        <sz val="11"/>
        <color theme="1"/>
        <rFont val="Aptos Narrow"/>
        <family val="2"/>
        <scheme val="minor"/>
      </rPr>
      <t>Contexto del comportamiento del mercado</t>
    </r>
    <r>
      <rPr>
        <sz val="11"/>
        <color theme="1"/>
        <rFont val="Aptos Narrow"/>
        <family val="2"/>
        <scheme val="minor"/>
      </rPr>
      <t xml:space="preserve">
Se observa una disminución general en el volumen total de ventas del mercado (de 99 en diciembre a 41 en febrero), lo cual indica un escenario de desaceleración comercial en el sector, que puede estar influenciado por factores como condiciones económicas, acceso a crédito o comportamiento de la demanda.</t>
    </r>
    <r>
      <rPr>
        <b/>
        <sz val="11"/>
        <color theme="1"/>
        <rFont val="Aptos Narrow"/>
        <family val="2"/>
        <scheme val="minor"/>
      </rPr>
      <t xml:space="preserve">
Posicionamiento frente a la competencia</t>
    </r>
    <r>
      <rPr>
        <sz val="11"/>
        <color theme="1"/>
        <rFont val="Aptos Narrow"/>
        <family val="2"/>
        <scheme val="minor"/>
      </rPr>
      <t xml:space="preserve">
Durante febrero, proyectos como Azzuri, Fontanar y Mazzú presentan una mayor participación en el mercado, lo que sugiere una competencia activa que está captando una porción relevante de la demanda disponible.
</t>
    </r>
    <r>
      <rPr>
        <b/>
        <sz val="11"/>
        <color theme="1"/>
        <rFont val="Aptos Narrow"/>
        <family val="2"/>
        <scheme val="minor"/>
      </rPr>
      <t>Tendencia del proyecto</t>
    </r>
    <r>
      <rPr>
        <sz val="11"/>
        <color theme="1"/>
        <rFont val="Aptos Narrow"/>
        <family val="2"/>
        <scheme val="minor"/>
      </rPr>
      <t xml:space="preserve">
La recuperación de participación en febrero demuestra que el proyecto mantiene capacidad competitiva en el mercado, aunque aún se encuentra por debajo del nivel de liderazgo alcanzado en diciembre.
</t>
    </r>
    <r>
      <rPr>
        <b/>
        <sz val="11"/>
        <color theme="1"/>
        <rFont val="Aptos Narrow"/>
        <family val="2"/>
        <scheme val="minor"/>
      </rPr>
      <t>Recomendación estratégica</t>
    </r>
    <r>
      <rPr>
        <sz val="11"/>
        <color theme="1"/>
        <rFont val="Aptos Narrow"/>
        <family val="2"/>
        <scheme val="minor"/>
      </rPr>
      <t xml:space="preserve">
Se recomienda fortalecer las estrategias de visibilidad del proyecto, activación comercial y posicionamiento frente a la competencia, especialmente en canales digitales y alianzas comerciales, con el objetivo de volver a niveles de participación superiores al 15 % y consolidar el liderazgo en el mercado.</t>
    </r>
  </si>
  <si>
    <t>ASESORA COMERCIAL NATALIA</t>
  </si>
  <si>
    <t>ASESORA COMERCIAL PAOLA</t>
  </si>
  <si>
    <t>Suma de Marzo</t>
  </si>
  <si>
    <t>ABRIL</t>
  </si>
  <si>
    <t>RESULTADO ABR/2026</t>
  </si>
  <si>
    <t>CALIFICACIÓN ABRIL</t>
  </si>
  <si>
    <t xml:space="preserve">NATALA </t>
  </si>
  <si>
    <t>Asignados</t>
  </si>
  <si>
    <r>
      <t xml:space="preserve">Conclusión desde la Dirección Comercial: 4,5/5 </t>
    </r>
    <r>
      <rPr>
        <sz val="11"/>
        <color theme="1"/>
        <rFont val="Aptos Narrow"/>
        <family val="2"/>
        <scheme val="minor"/>
      </rPr>
      <t xml:space="preserve">Natalia es na muy buena comercial, ha mejorado en el tema administrativo, esta muy juiciosa, resalta que le gusta atender visitas virtuales, muy proactiva en este sentido, ha hecho muy buena labor. </t>
    </r>
  </si>
  <si>
    <t>RESULTADO 04/2026</t>
  </si>
  <si>
    <t>Asignado</t>
  </si>
  <si>
    <r>
      <t xml:space="preserve">Conclusión desde la Dirección Comercial: </t>
    </r>
    <r>
      <rPr>
        <sz val="11"/>
        <color theme="1"/>
        <rFont val="Aptos Narrow"/>
        <family val="2"/>
        <scheme val="minor"/>
      </rPr>
      <t xml:space="preserve">5/5 Excelente gestion comercial, tiene una muy buena atencion al cliente, con gran capacidad de cierre, se resalta esto. Por mejorar la gestión del Zoho </t>
    </r>
  </si>
  <si>
    <r>
      <t xml:space="preserve">Conclusión desde la Dirección Comercial: 5/5, </t>
    </r>
    <r>
      <rPr>
        <sz val="11"/>
        <color theme="1"/>
        <rFont val="Aptos Narrow"/>
        <family val="2"/>
        <scheme val="minor"/>
      </rPr>
      <t>resalto la buena labor en gestiones, aunque tiene varios negocios con baja gestión, es la que más leads nuevos evacúa. La felicito por su 100% de la meta y la venta de 2 parqueaderos.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</si>
</sst>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 #,##0.00_-;\-&quot;$&quot;\ * #,##0.00_-;_-&quot;$&quot;\ * &quot;-&quot;??_-;_-@_-"/>
    <numFmt numFmtId="164" formatCode="0.0%"/>
    <numFmt numFmtId="165" formatCode="0.000%"/>
    <numFmt numFmtId="166" formatCode="0.000"/>
    <numFmt numFmtId="167" formatCode="dd\-mm\-yyyy"/>
    <numFmt numFmtId="168" formatCode="d\-m\-yyyy"/>
    <numFmt numFmtId="169" formatCode="dd/mm/yyyy"/>
  </numFmts>
  <fonts count="27"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
      <b/>
      <sz val="16"/>
      <color theme="1"/>
      <name val="Aptos Narrow"/>
      <family val="2"/>
      <scheme val="minor"/>
    </font>
    <font>
      <sz val="14"/>
      <color theme="1"/>
      <name val="Aptos Narrow"/>
      <family val="2"/>
      <scheme val="minor"/>
    </font>
    <font>
      <b/>
      <sz val="9"/>
      <color theme="1"/>
      <name val="Aptos Narrow"/>
      <family val="2"/>
      <scheme val="minor"/>
    </font>
    <font>
      <b/>
      <sz val="9"/>
      <color theme="0"/>
      <name val="Aptos Narrow"/>
      <family val="2"/>
      <scheme val="minor"/>
    </font>
    <font>
      <sz val="8"/>
      <name val="Aptos Narrow"/>
      <family val="2"/>
      <scheme val="minor"/>
    </font>
    <font>
      <sz val="11"/>
      <color theme="1"/>
      <name val="Calibri"/>
      <family val="2"/>
    </font>
    <font>
      <sz val="10"/>
      <color theme="1"/>
      <name val="Arial"/>
      <family val="2"/>
    </font>
    <font>
      <b/>
      <sz val="18"/>
      <color theme="0"/>
      <name val="Aptos Narrow"/>
      <family val="2"/>
      <scheme val="minor"/>
    </font>
    <font>
      <b/>
      <sz val="18"/>
      <color theme="1"/>
      <name val="Aptos Narrow"/>
      <family val="2"/>
      <scheme val="minor"/>
    </font>
    <font>
      <sz val="18"/>
      <color theme="1"/>
      <name val="Aptos Narrow"/>
      <family val="2"/>
      <scheme val="minor"/>
    </font>
    <font>
      <sz val="12"/>
      <color rgb="FF222222"/>
      <name val="Arial"/>
      <family val="2"/>
    </font>
    <font>
      <b/>
      <sz val="14"/>
      <color theme="1"/>
      <name val="Aptos Narrow"/>
      <family val="2"/>
      <scheme val="minor"/>
    </font>
    <font>
      <sz val="11"/>
      <name val="Aptos Narrow"/>
      <family val="2"/>
      <scheme val="minor"/>
    </font>
    <font>
      <sz val="9"/>
      <color indexed="81"/>
      <name val="Tahoma"/>
      <family val="2"/>
    </font>
    <font>
      <b/>
      <sz val="9"/>
      <color indexed="81"/>
      <name val="Tahoma"/>
      <family val="2"/>
    </font>
    <font>
      <b/>
      <sz val="11"/>
      <color theme="0"/>
      <name val="Aptos Narrow"/>
      <family val="2"/>
      <scheme val="minor"/>
    </font>
    <font>
      <sz val="11"/>
      <color theme="1"/>
      <name val="Arial"/>
      <family val="2"/>
    </font>
    <font>
      <sz val="10"/>
      <color rgb="FF434343"/>
      <name val="Arial"/>
      <family val="2"/>
    </font>
    <font>
      <sz val="10"/>
      <color rgb="FF434343"/>
      <name val="Roboto"/>
    </font>
    <font>
      <b/>
      <sz val="11"/>
      <name val="Aptos Narrow"/>
      <family val="2"/>
      <scheme val="minor"/>
    </font>
    <font>
      <sz val="10"/>
      <color rgb="FF000000"/>
      <name val="Aptos Narrow"/>
      <family val="2"/>
      <scheme val="minor"/>
    </font>
    <font>
      <sz val="10"/>
      <color theme="1"/>
      <name val="Arial"/>
      <family val="2"/>
    </font>
    <font>
      <sz val="10"/>
      <color theme="1"/>
      <name val="Arial"/>
      <family val="2"/>
    </font>
  </fonts>
  <fills count="30">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3" tint="0.89999084444715716"/>
        <bgColor indexed="64"/>
      </patternFill>
    </fill>
    <fill>
      <patternFill patternType="solid">
        <fgColor theme="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9"/>
        <bgColor indexed="64"/>
      </patternFill>
    </fill>
    <fill>
      <patternFill patternType="solid">
        <fgColor theme="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CC"/>
        <bgColor rgb="FFFFFFFF"/>
      </patternFill>
    </fill>
    <fill>
      <patternFill patternType="solid">
        <fgColor rgb="FFFFFFCC"/>
        <bgColor rgb="FFF8F9FA"/>
      </patternFill>
    </fill>
    <fill>
      <patternFill patternType="solid">
        <fgColor theme="5" tint="0.79998168889431442"/>
        <bgColor rgb="FFFFFFFF"/>
      </patternFill>
    </fill>
    <fill>
      <patternFill patternType="solid">
        <fgColor theme="5" tint="0.79998168889431442"/>
        <bgColor rgb="FFF8F9FA"/>
      </patternFill>
    </fill>
    <fill>
      <patternFill patternType="solid">
        <fgColor theme="3" tint="0.89999084444715716"/>
        <bgColor rgb="FFF8F9FA"/>
      </patternFill>
    </fill>
    <fill>
      <patternFill patternType="solid">
        <fgColor theme="3" tint="0.89999084444715716"/>
        <bgColor rgb="FFFFFFFF"/>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auto="1"/>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top style="thin">
        <color auto="1"/>
      </top>
      <bottom style="thin">
        <color auto="1"/>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24" fillId="0" borderId="0"/>
  </cellStyleXfs>
  <cellXfs count="1539">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2" xfId="0" applyFont="1" applyBorder="1" applyAlignment="1">
      <alignment horizontal="center" vertical="center" wrapText="1"/>
    </xf>
    <xf numFmtId="0" fontId="0" fillId="0" borderId="0" xfId="0" applyAlignment="1">
      <alignment horizontal="left"/>
    </xf>
    <xf numFmtId="0" fontId="1" fillId="0" borderId="1" xfId="0" applyFont="1" applyBorder="1" applyAlignment="1">
      <alignment vertical="center" wrapText="1"/>
    </xf>
    <xf numFmtId="0" fontId="0" fillId="0" borderId="1" xfId="0" applyBorder="1" applyAlignment="1">
      <alignment horizontal="left" vertical="center" wrapText="1"/>
    </xf>
    <xf numFmtId="9" fontId="0" fillId="0" borderId="1" xfId="0" applyNumberFormat="1" applyBorder="1" applyAlignment="1">
      <alignment horizontal="left" vertical="center" wrapText="1"/>
    </xf>
    <xf numFmtId="0" fontId="0" fillId="0" borderId="5" xfId="0" applyBorder="1"/>
    <xf numFmtId="0" fontId="0" fillId="0" borderId="6" xfId="0" applyBorder="1"/>
    <xf numFmtId="0" fontId="0" fillId="0" borderId="7" xfId="0" applyBorder="1"/>
    <xf numFmtId="0" fontId="0" fillId="2" borderId="0" xfId="0" applyFill="1"/>
    <xf numFmtId="0" fontId="0" fillId="0" borderId="0" xfId="0" applyAlignment="1">
      <alignment horizontal="center" vertical="center"/>
    </xf>
    <xf numFmtId="0" fontId="0" fillId="0" borderId="8" xfId="0" applyBorder="1"/>
    <xf numFmtId="0" fontId="0" fillId="0" borderId="9" xfId="0" applyBorder="1"/>
    <xf numFmtId="0" fontId="1"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1" fillId="0" borderId="22" xfId="0" applyFont="1" applyBorder="1"/>
    <xf numFmtId="0" fontId="1" fillId="0" borderId="0" xfId="0" applyFont="1" applyAlignment="1">
      <alignment horizontal="center"/>
    </xf>
    <xf numFmtId="0" fontId="0" fillId="0" borderId="1" xfId="0" applyBorder="1"/>
    <xf numFmtId="0" fontId="6" fillId="0" borderId="8" xfId="0" applyFont="1" applyBorder="1"/>
    <xf numFmtId="0" fontId="0" fillId="0" borderId="1" xfId="0" applyBorder="1" applyAlignment="1">
      <alignment horizontal="center"/>
    </xf>
    <xf numFmtId="0" fontId="6" fillId="0" borderId="24" xfId="0" applyFont="1" applyBorder="1"/>
    <xf numFmtId="9" fontId="0" fillId="0" borderId="1" xfId="1" applyFont="1" applyBorder="1"/>
    <xf numFmtId="9" fontId="0" fillId="0" borderId="0" xfId="1" applyFont="1" applyBorder="1"/>
    <xf numFmtId="1" fontId="0" fillId="0" borderId="1" xfId="1" applyNumberFormat="1" applyFont="1" applyBorder="1"/>
    <xf numFmtId="1" fontId="0" fillId="0" borderId="1" xfId="1" applyNumberFormat="1" applyFont="1" applyBorder="1" applyAlignment="1">
      <alignment horizontal="center"/>
    </xf>
    <xf numFmtId="0" fontId="7" fillId="0" borderId="0" xfId="0" applyFont="1"/>
    <xf numFmtId="0" fontId="7" fillId="0" borderId="1" xfId="0" applyFont="1" applyBorder="1"/>
    <xf numFmtId="0" fontId="3" fillId="0" borderId="0" xfId="0" applyFont="1" applyAlignment="1">
      <alignment horizontal="center"/>
    </xf>
    <xf numFmtId="0" fontId="3" fillId="0" borderId="1" xfId="0" applyFont="1" applyBorder="1" applyAlignment="1">
      <alignment horizontal="center"/>
    </xf>
    <xf numFmtId="0" fontId="0" fillId="0" borderId="25" xfId="0" applyBorder="1"/>
    <xf numFmtId="0" fontId="0" fillId="0" borderId="25" xfId="0" applyBorder="1" applyAlignment="1">
      <alignment horizontal="center"/>
    </xf>
    <xf numFmtId="0" fontId="3" fillId="0" borderId="20" xfId="0" applyFont="1" applyBorder="1" applyAlignment="1">
      <alignment horizontal="center"/>
    </xf>
    <xf numFmtId="0" fontId="3" fillId="0" borderId="20" xfId="0" applyFont="1" applyBorder="1"/>
    <xf numFmtId="0" fontId="3" fillId="0" borderId="6" xfId="0" applyFont="1" applyBorder="1" applyAlignment="1">
      <alignment horizontal="center"/>
    </xf>
    <xf numFmtId="0" fontId="1" fillId="0" borderId="8" xfId="0" applyFont="1" applyBorder="1" applyAlignment="1">
      <alignment horizontal="left"/>
    </xf>
    <xf numFmtId="0" fontId="6" fillId="0" borderId="1" xfId="0" applyFont="1" applyBorder="1"/>
    <xf numFmtId="0" fontId="1" fillId="0" borderId="1" xfId="0" applyFont="1" applyBorder="1"/>
    <xf numFmtId="9" fontId="0" fillId="5" borderId="1" xfId="1" applyFont="1" applyFill="1" applyBorder="1"/>
    <xf numFmtId="0" fontId="1" fillId="0" borderId="1" xfId="0" applyFont="1" applyBorder="1" applyAlignment="1">
      <alignment horizontal="left"/>
    </xf>
    <xf numFmtId="0" fontId="6" fillId="0" borderId="0" xfId="0" applyFont="1"/>
    <xf numFmtId="1" fontId="0" fillId="0" borderId="1" xfId="0" applyNumberFormat="1" applyBorder="1"/>
    <xf numFmtId="9" fontId="1" fillId="0" borderId="1" xfId="1" applyFont="1" applyBorder="1" applyAlignment="1">
      <alignment vertical="center" wrapText="1"/>
    </xf>
    <xf numFmtId="0" fontId="0" fillId="0" borderId="0" xfId="0" applyAlignment="1">
      <alignment horizontal="left" vertical="center"/>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vertical="center" wrapText="1"/>
    </xf>
    <xf numFmtId="0" fontId="9" fillId="0" borderId="0" xfId="0" applyFont="1" applyAlignment="1">
      <alignment horizontal="left" vertical="center" wrapText="1"/>
    </xf>
    <xf numFmtId="0" fontId="0" fillId="0" borderId="22" xfId="0" applyBorder="1" applyAlignment="1">
      <alignment vertical="center" wrapText="1"/>
    </xf>
    <xf numFmtId="0" fontId="0" fillId="0" borderId="34" xfId="0" applyBorder="1" applyAlignment="1">
      <alignment horizontal="left" vertical="center"/>
    </xf>
    <xf numFmtId="0" fontId="0" fillId="0" borderId="25" xfId="0" applyBorder="1" applyAlignment="1">
      <alignment vertical="center" wrapText="1"/>
    </xf>
    <xf numFmtId="0" fontId="1" fillId="0" borderId="22" xfId="0" applyFont="1" applyBorder="1" applyAlignment="1">
      <alignment horizontal="center" vertical="center" wrapText="1"/>
    </xf>
    <xf numFmtId="0" fontId="1" fillId="0" borderId="2" xfId="0" applyFont="1" applyBorder="1"/>
    <xf numFmtId="0" fontId="1" fillId="0" borderId="13" xfId="0" applyFont="1" applyBorder="1" applyAlignment="1">
      <alignment horizontal="center" vertical="center" wrapText="1"/>
    </xf>
    <xf numFmtId="0" fontId="0" fillId="0" borderId="28" xfId="0" applyBorder="1" applyAlignment="1">
      <alignment vertical="center" wrapText="1"/>
    </xf>
    <xf numFmtId="0" fontId="0" fillId="0" borderId="36" xfId="0" applyBorder="1" applyAlignment="1">
      <alignment vertical="center" wrapText="1"/>
    </xf>
    <xf numFmtId="0" fontId="0" fillId="0" borderId="24" xfId="0" applyBorder="1" applyAlignment="1">
      <alignment horizontal="center" vertical="center"/>
    </xf>
    <xf numFmtId="0" fontId="0" fillId="0" borderId="34" xfId="0" applyBorder="1" applyAlignment="1">
      <alignment vertical="center" wrapText="1"/>
    </xf>
    <xf numFmtId="0" fontId="0" fillId="0" borderId="34" xfId="0" applyBorder="1" applyAlignment="1">
      <alignment vertical="center"/>
    </xf>
    <xf numFmtId="0" fontId="1" fillId="0" borderId="32" xfId="0" applyFont="1" applyBorder="1" applyAlignment="1">
      <alignment horizontal="center" vertical="center" wrapText="1"/>
    </xf>
    <xf numFmtId="9" fontId="1" fillId="0" borderId="46" xfId="1" applyFont="1" applyFill="1" applyBorder="1" applyAlignment="1">
      <alignment horizontal="center" vertical="center" wrapText="1"/>
    </xf>
    <xf numFmtId="9" fontId="0" fillId="0" borderId="30" xfId="0" applyNumberFormat="1" applyBorder="1" applyAlignment="1">
      <alignment horizontal="center" vertical="center"/>
    </xf>
    <xf numFmtId="9" fontId="0" fillId="0" borderId="30" xfId="1" applyFont="1" applyBorder="1" applyAlignment="1">
      <alignment horizontal="center" vertical="center"/>
    </xf>
    <xf numFmtId="9" fontId="0" fillId="0" borderId="38" xfId="1" applyFont="1" applyBorder="1" applyAlignment="1">
      <alignment horizontal="center" vertical="center"/>
    </xf>
    <xf numFmtId="9" fontId="0" fillId="6" borderId="24" xfId="1" applyFont="1" applyFill="1" applyBorder="1" applyAlignment="1">
      <alignment horizontal="center" vertical="center"/>
    </xf>
    <xf numFmtId="9" fontId="0" fillId="7" borderId="24" xfId="1" applyFont="1" applyFill="1" applyBorder="1" applyAlignment="1">
      <alignment horizontal="center" vertical="center"/>
    </xf>
    <xf numFmtId="0" fontId="0" fillId="0" borderId="2" xfId="0" applyBorder="1" applyAlignment="1">
      <alignment horizontal="center" vertical="center" wrapText="1"/>
    </xf>
    <xf numFmtId="0" fontId="0" fillId="0" borderId="13" xfId="0" applyBorder="1" applyAlignment="1">
      <alignment horizontal="center" vertical="center" wrapText="1"/>
    </xf>
    <xf numFmtId="9" fontId="0" fillId="7" borderId="24" xfId="0" applyNumberFormat="1" applyFill="1" applyBorder="1" applyAlignment="1">
      <alignment horizontal="center" vertical="center"/>
    </xf>
    <xf numFmtId="9" fontId="1" fillId="0" borderId="0" xfId="0" applyNumberFormat="1" applyFont="1" applyAlignment="1">
      <alignment horizontal="center"/>
    </xf>
    <xf numFmtId="0" fontId="0" fillId="0" borderId="0" xfId="0" pivotButton="1"/>
    <xf numFmtId="0" fontId="0" fillId="0" borderId="0" xfId="0" applyAlignment="1">
      <alignment horizontal="left" indent="1"/>
    </xf>
    <xf numFmtId="9" fontId="0" fillId="0" borderId="0" xfId="0" applyNumberFormat="1"/>
    <xf numFmtId="1" fontId="0" fillId="0" borderId="0" xfId="0" applyNumberFormat="1"/>
    <xf numFmtId="0" fontId="0" fillId="9" borderId="27" xfId="0" applyFill="1" applyBorder="1" applyAlignment="1">
      <alignment horizontal="left" vertical="center" wrapText="1"/>
    </xf>
    <xf numFmtId="0" fontId="0" fillId="9" borderId="22" xfId="0" applyFill="1" applyBorder="1" applyAlignment="1">
      <alignment horizontal="left" vertical="center"/>
    </xf>
    <xf numFmtId="0" fontId="0" fillId="9" borderId="22" xfId="0" applyFill="1" applyBorder="1" applyAlignment="1">
      <alignment horizontal="left" vertical="center" wrapText="1"/>
    </xf>
    <xf numFmtId="0" fontId="0" fillId="9" borderId="28" xfId="0" applyFill="1" applyBorder="1" applyAlignment="1">
      <alignment horizontal="left" vertical="center"/>
    </xf>
    <xf numFmtId="0" fontId="0" fillId="9" borderId="24" xfId="0" applyFill="1" applyBorder="1" applyAlignment="1">
      <alignment horizontal="left" vertical="center" wrapText="1"/>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9" borderId="29" xfId="0" applyFill="1" applyBorder="1" applyAlignment="1">
      <alignment horizontal="left" vertical="center"/>
    </xf>
    <xf numFmtId="0" fontId="0" fillId="9" borderId="24" xfId="0" applyFill="1" applyBorder="1" applyAlignment="1">
      <alignment horizontal="left" vertical="center"/>
    </xf>
    <xf numFmtId="0" fontId="0" fillId="9" borderId="29" xfId="0" applyFill="1" applyBorder="1" applyAlignment="1">
      <alignment horizontal="left" vertical="center" wrapText="1"/>
    </xf>
    <xf numFmtId="10" fontId="0" fillId="9" borderId="1" xfId="0" applyNumberFormat="1" applyFill="1" applyBorder="1" applyAlignment="1">
      <alignment horizontal="left" vertical="center" wrapText="1"/>
    </xf>
    <xf numFmtId="10" fontId="0" fillId="9" borderId="29" xfId="0" applyNumberFormat="1" applyFill="1" applyBorder="1" applyAlignment="1">
      <alignment horizontal="left" vertical="center" wrapText="1"/>
    </xf>
    <xf numFmtId="10" fontId="0" fillId="9" borderId="1" xfId="1" applyNumberFormat="1" applyFont="1" applyFill="1" applyBorder="1" applyAlignment="1">
      <alignment horizontal="left" vertical="center" wrapText="1"/>
    </xf>
    <xf numFmtId="10" fontId="0" fillId="9" borderId="29" xfId="1" applyNumberFormat="1" applyFont="1" applyFill="1" applyBorder="1" applyAlignment="1">
      <alignment horizontal="left" vertical="center" wrapText="1"/>
    </xf>
    <xf numFmtId="0" fontId="0" fillId="9" borderId="24" xfId="0" applyFill="1" applyBorder="1" applyAlignment="1">
      <alignment horizontal="center" vertical="center"/>
    </xf>
    <xf numFmtId="0" fontId="0" fillId="9" borderId="1" xfId="0" applyFill="1" applyBorder="1" applyAlignment="1">
      <alignment horizontal="center" vertical="center"/>
    </xf>
    <xf numFmtId="0" fontId="0" fillId="9" borderId="29" xfId="0" applyFill="1" applyBorder="1" applyAlignment="1">
      <alignment horizontal="center" vertical="center"/>
    </xf>
    <xf numFmtId="0" fontId="0" fillId="9" borderId="24" xfId="0" applyFill="1" applyBorder="1"/>
    <xf numFmtId="0" fontId="0" fillId="9" borderId="1" xfId="0" applyFill="1" applyBorder="1" applyAlignment="1">
      <alignment horizontal="center"/>
    </xf>
    <xf numFmtId="0" fontId="0" fillId="9" borderId="29" xfId="0" applyFill="1" applyBorder="1" applyAlignment="1">
      <alignment horizontal="center"/>
    </xf>
    <xf numFmtId="0" fontId="0" fillId="9" borderId="40" xfId="0" applyFill="1" applyBorder="1" applyAlignment="1">
      <alignment horizontal="left" vertical="center"/>
    </xf>
    <xf numFmtId="0" fontId="0" fillId="9" borderId="25" xfId="0" applyFill="1" applyBorder="1" applyAlignment="1">
      <alignment horizontal="left" vertical="center"/>
    </xf>
    <xf numFmtId="0" fontId="0" fillId="9" borderId="25" xfId="0" applyFill="1" applyBorder="1" applyAlignment="1">
      <alignment horizontal="center" vertical="center"/>
    </xf>
    <xf numFmtId="0" fontId="0" fillId="9" borderId="36" xfId="0" applyFill="1" applyBorder="1" applyAlignment="1">
      <alignment horizontal="left" vertical="center"/>
    </xf>
    <xf numFmtId="0" fontId="0" fillId="9" borderId="31" xfId="0" applyFill="1" applyBorder="1" applyAlignment="1">
      <alignment horizontal="left" vertical="center"/>
    </xf>
    <xf numFmtId="0" fontId="0" fillId="9" borderId="4" xfId="0" applyFill="1" applyBorder="1" applyAlignment="1">
      <alignment horizontal="center" vertical="center" wrapText="1"/>
    </xf>
    <xf numFmtId="0" fontId="0" fillId="9" borderId="42" xfId="0" applyFill="1" applyBorder="1" applyAlignment="1">
      <alignment horizontal="center" vertical="center"/>
    </xf>
    <xf numFmtId="0" fontId="0" fillId="9" borderId="1" xfId="0" applyFill="1" applyBorder="1" applyAlignment="1">
      <alignment horizontal="center" vertical="center" wrapText="1"/>
    </xf>
    <xf numFmtId="9" fontId="0" fillId="9" borderId="34" xfId="1" applyFont="1" applyFill="1" applyBorder="1" applyAlignment="1">
      <alignment horizontal="center" vertical="center"/>
    </xf>
    <xf numFmtId="0" fontId="0" fillId="9" borderId="34" xfId="0" applyFill="1" applyBorder="1" applyAlignment="1">
      <alignment horizontal="left" vertical="center"/>
    </xf>
    <xf numFmtId="9" fontId="0" fillId="9" borderId="34" xfId="1" applyFont="1" applyFill="1" applyBorder="1" applyAlignment="1">
      <alignment horizontal="left" vertical="center"/>
    </xf>
    <xf numFmtId="14" fontId="0" fillId="9" borderId="1" xfId="0" applyNumberFormat="1" applyFill="1" applyBorder="1" applyAlignment="1">
      <alignment horizontal="left" vertical="center"/>
    </xf>
    <xf numFmtId="0" fontId="0" fillId="0" borderId="34" xfId="0" applyBorder="1" applyAlignment="1">
      <alignment horizontal="center" vertical="center" wrapText="1"/>
    </xf>
    <xf numFmtId="9" fontId="0" fillId="8" borderId="24" xfId="1" applyFont="1" applyFill="1" applyBorder="1" applyAlignment="1">
      <alignment horizontal="center" vertical="center"/>
    </xf>
    <xf numFmtId="0" fontId="0" fillId="0" borderId="32" xfId="0" applyBorder="1" applyAlignment="1">
      <alignment vertical="center"/>
    </xf>
    <xf numFmtId="0" fontId="0" fillId="9" borderId="34" xfId="0" applyFill="1" applyBorder="1" applyAlignment="1">
      <alignment horizontal="center" vertical="center"/>
    </xf>
    <xf numFmtId="9" fontId="0" fillId="0" borderId="18" xfId="1" applyFont="1" applyBorder="1" applyAlignment="1">
      <alignment horizontal="center" vertical="center"/>
    </xf>
    <xf numFmtId="9" fontId="0" fillId="0" borderId="46" xfId="1" applyFont="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9" fontId="0" fillId="8" borderId="27" xfId="0" applyNumberFormat="1" applyFill="1" applyBorder="1" applyAlignment="1">
      <alignment horizontal="center" vertical="center"/>
    </xf>
    <xf numFmtId="9" fontId="0" fillId="9" borderId="39" xfId="1" applyFont="1" applyFill="1" applyBorder="1" applyAlignment="1">
      <alignment horizontal="left" vertical="center"/>
    </xf>
    <xf numFmtId="0" fontId="0" fillId="9" borderId="27" xfId="0" applyFill="1" applyBorder="1" applyAlignment="1">
      <alignment horizontal="left" vertical="center"/>
    </xf>
    <xf numFmtId="0" fontId="0" fillId="9" borderId="32" xfId="0" applyFill="1" applyBorder="1" applyAlignment="1">
      <alignment horizontal="left" vertical="center"/>
    </xf>
    <xf numFmtId="0" fontId="0" fillId="0" borderId="4" xfId="0" applyBorder="1" applyAlignment="1">
      <alignment vertical="center" wrapText="1"/>
    </xf>
    <xf numFmtId="0" fontId="0" fillId="9" borderId="51" xfId="0" applyFill="1" applyBorder="1" applyAlignment="1">
      <alignment horizontal="left" vertical="center"/>
    </xf>
    <xf numFmtId="0" fontId="0" fillId="9" borderId="2" xfId="0" applyFill="1" applyBorder="1" applyAlignment="1">
      <alignment horizontal="left" vertical="center"/>
    </xf>
    <xf numFmtId="9" fontId="0" fillId="9" borderId="52" xfId="1" applyFont="1" applyFill="1" applyBorder="1" applyAlignment="1">
      <alignment horizontal="left" vertical="center"/>
    </xf>
    <xf numFmtId="0" fontId="0" fillId="0" borderId="17" xfId="0" applyBorder="1" applyAlignment="1">
      <alignment vertical="center" wrapText="1"/>
    </xf>
    <xf numFmtId="0" fontId="0" fillId="9" borderId="2" xfId="0" applyFill="1" applyBorder="1" applyAlignment="1">
      <alignment horizontal="center" vertical="center"/>
    </xf>
    <xf numFmtId="0" fontId="13" fillId="0" borderId="0" xfId="0" applyFont="1" applyAlignment="1">
      <alignment vertical="center"/>
    </xf>
    <xf numFmtId="44" fontId="0" fillId="9" borderId="1" xfId="2" applyFont="1" applyFill="1" applyBorder="1" applyAlignment="1">
      <alignment horizontal="left" vertical="center"/>
    </xf>
    <xf numFmtId="44" fontId="0" fillId="9" borderId="29" xfId="2" applyFont="1" applyFill="1" applyBorder="1" applyAlignment="1">
      <alignment horizontal="left" vertical="center"/>
    </xf>
    <xf numFmtId="2" fontId="0" fillId="9" borderId="29" xfId="1" applyNumberFormat="1" applyFont="1" applyFill="1" applyBorder="1" applyAlignment="1">
      <alignment horizontal="left" vertical="center" wrapText="1"/>
    </xf>
    <xf numFmtId="0" fontId="0" fillId="8" borderId="24" xfId="0" applyFill="1" applyBorder="1"/>
    <xf numFmtId="0" fontId="0" fillId="8" borderId="1" xfId="0" applyFill="1" applyBorder="1" applyAlignment="1">
      <alignment horizontal="center"/>
    </xf>
    <xf numFmtId="0" fontId="0" fillId="8" borderId="29" xfId="0" applyFill="1" applyBorder="1" applyAlignment="1">
      <alignment horizontal="center"/>
    </xf>
    <xf numFmtId="9" fontId="0" fillId="0" borderId="24" xfId="1" applyFont="1" applyFill="1" applyBorder="1" applyAlignment="1">
      <alignment horizontal="center" vertical="center"/>
    </xf>
    <xf numFmtId="9" fontId="0" fillId="0" borderId="27" xfId="0" applyNumberFormat="1" applyBorder="1" applyAlignment="1">
      <alignment horizontal="center" vertical="center"/>
    </xf>
    <xf numFmtId="14" fontId="10" fillId="9" borderId="1" xfId="0" applyNumberFormat="1" applyFont="1" applyFill="1" applyBorder="1" applyAlignment="1">
      <alignment horizontal="center" wrapText="1"/>
    </xf>
    <xf numFmtId="14" fontId="0" fillId="9" borderId="1" xfId="0" applyNumberFormat="1" applyFill="1" applyBorder="1" applyAlignment="1">
      <alignment horizontal="center" wrapText="1"/>
    </xf>
    <xf numFmtId="0" fontId="1" fillId="9" borderId="1" xfId="0" applyFont="1" applyFill="1" applyBorder="1" applyAlignment="1">
      <alignment horizontal="left" vertical="center"/>
    </xf>
    <xf numFmtId="9" fontId="1" fillId="9" borderId="34" xfId="1" applyFont="1" applyFill="1" applyBorder="1" applyAlignment="1">
      <alignment horizontal="left" vertical="center"/>
    </xf>
    <xf numFmtId="0" fontId="1" fillId="9" borderId="22" xfId="0" applyFont="1" applyFill="1" applyBorder="1" applyAlignment="1">
      <alignment horizontal="left" vertical="center"/>
    </xf>
    <xf numFmtId="0" fontId="1" fillId="9" borderId="32" xfId="0" applyFont="1" applyFill="1" applyBorder="1" applyAlignment="1">
      <alignment horizontal="left" vertical="center"/>
    </xf>
    <xf numFmtId="0" fontId="1" fillId="9" borderId="34" xfId="0" applyFont="1" applyFill="1" applyBorder="1" applyAlignment="1">
      <alignment horizontal="left" vertical="center"/>
    </xf>
    <xf numFmtId="0" fontId="0" fillId="0" borderId="2" xfId="0" applyBorder="1" applyAlignment="1">
      <alignment horizontal="left" vertical="center"/>
    </xf>
    <xf numFmtId="0" fontId="0" fillId="0" borderId="13" xfId="0" applyBorder="1" applyAlignment="1">
      <alignment horizontal="left" vertical="center"/>
    </xf>
    <xf numFmtId="0" fontId="0" fillId="0" borderId="27" xfId="0" applyBorder="1" applyAlignment="1">
      <alignment horizontal="left" vertical="center"/>
    </xf>
    <xf numFmtId="0" fontId="0" fillId="0" borderId="22" xfId="0" applyBorder="1" applyAlignment="1">
      <alignment horizontal="left" vertical="center"/>
    </xf>
    <xf numFmtId="0" fontId="0" fillId="0" borderId="40" xfId="0" applyBorder="1" applyAlignment="1">
      <alignment horizontal="left" vertical="center"/>
    </xf>
    <xf numFmtId="0" fontId="0" fillId="0" borderId="25" xfId="0" applyBorder="1" applyAlignment="1">
      <alignment horizontal="left" vertical="center"/>
    </xf>
    <xf numFmtId="0" fontId="0" fillId="0" borderId="27" xfId="0" applyBorder="1" applyAlignment="1">
      <alignment horizontal="left" vertical="center" wrapText="1"/>
    </xf>
    <xf numFmtId="0" fontId="0" fillId="0" borderId="40" xfId="0" applyBorder="1" applyAlignment="1">
      <alignment horizontal="left" vertical="center" wrapText="1"/>
    </xf>
    <xf numFmtId="0" fontId="0" fillId="0" borderId="2" xfId="0" applyBorder="1" applyAlignment="1">
      <alignment horizontal="left" vertical="center" wrapText="1"/>
    </xf>
    <xf numFmtId="0" fontId="14" fillId="14" borderId="0" xfId="0" applyFont="1" applyFill="1" applyAlignment="1">
      <alignment vertical="center" wrapText="1"/>
    </xf>
    <xf numFmtId="0" fontId="0" fillId="0" borderId="1" xfId="0" applyBorder="1" applyAlignment="1">
      <alignment horizontal="left" vertical="center"/>
    </xf>
    <xf numFmtId="0" fontId="0" fillId="0" borderId="2" xfId="0" applyBorder="1" applyAlignment="1">
      <alignment vertical="center" wrapText="1"/>
    </xf>
    <xf numFmtId="0" fontId="14" fillId="16" borderId="0" xfId="0" applyFont="1" applyFill="1" applyAlignment="1">
      <alignment vertical="center" wrapText="1"/>
    </xf>
    <xf numFmtId="0" fontId="0" fillId="16" borderId="0" xfId="0" applyFill="1"/>
    <xf numFmtId="0" fontId="14" fillId="8" borderId="0" xfId="0" applyFont="1" applyFill="1" applyAlignment="1">
      <alignment vertical="center" wrapText="1"/>
    </xf>
    <xf numFmtId="0" fontId="14" fillId="15" borderId="0" xfId="0" applyFont="1" applyFill="1" applyAlignment="1">
      <alignment vertical="center" wrapText="1"/>
    </xf>
    <xf numFmtId="0" fontId="1" fillId="17" borderId="1" xfId="0" applyFont="1" applyFill="1" applyBorder="1" applyAlignment="1">
      <alignment horizontal="center" vertical="center" wrapText="1"/>
    </xf>
    <xf numFmtId="0" fontId="1" fillId="17" borderId="1" xfId="0" applyFont="1" applyFill="1" applyBorder="1" applyAlignment="1">
      <alignment horizontal="center"/>
    </xf>
    <xf numFmtId="0" fontId="0" fillId="17" borderId="1" xfId="0" applyFill="1" applyBorder="1" applyAlignment="1">
      <alignment horizontal="center"/>
    </xf>
    <xf numFmtId="0" fontId="0" fillId="0" borderId="0" xfId="0" applyAlignment="1">
      <alignment vertical="center" wrapText="1"/>
    </xf>
    <xf numFmtId="9" fontId="1" fillId="0" borderId="0" xfId="1" applyFont="1" applyBorder="1" applyAlignment="1">
      <alignment horizontal="center" vertical="center" wrapText="1"/>
    </xf>
    <xf numFmtId="0" fontId="1" fillId="0" borderId="0" xfId="0" applyFont="1" applyAlignment="1">
      <alignment vertical="center" wrapText="1"/>
    </xf>
    <xf numFmtId="0" fontId="0" fillId="18" borderId="1" xfId="0" applyFill="1" applyBorder="1" applyAlignment="1">
      <alignment horizontal="center"/>
    </xf>
    <xf numFmtId="0" fontId="5" fillId="0" borderId="0" xfId="0" applyFont="1"/>
    <xf numFmtId="0" fontId="0" fillId="0" borderId="29" xfId="0" applyBorder="1" applyAlignment="1">
      <alignment horizontal="left" vertical="center" wrapText="1"/>
    </xf>
    <xf numFmtId="0" fontId="0" fillId="0" borderId="22" xfId="0" applyBorder="1" applyAlignment="1">
      <alignment horizontal="left" vertical="center" wrapText="1"/>
    </xf>
    <xf numFmtId="0" fontId="1" fillId="0" borderId="56" xfId="0" applyFont="1" applyBorder="1" applyAlignment="1">
      <alignment horizontal="center" vertical="center" wrapText="1"/>
    </xf>
    <xf numFmtId="0" fontId="0" fillId="9" borderId="4" xfId="0" applyFill="1" applyBorder="1" applyAlignment="1">
      <alignment horizontal="left" vertical="center"/>
    </xf>
    <xf numFmtId="9" fontId="0" fillId="0" borderId="24" xfId="1" applyFont="1" applyBorder="1" applyAlignment="1">
      <alignment horizontal="center" vertical="center"/>
    </xf>
    <xf numFmtId="10" fontId="0" fillId="8" borderId="24" xfId="1" applyNumberFormat="1" applyFont="1" applyFill="1" applyBorder="1" applyAlignment="1">
      <alignment horizontal="center" vertical="center"/>
    </xf>
    <xf numFmtId="9" fontId="0" fillId="8" borderId="51" xfId="1" applyFont="1" applyFill="1" applyBorder="1" applyAlignment="1">
      <alignment horizontal="center" vertical="center"/>
    </xf>
    <xf numFmtId="9" fontId="0" fillId="0" borderId="51" xfId="1" applyFont="1" applyBorder="1" applyAlignment="1">
      <alignment horizontal="center" vertical="center"/>
    </xf>
    <xf numFmtId="0" fontId="0" fillId="0" borderId="52" xfId="0" applyBorder="1" applyAlignment="1">
      <alignment vertical="center" wrapText="1"/>
    </xf>
    <xf numFmtId="9" fontId="0" fillId="13" borderId="24" xfId="1" applyFont="1" applyFill="1" applyBorder="1" applyAlignment="1">
      <alignment horizontal="center" vertical="center"/>
    </xf>
    <xf numFmtId="0" fontId="0" fillId="0" borderId="0" xfId="0" applyAlignment="1">
      <alignment wrapText="1"/>
    </xf>
    <xf numFmtId="10" fontId="0" fillId="8" borderId="24" xfId="1" applyNumberFormat="1" applyFont="1" applyFill="1" applyBorder="1" applyAlignment="1">
      <alignment vertical="center"/>
    </xf>
    <xf numFmtId="10" fontId="0" fillId="7" borderId="24" xfId="1" applyNumberFormat="1" applyFont="1" applyFill="1" applyBorder="1" applyAlignment="1">
      <alignment vertical="center"/>
    </xf>
    <xf numFmtId="1" fontId="0" fillId="9" borderId="1" xfId="1" applyNumberFormat="1" applyFont="1" applyFill="1" applyBorder="1" applyAlignment="1">
      <alignment horizontal="left" vertical="center" wrapText="1"/>
    </xf>
    <xf numFmtId="10" fontId="0" fillId="7" borderId="24" xfId="1" applyNumberFormat="1" applyFont="1" applyFill="1" applyBorder="1" applyAlignment="1">
      <alignment horizontal="center" vertical="center"/>
    </xf>
    <xf numFmtId="0" fontId="0" fillId="9" borderId="22" xfId="0" applyFill="1" applyBorder="1" applyAlignment="1">
      <alignment horizontal="center" vertical="center"/>
    </xf>
    <xf numFmtId="0" fontId="0" fillId="9" borderId="4" xfId="0" applyFill="1" applyBorder="1" applyAlignment="1">
      <alignment horizontal="center" vertical="center"/>
    </xf>
    <xf numFmtId="0" fontId="0" fillId="0" borderId="34" xfId="0" applyBorder="1" applyAlignment="1">
      <alignment horizontal="left" vertical="center" wrapText="1"/>
    </xf>
    <xf numFmtId="1" fontId="0" fillId="9" borderId="1" xfId="1" applyNumberFormat="1" applyFont="1" applyFill="1" applyBorder="1" applyAlignment="1">
      <alignment horizontal="center" vertical="center" wrapText="1"/>
    </xf>
    <xf numFmtId="9" fontId="0" fillId="9" borderId="1" xfId="1" applyFont="1" applyFill="1" applyBorder="1" applyAlignment="1">
      <alignment horizontal="center" vertical="center" wrapText="1"/>
    </xf>
    <xf numFmtId="10" fontId="0" fillId="9" borderId="1" xfId="1" applyNumberFormat="1" applyFont="1" applyFill="1" applyBorder="1" applyAlignment="1">
      <alignment horizontal="center" vertical="center"/>
    </xf>
    <xf numFmtId="0" fontId="1" fillId="0" borderId="0" xfId="0" applyFont="1" applyAlignment="1">
      <alignment horizontal="center" vertical="center" wrapText="1"/>
    </xf>
    <xf numFmtId="0" fontId="1" fillId="9" borderId="24" xfId="0" applyFont="1" applyFill="1" applyBorder="1" applyAlignment="1">
      <alignment horizontal="center" vertical="center"/>
    </xf>
    <xf numFmtId="0" fontId="0" fillId="9" borderId="34" xfId="0" applyFill="1" applyBorder="1" applyAlignment="1">
      <alignment horizontal="center" vertical="center" wrapText="1"/>
    </xf>
    <xf numFmtId="10" fontId="0" fillId="0" borderId="30" xfId="1" applyNumberFormat="1" applyFont="1" applyBorder="1" applyAlignment="1">
      <alignment horizontal="center" vertical="center"/>
    </xf>
    <xf numFmtId="0" fontId="16" fillId="9" borderId="24" xfId="0" applyFont="1" applyFill="1" applyBorder="1" applyAlignment="1">
      <alignment horizontal="left" vertical="center"/>
    </xf>
    <xf numFmtId="0" fontId="16" fillId="9" borderId="1" xfId="0" applyFont="1" applyFill="1" applyBorder="1" applyAlignment="1">
      <alignment horizontal="left" vertical="center" wrapText="1"/>
    </xf>
    <xf numFmtId="0" fontId="16" fillId="9" borderId="1" xfId="0" applyFont="1" applyFill="1" applyBorder="1" applyAlignment="1">
      <alignment horizontal="center" vertical="center"/>
    </xf>
    <xf numFmtId="0" fontId="16" fillId="9" borderId="1" xfId="0" applyFont="1" applyFill="1" applyBorder="1" applyAlignment="1">
      <alignment horizontal="left" vertical="center"/>
    </xf>
    <xf numFmtId="0" fontId="16" fillId="9" borderId="40" xfId="0" applyFont="1" applyFill="1" applyBorder="1" applyAlignment="1">
      <alignment horizontal="left" vertical="center"/>
    </xf>
    <xf numFmtId="0" fontId="16" fillId="9" borderId="25" xfId="0" applyFont="1" applyFill="1" applyBorder="1" applyAlignment="1">
      <alignment horizontal="left" vertical="center"/>
    </xf>
    <xf numFmtId="2" fontId="16" fillId="9" borderId="25" xfId="0" applyNumberFormat="1" applyFont="1" applyFill="1" applyBorder="1" applyAlignment="1">
      <alignment horizontal="center" vertical="center"/>
    </xf>
    <xf numFmtId="0" fontId="1" fillId="9" borderId="31" xfId="0" applyFont="1" applyFill="1" applyBorder="1" applyAlignment="1">
      <alignment horizontal="left" vertical="center"/>
    </xf>
    <xf numFmtId="0" fontId="1" fillId="9" borderId="4" xfId="0" applyFont="1" applyFill="1" applyBorder="1" applyAlignment="1">
      <alignment horizontal="center" vertical="center" wrapText="1"/>
    </xf>
    <xf numFmtId="0" fontId="1" fillId="9" borderId="42" xfId="0" applyFont="1" applyFill="1" applyBorder="1" applyAlignment="1">
      <alignment horizontal="center" vertical="center"/>
    </xf>
    <xf numFmtId="0" fontId="0" fillId="19" borderId="24" xfId="0" applyFill="1" applyBorder="1" applyAlignment="1">
      <alignment horizontal="center" vertical="center"/>
    </xf>
    <xf numFmtId="10" fontId="0" fillId="9" borderId="34" xfId="1" applyNumberFormat="1" applyFont="1" applyFill="1" applyBorder="1" applyAlignment="1">
      <alignment horizontal="left" vertical="center"/>
    </xf>
    <xf numFmtId="0" fontId="1" fillId="9" borderId="24" xfId="0" applyFont="1" applyFill="1" applyBorder="1" applyAlignment="1">
      <alignment horizontal="left" vertical="center"/>
    </xf>
    <xf numFmtId="0" fontId="1" fillId="9" borderId="1" xfId="0" applyFont="1" applyFill="1" applyBorder="1" applyAlignment="1">
      <alignment horizontal="left" vertical="center" wrapText="1"/>
    </xf>
    <xf numFmtId="1" fontId="0" fillId="9" borderId="1" xfId="0" applyNumberFormat="1" applyFill="1" applyBorder="1" applyAlignment="1">
      <alignment horizontal="left" vertical="center" wrapText="1"/>
    </xf>
    <xf numFmtId="0" fontId="1" fillId="9" borderId="1" xfId="0" applyFont="1" applyFill="1" applyBorder="1" applyAlignment="1">
      <alignment horizontal="center" vertical="center"/>
    </xf>
    <xf numFmtId="0" fontId="0" fillId="9" borderId="1" xfId="0" applyFill="1" applyBorder="1"/>
    <xf numFmtId="10" fontId="0" fillId="9" borderId="1" xfId="1" applyNumberFormat="1" applyFont="1" applyFill="1" applyBorder="1" applyAlignment="1">
      <alignment horizontal="center"/>
    </xf>
    <xf numFmtId="44" fontId="0" fillId="9" borderId="34" xfId="2" applyFont="1" applyFill="1" applyBorder="1" applyAlignment="1">
      <alignment horizontal="left" vertical="center"/>
    </xf>
    <xf numFmtId="0" fontId="0" fillId="9" borderId="34" xfId="0" applyFill="1" applyBorder="1" applyAlignment="1">
      <alignment horizontal="left" vertical="center" wrapText="1"/>
    </xf>
    <xf numFmtId="10" fontId="0" fillId="9" borderId="34" xfId="0" applyNumberFormat="1" applyFill="1" applyBorder="1" applyAlignment="1">
      <alignment horizontal="left" vertical="center" wrapText="1"/>
    </xf>
    <xf numFmtId="1" fontId="0" fillId="9" borderId="34" xfId="1" applyNumberFormat="1" applyFont="1" applyFill="1" applyBorder="1" applyAlignment="1">
      <alignment horizontal="left" vertical="center" wrapText="1"/>
    </xf>
    <xf numFmtId="0" fontId="1" fillId="9" borderId="34" xfId="0" applyFont="1" applyFill="1" applyBorder="1" applyAlignment="1">
      <alignment horizontal="center" vertical="center"/>
    </xf>
    <xf numFmtId="0" fontId="0" fillId="9" borderId="34" xfId="0" applyFill="1" applyBorder="1" applyAlignment="1">
      <alignment horizontal="center"/>
    </xf>
    <xf numFmtId="10" fontId="0" fillId="9" borderId="34" xfId="1" applyNumberFormat="1" applyFont="1" applyFill="1" applyBorder="1" applyAlignment="1">
      <alignment horizontal="center"/>
    </xf>
    <xf numFmtId="0" fontId="16" fillId="9" borderId="34" xfId="0" applyFont="1" applyFill="1" applyBorder="1" applyAlignment="1">
      <alignment horizontal="left" vertical="center"/>
    </xf>
    <xf numFmtId="0" fontId="1" fillId="9" borderId="27" xfId="0" applyFont="1" applyFill="1" applyBorder="1"/>
    <xf numFmtId="0" fontId="0" fillId="9" borderId="22" xfId="0" applyFill="1" applyBorder="1"/>
    <xf numFmtId="0" fontId="1" fillId="9" borderId="24" xfId="0" applyFont="1" applyFill="1" applyBorder="1"/>
    <xf numFmtId="0" fontId="1" fillId="9" borderId="1" xfId="0" applyFont="1" applyFill="1" applyBorder="1"/>
    <xf numFmtId="0" fontId="0" fillId="0" borderId="32" xfId="0" applyBorder="1" applyAlignment="1">
      <alignment vertical="center" wrapText="1"/>
    </xf>
    <xf numFmtId="14" fontId="10" fillId="9" borderId="1" xfId="0" applyNumberFormat="1" applyFont="1" applyFill="1" applyBorder="1" applyAlignment="1">
      <alignment horizontal="right" wrapText="1"/>
    </xf>
    <xf numFmtId="14" fontId="10" fillId="9" borderId="1" xfId="0" applyNumberFormat="1" applyFont="1" applyFill="1" applyBorder="1" applyAlignment="1">
      <alignment wrapText="1"/>
    </xf>
    <xf numFmtId="14" fontId="0" fillId="9" borderId="1" xfId="0" applyNumberFormat="1" applyFill="1" applyBorder="1" applyAlignment="1">
      <alignment wrapText="1"/>
    </xf>
    <xf numFmtId="0" fontId="0" fillId="8" borderId="24" xfId="0" applyFill="1" applyBorder="1" applyAlignment="1">
      <alignment horizontal="left" vertical="center" wrapText="1"/>
    </xf>
    <xf numFmtId="10" fontId="0" fillId="0" borderId="18" xfId="1" applyNumberFormat="1" applyFont="1" applyBorder="1" applyAlignment="1">
      <alignment horizontal="center" vertical="center"/>
    </xf>
    <xf numFmtId="0" fontId="0" fillId="8" borderId="40" xfId="0" applyFill="1" applyBorder="1" applyAlignment="1">
      <alignment horizontal="center" vertical="center"/>
    </xf>
    <xf numFmtId="9" fontId="1" fillId="0" borderId="61" xfId="1" applyFont="1" applyFill="1" applyBorder="1" applyAlignment="1">
      <alignment horizontal="center" vertical="center" wrapText="1"/>
    </xf>
    <xf numFmtId="0" fontId="1" fillId="0" borderId="59" xfId="0" applyFont="1" applyBorder="1" applyAlignment="1">
      <alignment horizontal="center" vertical="center" wrapText="1"/>
    </xf>
    <xf numFmtId="9" fontId="0" fillId="13" borderId="27" xfId="1" applyFont="1" applyFill="1" applyBorder="1" applyAlignment="1">
      <alignment horizontal="center" vertical="center"/>
    </xf>
    <xf numFmtId="0" fontId="0" fillId="0" borderId="32" xfId="0" applyBorder="1" applyAlignment="1">
      <alignment horizontal="left" vertical="center" wrapText="1"/>
    </xf>
    <xf numFmtId="9" fontId="0" fillId="0" borderId="46" xfId="0" applyNumberFormat="1" applyBorder="1" applyAlignment="1">
      <alignment horizontal="center" vertical="center"/>
    </xf>
    <xf numFmtId="9" fontId="0" fillId="8" borderId="31" xfId="0" applyNumberFormat="1" applyFill="1" applyBorder="1" applyAlignment="1">
      <alignment horizontal="center" vertical="center"/>
    </xf>
    <xf numFmtId="0" fontId="0" fillId="0" borderId="42" xfId="0" applyBorder="1" applyAlignment="1">
      <alignment vertical="center" wrapText="1"/>
    </xf>
    <xf numFmtId="0" fontId="0" fillId="9" borderId="32" xfId="0" applyFill="1" applyBorder="1" applyAlignment="1">
      <alignment horizontal="center" vertical="center"/>
    </xf>
    <xf numFmtId="0" fontId="16" fillId="9" borderId="39" xfId="0" applyFont="1" applyFill="1" applyBorder="1" applyAlignment="1">
      <alignment horizontal="left" vertical="center"/>
    </xf>
    <xf numFmtId="10" fontId="0" fillId="9" borderId="52" xfId="1" applyNumberFormat="1" applyFont="1" applyFill="1" applyBorder="1" applyAlignment="1">
      <alignment horizontal="left" vertical="center"/>
    </xf>
    <xf numFmtId="0" fontId="1" fillId="9" borderId="27" xfId="0" applyFont="1" applyFill="1" applyBorder="1" applyAlignment="1">
      <alignment horizontal="left" vertical="center"/>
    </xf>
    <xf numFmtId="9" fontId="0" fillId="7" borderId="31" xfId="0" applyNumberFormat="1" applyFill="1" applyBorder="1" applyAlignment="1">
      <alignment horizontal="center" vertical="center"/>
    </xf>
    <xf numFmtId="0" fontId="1" fillId="9" borderId="25" xfId="0" applyFont="1" applyFill="1" applyBorder="1"/>
    <xf numFmtId="0" fontId="0" fillId="9" borderId="25" xfId="0" applyFill="1" applyBorder="1"/>
    <xf numFmtId="0" fontId="1" fillId="0" borderId="22" xfId="0" applyFont="1" applyBorder="1" applyAlignment="1">
      <alignment horizontal="left" vertical="center" wrapText="1"/>
    </xf>
    <xf numFmtId="1" fontId="0" fillId="9" borderId="34" xfId="1" applyNumberFormat="1" applyFont="1" applyFill="1" applyBorder="1" applyAlignment="1">
      <alignment horizontal="center" vertical="center" wrapText="1"/>
    </xf>
    <xf numFmtId="0" fontId="0" fillId="9" borderId="24" xfId="0" applyFill="1" applyBorder="1" applyAlignment="1">
      <alignment vertical="center"/>
    </xf>
    <xf numFmtId="9" fontId="1" fillId="9" borderId="34" xfId="1" applyFont="1" applyFill="1" applyBorder="1" applyAlignment="1">
      <alignment horizontal="center" vertical="center"/>
    </xf>
    <xf numFmtId="0" fontId="0" fillId="9" borderId="34" xfId="0" applyFill="1" applyBorder="1"/>
    <xf numFmtId="0" fontId="0" fillId="9" borderId="39" xfId="0" applyFill="1" applyBorder="1"/>
    <xf numFmtId="0" fontId="0" fillId="9" borderId="2" xfId="0" applyFill="1" applyBorder="1" applyAlignment="1">
      <alignment horizontal="center" vertical="center" wrapText="1"/>
    </xf>
    <xf numFmtId="0" fontId="0" fillId="9" borderId="32" xfId="0" applyFill="1" applyBorder="1"/>
    <xf numFmtId="0" fontId="0" fillId="9" borderId="2" xfId="0" applyFill="1" applyBorder="1" applyAlignment="1">
      <alignment vertical="center" wrapText="1"/>
    </xf>
    <xf numFmtId="0" fontId="0" fillId="9" borderId="52" xfId="0" applyFill="1" applyBorder="1" applyAlignment="1">
      <alignment horizontal="center" vertical="center"/>
    </xf>
    <xf numFmtId="0" fontId="1" fillId="0" borderId="22" xfId="0" applyFont="1" applyBorder="1" applyAlignment="1">
      <alignment vertical="center" wrapText="1"/>
    </xf>
    <xf numFmtId="0" fontId="0" fillId="19" borderId="27" xfId="0" applyFill="1" applyBorder="1" applyAlignment="1">
      <alignment horizontal="center"/>
    </xf>
    <xf numFmtId="0" fontId="1" fillId="0" borderId="25" xfId="0" applyFont="1" applyBorder="1" applyAlignment="1">
      <alignment vertical="center" wrapText="1"/>
    </xf>
    <xf numFmtId="0" fontId="0" fillId="19" borderId="40" xfId="0" applyFill="1" applyBorder="1" applyAlignment="1">
      <alignment horizontal="center"/>
    </xf>
    <xf numFmtId="0" fontId="1" fillId="9" borderId="24" xfId="0" applyFont="1" applyFill="1" applyBorder="1" applyAlignment="1">
      <alignment vertical="center" wrapText="1"/>
    </xf>
    <xf numFmtId="0" fontId="1" fillId="9" borderId="40" xfId="0" applyFont="1" applyFill="1" applyBorder="1" applyAlignment="1">
      <alignment vertical="center" wrapText="1"/>
    </xf>
    <xf numFmtId="0" fontId="0" fillId="0" borderId="13" xfId="0" applyBorder="1" applyAlignment="1">
      <alignment vertical="center" wrapText="1"/>
    </xf>
    <xf numFmtId="0" fontId="0" fillId="0" borderId="28" xfId="0" applyBorder="1"/>
    <xf numFmtId="0" fontId="0" fillId="0" borderId="36" xfId="0" applyBorder="1"/>
    <xf numFmtId="9" fontId="1" fillId="0" borderId="27" xfId="1" applyFont="1" applyFill="1" applyBorder="1" applyAlignment="1">
      <alignment horizontal="center" vertical="center" wrapText="1"/>
    </xf>
    <xf numFmtId="9" fontId="0" fillId="0" borderId="24" xfId="0" applyNumberFormat="1" applyBorder="1" applyAlignment="1">
      <alignment horizontal="center" vertical="center"/>
    </xf>
    <xf numFmtId="10" fontId="0" fillId="0" borderId="24" xfId="0" applyNumberFormat="1" applyBorder="1" applyAlignment="1">
      <alignment horizontal="center" vertical="center"/>
    </xf>
    <xf numFmtId="0" fontId="0" fillId="0" borderId="27" xfId="0" applyBorder="1" applyAlignment="1">
      <alignment horizontal="center" vertical="center"/>
    </xf>
    <xf numFmtId="164" fontId="0" fillId="8" borderId="51" xfId="1" applyNumberFormat="1" applyFont="1" applyFill="1" applyBorder="1" applyAlignment="1">
      <alignment horizontal="center" vertical="center"/>
    </xf>
    <xf numFmtId="0" fontId="0" fillId="0" borderId="27" xfId="0" applyBorder="1" applyAlignment="1">
      <alignment horizontal="center"/>
    </xf>
    <xf numFmtId="0" fontId="0" fillId="0" borderId="40"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9" fontId="0" fillId="0" borderId="0" xfId="1" applyFont="1" applyAlignment="1">
      <alignment horizontal="center"/>
    </xf>
    <xf numFmtId="1" fontId="1" fillId="17" borderId="1" xfId="0" applyNumberFormat="1" applyFont="1" applyFill="1" applyBorder="1" applyAlignment="1">
      <alignment horizontal="center"/>
    </xf>
    <xf numFmtId="0" fontId="0" fillId="0" borderId="36" xfId="0" applyBorder="1" applyAlignment="1">
      <alignment horizontal="center"/>
    </xf>
    <xf numFmtId="9" fontId="1" fillId="7" borderId="0" xfId="0" applyNumberFormat="1" applyFont="1" applyFill="1" applyAlignment="1">
      <alignment horizontal="center"/>
    </xf>
    <xf numFmtId="9" fontId="1" fillId="6" borderId="0" xfId="0" applyNumberFormat="1" applyFont="1" applyFill="1" applyAlignment="1">
      <alignment horizontal="center"/>
    </xf>
    <xf numFmtId="9" fontId="1" fillId="21" borderId="0" xfId="0" applyNumberFormat="1" applyFont="1" applyFill="1" applyAlignment="1">
      <alignment horizontal="center"/>
    </xf>
    <xf numFmtId="9" fontId="0" fillId="0" borderId="14" xfId="1" applyFont="1" applyBorder="1" applyAlignment="1">
      <alignment horizontal="center" vertical="center"/>
    </xf>
    <xf numFmtId="0" fontId="0" fillId="0" borderId="36" xfId="0" applyBorder="1" applyAlignment="1">
      <alignment vertical="center"/>
    </xf>
    <xf numFmtId="0" fontId="0" fillId="0" borderId="28" xfId="0" applyBorder="1" applyAlignment="1">
      <alignment vertical="center"/>
    </xf>
    <xf numFmtId="164" fontId="0" fillId="0" borderId="24" xfId="1" applyNumberFormat="1" applyFont="1" applyBorder="1" applyAlignment="1">
      <alignment horizontal="center" vertical="center"/>
    </xf>
    <xf numFmtId="0" fontId="0" fillId="11" borderId="27" xfId="0" applyFill="1" applyBorder="1" applyAlignment="1">
      <alignment horizontal="left" vertical="center" wrapText="1"/>
    </xf>
    <xf numFmtId="0" fontId="0" fillId="11" borderId="22" xfId="0" applyFill="1" applyBorder="1" applyAlignment="1">
      <alignment horizontal="center" vertical="center"/>
    </xf>
    <xf numFmtId="0" fontId="0" fillId="11" borderId="22" xfId="0" applyFill="1" applyBorder="1" applyAlignment="1">
      <alignment horizontal="left" vertical="center" wrapText="1"/>
    </xf>
    <xf numFmtId="0" fontId="0" fillId="11" borderId="32" xfId="0" applyFill="1" applyBorder="1" applyAlignment="1">
      <alignment horizontal="center" vertical="center"/>
    </xf>
    <xf numFmtId="0" fontId="0" fillId="11" borderId="24" xfId="0" applyFill="1" applyBorder="1" applyAlignment="1">
      <alignment horizontal="left" vertical="center" wrapText="1"/>
    </xf>
    <xf numFmtId="44" fontId="0" fillId="11" borderId="1" xfId="2" applyFont="1" applyFill="1" applyBorder="1" applyAlignment="1">
      <alignment horizontal="left" vertical="center"/>
    </xf>
    <xf numFmtId="0" fontId="0" fillId="11" borderId="1" xfId="0" applyFill="1" applyBorder="1" applyAlignment="1">
      <alignment horizontal="left" vertical="center" wrapText="1"/>
    </xf>
    <xf numFmtId="44" fontId="0" fillId="11" borderId="34" xfId="2" applyFont="1" applyFill="1" applyBorder="1" applyAlignment="1">
      <alignment horizontal="left" vertical="center"/>
    </xf>
    <xf numFmtId="0" fontId="0" fillId="11" borderId="24" xfId="0" applyFill="1" applyBorder="1" applyAlignment="1">
      <alignment horizontal="left" vertical="center"/>
    </xf>
    <xf numFmtId="0" fontId="0" fillId="11" borderId="1" xfId="0" applyFill="1" applyBorder="1" applyAlignment="1">
      <alignment horizontal="left" vertical="center"/>
    </xf>
    <xf numFmtId="0" fontId="0" fillId="11" borderId="34" xfId="0" applyFill="1" applyBorder="1" applyAlignment="1">
      <alignment horizontal="left" vertical="center"/>
    </xf>
    <xf numFmtId="9" fontId="0" fillId="11" borderId="34" xfId="1" applyFont="1" applyFill="1" applyBorder="1" applyAlignment="1">
      <alignment horizontal="left" vertical="center"/>
    </xf>
    <xf numFmtId="0" fontId="0" fillId="11" borderId="34" xfId="0" applyFill="1" applyBorder="1" applyAlignment="1">
      <alignment horizontal="left" vertical="center" wrapText="1"/>
    </xf>
    <xf numFmtId="1" fontId="0" fillId="11" borderId="1" xfId="0" applyNumberFormat="1" applyFill="1" applyBorder="1" applyAlignment="1">
      <alignment horizontal="left" vertical="center" wrapText="1"/>
    </xf>
    <xf numFmtId="10" fontId="0" fillId="11" borderId="34" xfId="0" applyNumberFormat="1" applyFill="1" applyBorder="1" applyAlignment="1">
      <alignment horizontal="left" vertical="center" wrapText="1"/>
    </xf>
    <xf numFmtId="1" fontId="0" fillId="11" borderId="1" xfId="1" applyNumberFormat="1" applyFont="1" applyFill="1" applyBorder="1" applyAlignment="1">
      <alignment horizontal="left" vertical="center" wrapText="1"/>
    </xf>
    <xf numFmtId="1" fontId="0" fillId="11" borderId="34" xfId="1" applyNumberFormat="1" applyFont="1" applyFill="1" applyBorder="1" applyAlignment="1">
      <alignment horizontal="left" vertical="center" wrapText="1"/>
    </xf>
    <xf numFmtId="1" fontId="0" fillId="11" borderId="1" xfId="1" applyNumberFormat="1" applyFont="1" applyFill="1" applyBorder="1" applyAlignment="1">
      <alignment horizontal="center" vertical="center" wrapText="1"/>
    </xf>
    <xf numFmtId="0" fontId="1" fillId="11" borderId="1" xfId="0" applyFont="1" applyFill="1" applyBorder="1" applyAlignment="1">
      <alignment horizontal="center" vertical="center"/>
    </xf>
    <xf numFmtId="0" fontId="16" fillId="11" borderId="24" xfId="0" applyFont="1" applyFill="1" applyBorder="1" applyAlignment="1">
      <alignment horizontal="left" vertical="center"/>
    </xf>
    <xf numFmtId="0" fontId="16" fillId="11" borderId="1" xfId="0" applyFont="1" applyFill="1" applyBorder="1" applyAlignment="1">
      <alignment horizontal="center" vertical="center"/>
    </xf>
    <xf numFmtId="0" fontId="16" fillId="11" borderId="34" xfId="0" applyFont="1" applyFill="1" applyBorder="1" applyAlignment="1">
      <alignment horizontal="left" vertical="center"/>
    </xf>
    <xf numFmtId="0" fontId="16" fillId="11" borderId="1" xfId="0" applyFont="1" applyFill="1" applyBorder="1" applyAlignment="1">
      <alignment horizontal="left" vertical="center"/>
    </xf>
    <xf numFmtId="0" fontId="16" fillId="11" borderId="51" xfId="0" applyFont="1" applyFill="1" applyBorder="1" applyAlignment="1">
      <alignment horizontal="left" vertical="center"/>
    </xf>
    <xf numFmtId="0" fontId="16" fillId="11" borderId="2" xfId="0" applyFont="1" applyFill="1" applyBorder="1" applyAlignment="1">
      <alignment horizontal="left" vertical="center"/>
    </xf>
    <xf numFmtId="2" fontId="16" fillId="11" borderId="2" xfId="0" applyNumberFormat="1" applyFont="1" applyFill="1" applyBorder="1" applyAlignment="1">
      <alignment horizontal="center" vertical="center"/>
    </xf>
    <xf numFmtId="0" fontId="16" fillId="11" borderId="52" xfId="0" applyFont="1" applyFill="1" applyBorder="1" applyAlignment="1">
      <alignment horizontal="left" vertical="center"/>
    </xf>
    <xf numFmtId="0" fontId="1" fillId="11" borderId="27" xfId="0" applyFont="1" applyFill="1" applyBorder="1" applyAlignment="1">
      <alignment horizontal="left" vertical="center"/>
    </xf>
    <xf numFmtId="0" fontId="1" fillId="11" borderId="22" xfId="0" applyFont="1" applyFill="1" applyBorder="1" applyAlignment="1">
      <alignment horizontal="center" vertical="center" wrapText="1"/>
    </xf>
    <xf numFmtId="0" fontId="1" fillId="11" borderId="32" xfId="0" applyFon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9" fontId="0" fillId="11" borderId="34" xfId="1" applyFont="1" applyFill="1" applyBorder="1" applyAlignment="1">
      <alignment horizontal="center" vertical="center"/>
    </xf>
    <xf numFmtId="0" fontId="1" fillId="11" borderId="24" xfId="0" applyFont="1" applyFill="1" applyBorder="1" applyAlignment="1">
      <alignment horizontal="left" vertical="center"/>
    </xf>
    <xf numFmtId="0" fontId="1" fillId="11" borderId="1" xfId="0" applyFont="1" applyFill="1" applyBorder="1" applyAlignment="1">
      <alignment horizontal="left" vertical="center" wrapText="1"/>
    </xf>
    <xf numFmtId="0" fontId="1" fillId="11" borderId="34" xfId="0" applyFont="1" applyFill="1" applyBorder="1" applyAlignment="1">
      <alignment horizontal="left" vertical="center"/>
    </xf>
    <xf numFmtId="10" fontId="0" fillId="11" borderId="34" xfId="1" applyNumberFormat="1" applyFont="1" applyFill="1" applyBorder="1" applyAlignment="1">
      <alignment horizontal="left" vertical="center"/>
    </xf>
    <xf numFmtId="0" fontId="0" fillId="11" borderId="40" xfId="0" applyFill="1" applyBorder="1" applyAlignment="1">
      <alignment horizontal="left" vertical="center"/>
    </xf>
    <xf numFmtId="0" fontId="0" fillId="11" borderId="25" xfId="0" applyFill="1" applyBorder="1" applyAlignment="1">
      <alignment horizontal="center" vertical="center"/>
    </xf>
    <xf numFmtId="0" fontId="0" fillId="11" borderId="25" xfId="0" applyFill="1" applyBorder="1" applyAlignment="1">
      <alignment horizontal="left" vertical="center"/>
    </xf>
    <xf numFmtId="10" fontId="0" fillId="11" borderId="39" xfId="1" applyNumberFormat="1" applyFont="1" applyFill="1" applyBorder="1" applyAlignment="1">
      <alignment horizontal="left" vertical="center"/>
    </xf>
    <xf numFmtId="0" fontId="1" fillId="11" borderId="1" xfId="0" applyFont="1" applyFill="1" applyBorder="1" applyAlignment="1">
      <alignment horizontal="left" vertical="center"/>
    </xf>
    <xf numFmtId="14" fontId="10" fillId="11" borderId="1" xfId="0" applyNumberFormat="1" applyFont="1" applyFill="1" applyBorder="1" applyAlignment="1">
      <alignment horizontal="right" wrapText="1"/>
    </xf>
    <xf numFmtId="14" fontId="10" fillId="11" borderId="1" xfId="0" applyNumberFormat="1" applyFont="1" applyFill="1" applyBorder="1" applyAlignment="1">
      <alignment wrapText="1"/>
    </xf>
    <xf numFmtId="0" fontId="0" fillId="11" borderId="51" xfId="0" applyFill="1" applyBorder="1" applyAlignment="1">
      <alignment horizontal="left" vertical="center"/>
    </xf>
    <xf numFmtId="0" fontId="0" fillId="11" borderId="2" xfId="0" applyFill="1" applyBorder="1" applyAlignment="1">
      <alignment horizontal="left" vertical="center"/>
    </xf>
    <xf numFmtId="9" fontId="0" fillId="11" borderId="52" xfId="1" applyFont="1" applyFill="1" applyBorder="1" applyAlignment="1">
      <alignment horizontal="left" vertical="center"/>
    </xf>
    <xf numFmtId="0" fontId="0" fillId="11" borderId="34" xfId="0" applyFill="1" applyBorder="1" applyAlignment="1">
      <alignment horizontal="center" vertical="center"/>
    </xf>
    <xf numFmtId="0" fontId="0" fillId="11" borderId="34" xfId="0" applyFill="1" applyBorder="1" applyAlignment="1">
      <alignment horizontal="center" vertical="center" wrapText="1"/>
    </xf>
    <xf numFmtId="1" fontId="0" fillId="11" borderId="34" xfId="1" applyNumberFormat="1" applyFont="1" applyFill="1" applyBorder="1" applyAlignment="1">
      <alignment horizontal="center" vertical="center" wrapText="1"/>
    </xf>
    <xf numFmtId="0" fontId="0" fillId="11" borderId="24" xfId="0" applyFill="1" applyBorder="1" applyAlignment="1">
      <alignment vertical="center"/>
    </xf>
    <xf numFmtId="9" fontId="1" fillId="11" borderId="34" xfId="1" applyFont="1" applyFill="1" applyBorder="1" applyAlignment="1">
      <alignment horizontal="center" vertical="center"/>
    </xf>
    <xf numFmtId="14" fontId="10" fillId="11" borderId="1" xfId="0" applyNumberFormat="1" applyFont="1" applyFill="1" applyBorder="1" applyAlignment="1">
      <alignment horizontal="center" wrapText="1"/>
    </xf>
    <xf numFmtId="0" fontId="0" fillId="11" borderId="2" xfId="0" applyFill="1" applyBorder="1" applyAlignment="1">
      <alignment horizontal="center" vertical="center" wrapText="1"/>
    </xf>
    <xf numFmtId="0" fontId="0" fillId="11" borderId="2" xfId="0" applyFill="1" applyBorder="1" applyAlignment="1">
      <alignment vertical="center" wrapText="1"/>
    </xf>
    <xf numFmtId="0" fontId="0" fillId="11" borderId="52" xfId="0" applyFill="1" applyBorder="1" applyAlignment="1">
      <alignment horizontal="center" vertical="center"/>
    </xf>
    <xf numFmtId="0" fontId="1" fillId="11" borderId="24" xfId="0" applyFont="1" applyFill="1" applyBorder="1" applyAlignment="1">
      <alignment vertical="center" wrapText="1"/>
    </xf>
    <xf numFmtId="0" fontId="1" fillId="11" borderId="40" xfId="0" applyFont="1" applyFill="1" applyBorder="1" applyAlignment="1">
      <alignment vertical="center" wrapText="1"/>
    </xf>
    <xf numFmtId="9" fontId="0" fillId="0" borderId="0" xfId="1" applyFont="1" applyAlignment="1">
      <alignment horizontal="left" vertical="center"/>
    </xf>
    <xf numFmtId="0" fontId="0" fillId="9" borderId="30" xfId="0" applyFill="1" applyBorder="1" applyAlignment="1">
      <alignment horizontal="left" vertical="center"/>
    </xf>
    <xf numFmtId="0" fontId="1" fillId="0" borderId="2" xfId="0" applyFont="1" applyBorder="1" applyAlignment="1">
      <alignment vertical="center"/>
    </xf>
    <xf numFmtId="0" fontId="0" fillId="0" borderId="0" xfId="0" applyAlignment="1">
      <alignment vertical="center"/>
    </xf>
    <xf numFmtId="0" fontId="0" fillId="15" borderId="0" xfId="0" applyFill="1"/>
    <xf numFmtId="0" fontId="0" fillId="19" borderId="27" xfId="0" applyFill="1" applyBorder="1" applyAlignment="1">
      <alignment horizontal="center" vertical="center"/>
    </xf>
    <xf numFmtId="0" fontId="0" fillId="19" borderId="40" xfId="0" applyFill="1" applyBorder="1" applyAlignment="1">
      <alignment horizontal="center" vertical="center"/>
    </xf>
    <xf numFmtId="14" fontId="10" fillId="11" borderId="1" xfId="0" applyNumberFormat="1" applyFont="1" applyFill="1" applyBorder="1" applyAlignment="1">
      <alignment horizontal="center" vertical="center" wrapText="1"/>
    </xf>
    <xf numFmtId="0" fontId="0" fillId="8" borderId="34" xfId="0" applyFill="1" applyBorder="1" applyAlignment="1">
      <alignment horizontal="center" vertical="center"/>
    </xf>
    <xf numFmtId="16" fontId="0" fillId="0" borderId="8" xfId="0" applyNumberFormat="1" applyBorder="1"/>
    <xf numFmtId="9" fontId="0" fillId="0" borderId="1" xfId="0" applyNumberFormat="1" applyBorder="1" applyAlignment="1">
      <alignment horizontal="center"/>
    </xf>
    <xf numFmtId="0" fontId="0" fillId="15" borderId="1" xfId="0" applyFill="1" applyBorder="1" applyAlignment="1">
      <alignment horizontal="center"/>
    </xf>
    <xf numFmtId="0" fontId="0" fillId="0" borderId="34" xfId="0" applyBorder="1" applyAlignment="1">
      <alignment horizontal="center"/>
    </xf>
    <xf numFmtId="9" fontId="0" fillId="0" borderId="34" xfId="0" applyNumberFormat="1" applyBorder="1" applyAlignment="1">
      <alignment horizontal="center"/>
    </xf>
    <xf numFmtId="9" fontId="0" fillId="0" borderId="40" xfId="1" applyFont="1" applyBorder="1" applyAlignment="1">
      <alignment horizontal="center" vertical="center"/>
    </xf>
    <xf numFmtId="166" fontId="0" fillId="11" borderId="25" xfId="0" applyNumberFormat="1" applyFill="1" applyBorder="1" applyAlignment="1">
      <alignment horizontal="center" vertical="center"/>
    </xf>
    <xf numFmtId="9" fontId="0" fillId="11" borderId="39" xfId="1" applyFont="1" applyFill="1" applyBorder="1" applyAlignment="1">
      <alignment horizontal="center" vertical="center"/>
    </xf>
    <xf numFmtId="0" fontId="16" fillId="11" borderId="31" xfId="0" applyFont="1" applyFill="1" applyBorder="1" applyAlignment="1">
      <alignment horizontal="left" vertical="center"/>
    </xf>
    <xf numFmtId="0" fontId="16" fillId="11" borderId="4" xfId="0" applyFont="1" applyFill="1" applyBorder="1" applyAlignment="1">
      <alignment horizontal="left" vertical="center" wrapText="1"/>
    </xf>
    <xf numFmtId="0" fontId="16" fillId="11" borderId="4" xfId="0" applyFont="1" applyFill="1" applyBorder="1" applyAlignment="1">
      <alignment horizontal="center" vertical="center"/>
    </xf>
    <xf numFmtId="0" fontId="16" fillId="11" borderId="42" xfId="0" applyFont="1" applyFill="1" applyBorder="1" applyAlignment="1">
      <alignment horizontal="left" vertical="center"/>
    </xf>
    <xf numFmtId="0" fontId="1" fillId="11" borderId="31" xfId="0" applyFont="1" applyFill="1" applyBorder="1" applyAlignment="1">
      <alignment horizontal="left" vertical="center"/>
    </xf>
    <xf numFmtId="0" fontId="1" fillId="11" borderId="4" xfId="0" applyFont="1" applyFill="1" applyBorder="1" applyAlignment="1">
      <alignment horizontal="left" vertical="center"/>
    </xf>
    <xf numFmtId="0" fontId="1" fillId="11" borderId="42" xfId="0" applyFont="1" applyFill="1" applyBorder="1" applyAlignment="1">
      <alignment horizontal="left" vertical="center"/>
    </xf>
    <xf numFmtId="0" fontId="1" fillId="11" borderId="22" xfId="0" applyFont="1" applyFill="1" applyBorder="1" applyAlignment="1">
      <alignment horizontal="left" vertical="center"/>
    </xf>
    <xf numFmtId="9" fontId="1" fillId="11" borderId="32" xfId="1" applyFont="1" applyFill="1" applyBorder="1" applyAlignment="1">
      <alignment horizontal="left" vertical="center"/>
    </xf>
    <xf numFmtId="14" fontId="0" fillId="11" borderId="25" xfId="0" applyNumberFormat="1" applyFill="1" applyBorder="1" applyAlignment="1">
      <alignment wrapText="1"/>
    </xf>
    <xf numFmtId="0" fontId="0" fillId="11" borderId="39" xfId="0" applyFill="1" applyBorder="1" applyAlignment="1">
      <alignment horizontal="left" vertical="center"/>
    </xf>
    <xf numFmtId="9" fontId="0" fillId="8" borderId="18" xfId="0" applyNumberFormat="1" applyFill="1" applyBorder="1" applyAlignment="1">
      <alignment horizontal="center" vertical="center"/>
    </xf>
    <xf numFmtId="164" fontId="0" fillId="7" borderId="51" xfId="1" applyNumberFormat="1" applyFont="1" applyFill="1" applyBorder="1" applyAlignment="1">
      <alignment horizontal="center" vertical="center"/>
    </xf>
    <xf numFmtId="0" fontId="0" fillId="11" borderId="31" xfId="0" applyFill="1" applyBorder="1" applyAlignment="1">
      <alignment horizontal="left" vertical="center"/>
    </xf>
    <xf numFmtId="9" fontId="0" fillId="0" borderId="30" xfId="1" applyFont="1" applyFill="1" applyBorder="1" applyAlignment="1">
      <alignment horizontal="center" vertical="center"/>
    </xf>
    <xf numFmtId="2" fontId="0" fillId="7" borderId="24" xfId="1" applyNumberFormat="1" applyFont="1" applyFill="1" applyBorder="1" applyAlignment="1">
      <alignment horizontal="center" vertical="center"/>
    </xf>
    <xf numFmtId="0" fontId="0" fillId="0" borderId="9" xfId="0" applyBorder="1" applyAlignment="1">
      <alignment horizontal="left" vertical="center" wrapText="1"/>
    </xf>
    <xf numFmtId="0" fontId="0" fillId="0" borderId="36" xfId="0" applyBorder="1" applyAlignment="1">
      <alignment wrapText="1"/>
    </xf>
    <xf numFmtId="0" fontId="1" fillId="11" borderId="42" xfId="0" applyFont="1" applyFill="1" applyBorder="1" applyAlignment="1">
      <alignment horizontal="center" vertical="center"/>
    </xf>
    <xf numFmtId="0" fontId="1" fillId="11" borderId="24" xfId="0" applyFont="1" applyFill="1" applyBorder="1"/>
    <xf numFmtId="0" fontId="0" fillId="11" borderId="1" xfId="0" applyFill="1" applyBorder="1"/>
    <xf numFmtId="2" fontId="0" fillId="11" borderId="34" xfId="1" applyNumberFormat="1" applyFont="1" applyFill="1" applyBorder="1" applyAlignment="1">
      <alignment horizontal="center" vertical="center"/>
    </xf>
    <xf numFmtId="0" fontId="1" fillId="11" borderId="51" xfId="0" applyFont="1" applyFill="1" applyBorder="1"/>
    <xf numFmtId="0" fontId="0" fillId="11" borderId="2" xfId="0" applyFill="1" applyBorder="1"/>
    <xf numFmtId="2" fontId="0" fillId="9" borderId="34" xfId="1" applyNumberFormat="1" applyFont="1" applyFill="1" applyBorder="1" applyAlignment="1">
      <alignment horizontal="center" vertical="center"/>
    </xf>
    <xf numFmtId="0" fontId="1" fillId="9" borderId="51" xfId="0" applyFont="1" applyFill="1" applyBorder="1"/>
    <xf numFmtId="0" fontId="0" fillId="9" borderId="2" xfId="0" applyFill="1" applyBorder="1"/>
    <xf numFmtId="9" fontId="19" fillId="21" borderId="0" xfId="0" applyNumberFormat="1" applyFont="1" applyFill="1" applyAlignment="1">
      <alignment horizontal="center"/>
    </xf>
    <xf numFmtId="0" fontId="0" fillId="0" borderId="38" xfId="0" applyBorder="1" applyAlignment="1">
      <alignment horizontal="center" vertical="center"/>
    </xf>
    <xf numFmtId="0" fontId="0" fillId="0" borderId="34" xfId="0" applyBorder="1" applyAlignment="1">
      <alignment horizontal="center" vertical="center"/>
    </xf>
    <xf numFmtId="0" fontId="1" fillId="11" borderId="27" xfId="0" applyFont="1" applyFill="1" applyBorder="1" applyAlignment="1">
      <alignment horizontal="center" vertical="center"/>
    </xf>
    <xf numFmtId="0" fontId="1" fillId="11" borderId="22" xfId="0" applyFont="1" applyFill="1" applyBorder="1" applyAlignment="1">
      <alignment horizontal="center" vertical="center"/>
    </xf>
    <xf numFmtId="0" fontId="0" fillId="11" borderId="24" xfId="0" applyFill="1" applyBorder="1"/>
    <xf numFmtId="0" fontId="0" fillId="11" borderId="1" xfId="0" applyFill="1" applyBorder="1" applyAlignment="1">
      <alignment horizontal="center"/>
    </xf>
    <xf numFmtId="0" fontId="0" fillId="11" borderId="34" xfId="0" applyFill="1" applyBorder="1" applyAlignment="1">
      <alignment horizontal="center"/>
    </xf>
    <xf numFmtId="0" fontId="0" fillId="11" borderId="40" xfId="0" applyFill="1" applyBorder="1"/>
    <xf numFmtId="10" fontId="0" fillId="11" borderId="25" xfId="1" applyNumberFormat="1" applyFont="1" applyFill="1" applyBorder="1" applyAlignment="1">
      <alignment horizontal="center"/>
    </xf>
    <xf numFmtId="10" fontId="1" fillId="11" borderId="25" xfId="1" applyNumberFormat="1" applyFont="1" applyFill="1" applyBorder="1" applyAlignment="1">
      <alignment horizontal="center"/>
    </xf>
    <xf numFmtId="0" fontId="1" fillId="11" borderId="1" xfId="0" applyFont="1" applyFill="1" applyBorder="1" applyAlignment="1">
      <alignment horizontal="center"/>
    </xf>
    <xf numFmtId="0" fontId="1" fillId="11" borderId="34" xfId="0" applyFont="1" applyFill="1" applyBorder="1" applyAlignment="1">
      <alignment horizontal="center"/>
    </xf>
    <xf numFmtId="1" fontId="0" fillId="11" borderId="36" xfId="1" applyNumberFormat="1" applyFont="1" applyFill="1" applyBorder="1" applyAlignment="1">
      <alignment horizontal="left" vertical="center" wrapText="1"/>
    </xf>
    <xf numFmtId="1" fontId="0" fillId="11" borderId="39" xfId="1" applyNumberFormat="1" applyFont="1" applyFill="1" applyBorder="1" applyAlignment="1">
      <alignment horizontal="left" vertical="center" wrapText="1"/>
    </xf>
    <xf numFmtId="1" fontId="0" fillId="11" borderId="4" xfId="1" applyNumberFormat="1" applyFont="1" applyFill="1" applyBorder="1" applyAlignment="1">
      <alignment horizontal="center" vertical="center" wrapText="1"/>
    </xf>
    <xf numFmtId="9" fontId="0" fillId="11" borderId="4" xfId="1" applyFont="1" applyFill="1" applyBorder="1" applyAlignment="1">
      <alignment horizontal="center" vertical="center" wrapText="1"/>
    </xf>
    <xf numFmtId="9" fontId="0" fillId="11" borderId="1" xfId="1" applyFont="1" applyFill="1" applyBorder="1" applyAlignment="1">
      <alignment horizontal="center" vertical="center" wrapText="1"/>
    </xf>
    <xf numFmtId="164" fontId="0" fillId="11" borderId="1" xfId="1" applyNumberFormat="1" applyFont="1" applyFill="1" applyBorder="1" applyAlignment="1">
      <alignment horizontal="center" vertical="center" wrapText="1"/>
    </xf>
    <xf numFmtId="165" fontId="0" fillId="11" borderId="1" xfId="1" applyNumberFormat="1" applyFont="1" applyFill="1" applyBorder="1" applyAlignment="1">
      <alignment horizontal="center" vertical="center" wrapText="1"/>
    </xf>
    <xf numFmtId="10" fontId="0" fillId="11" borderId="1" xfId="1" applyNumberFormat="1" applyFont="1" applyFill="1" applyBorder="1" applyAlignment="1">
      <alignment horizontal="center" vertical="center"/>
    </xf>
    <xf numFmtId="1" fontId="0" fillId="11" borderId="25" xfId="1" applyNumberFormat="1" applyFont="1" applyFill="1" applyBorder="1" applyAlignment="1">
      <alignment horizontal="center" vertical="center" wrapText="1"/>
    </xf>
    <xf numFmtId="164" fontId="0" fillId="11" borderId="25" xfId="1" applyNumberFormat="1" applyFont="1" applyFill="1" applyBorder="1" applyAlignment="1">
      <alignment horizontal="center" vertical="center" wrapText="1"/>
    </xf>
    <xf numFmtId="0" fontId="6" fillId="0" borderId="16" xfId="0" applyFont="1" applyBorder="1"/>
    <xf numFmtId="0" fontId="1" fillId="0" borderId="2" xfId="0" applyFont="1" applyBorder="1" applyAlignment="1">
      <alignment horizontal="left"/>
    </xf>
    <xf numFmtId="0" fontId="6" fillId="0" borderId="2" xfId="0" applyFont="1" applyBorder="1"/>
    <xf numFmtId="0" fontId="0" fillId="5" borderId="27" xfId="0" applyFill="1" applyBorder="1" applyAlignment="1">
      <alignment horizontal="left" vertical="center" wrapText="1"/>
    </xf>
    <xf numFmtId="0" fontId="0" fillId="5" borderId="22" xfId="0" applyFill="1" applyBorder="1" applyAlignment="1">
      <alignment horizontal="center" vertical="center"/>
    </xf>
    <xf numFmtId="0" fontId="0" fillId="5" borderId="22" xfId="0" applyFill="1" applyBorder="1" applyAlignment="1">
      <alignment horizontal="left" vertical="center" wrapText="1"/>
    </xf>
    <xf numFmtId="0" fontId="0" fillId="5" borderId="32" xfId="0" applyFill="1" applyBorder="1" applyAlignment="1">
      <alignment horizontal="center" vertical="center"/>
    </xf>
    <xf numFmtId="0" fontId="0" fillId="5" borderId="1" xfId="0" applyFill="1" applyBorder="1" applyAlignment="1">
      <alignment horizontal="left" vertical="center" wrapText="1"/>
    </xf>
    <xf numFmtId="44" fontId="0" fillId="5" borderId="34" xfId="2" applyFont="1" applyFill="1" applyBorder="1" applyAlignment="1">
      <alignment horizontal="left" vertical="center"/>
    </xf>
    <xf numFmtId="0" fontId="0" fillId="5" borderId="24" xfId="0" applyFill="1" applyBorder="1" applyAlignment="1">
      <alignment horizontal="left" vertical="center"/>
    </xf>
    <xf numFmtId="0" fontId="0" fillId="5" borderId="1" xfId="0" applyFill="1" applyBorder="1" applyAlignment="1">
      <alignment horizontal="left" vertical="center"/>
    </xf>
    <xf numFmtId="0" fontId="0" fillId="5" borderId="34" xfId="0" applyFill="1" applyBorder="1" applyAlignment="1">
      <alignment horizontal="left" vertical="center"/>
    </xf>
    <xf numFmtId="9" fontId="0" fillId="5" borderId="34" xfId="1" applyFont="1" applyFill="1" applyBorder="1" applyAlignment="1">
      <alignment horizontal="left" vertical="center"/>
    </xf>
    <xf numFmtId="0" fontId="0" fillId="5" borderId="34" xfId="0" applyFill="1" applyBorder="1" applyAlignment="1">
      <alignment horizontal="left" vertical="center" wrapText="1"/>
    </xf>
    <xf numFmtId="1" fontId="0" fillId="5" borderId="1" xfId="0" applyNumberFormat="1" applyFill="1" applyBorder="1" applyAlignment="1">
      <alignment horizontal="left" vertical="center" wrapText="1"/>
    </xf>
    <xf numFmtId="10" fontId="0" fillId="5" borderId="34" xfId="0" applyNumberFormat="1" applyFill="1" applyBorder="1" applyAlignment="1">
      <alignment horizontal="left" vertical="center" wrapText="1"/>
    </xf>
    <xf numFmtId="1" fontId="0" fillId="5" borderId="1" xfId="1" applyNumberFormat="1" applyFont="1" applyFill="1" applyBorder="1" applyAlignment="1">
      <alignment horizontal="left" vertical="center" wrapText="1"/>
    </xf>
    <xf numFmtId="1" fontId="0" fillId="5" borderId="34" xfId="1" applyNumberFormat="1" applyFont="1" applyFill="1" applyBorder="1" applyAlignment="1">
      <alignment horizontal="left" vertical="center" wrapText="1"/>
    </xf>
    <xf numFmtId="0" fontId="0" fillId="5" borderId="40" xfId="0" applyFill="1" applyBorder="1" applyAlignment="1">
      <alignment horizontal="left" vertical="center"/>
    </xf>
    <xf numFmtId="0" fontId="0" fillId="5" borderId="25" xfId="0" applyFill="1" applyBorder="1" applyAlignment="1">
      <alignment horizontal="left" vertical="center"/>
    </xf>
    <xf numFmtId="1" fontId="0" fillId="5" borderId="39" xfId="1" applyNumberFormat="1" applyFont="1" applyFill="1" applyBorder="1" applyAlignment="1">
      <alignment horizontal="left" vertical="center" wrapText="1"/>
    </xf>
    <xf numFmtId="0" fontId="0" fillId="5" borderId="31" xfId="0" applyFill="1" applyBorder="1" applyAlignment="1">
      <alignment horizontal="left" vertical="center"/>
    </xf>
    <xf numFmtId="1" fontId="0" fillId="5" borderId="4" xfId="1" applyNumberFormat="1" applyFont="1" applyFill="1" applyBorder="1" applyAlignment="1">
      <alignment horizontal="center" vertical="center" wrapText="1"/>
    </xf>
    <xf numFmtId="9" fontId="0" fillId="5" borderId="4" xfId="1" applyFont="1" applyFill="1" applyBorder="1" applyAlignment="1">
      <alignment horizontal="center" vertical="center" wrapText="1"/>
    </xf>
    <xf numFmtId="1" fontId="0" fillId="5" borderId="1" xfId="1" applyNumberFormat="1" applyFont="1" applyFill="1" applyBorder="1" applyAlignment="1">
      <alignment horizontal="center" vertical="center" wrapText="1"/>
    </xf>
    <xf numFmtId="9" fontId="0" fillId="5" borderId="1" xfId="1" applyFont="1" applyFill="1" applyBorder="1" applyAlignment="1">
      <alignment horizontal="center" vertical="center" wrapText="1"/>
    </xf>
    <xf numFmtId="164" fontId="0" fillId="5" borderId="1" xfId="1" applyNumberFormat="1" applyFont="1" applyFill="1" applyBorder="1" applyAlignment="1">
      <alignment horizontal="center" vertical="center" wrapText="1"/>
    </xf>
    <xf numFmtId="165" fontId="0" fillId="5" borderId="1" xfId="1" applyNumberFormat="1" applyFont="1" applyFill="1" applyBorder="1" applyAlignment="1">
      <alignment horizontal="center" vertical="center" wrapText="1"/>
    </xf>
    <xf numFmtId="10" fontId="0" fillId="5" borderId="1" xfId="1" applyNumberFormat="1" applyFont="1" applyFill="1" applyBorder="1" applyAlignment="1">
      <alignment horizontal="center" vertical="center"/>
    </xf>
    <xf numFmtId="1" fontId="0" fillId="5" borderId="25" xfId="1" applyNumberFormat="1" applyFont="1" applyFill="1" applyBorder="1" applyAlignment="1">
      <alignment horizontal="center" vertical="center" wrapText="1"/>
    </xf>
    <xf numFmtId="164" fontId="0" fillId="5" borderId="25" xfId="1" applyNumberFormat="1" applyFont="1" applyFill="1" applyBorder="1" applyAlignment="1">
      <alignment horizontal="center" vertical="center" wrapText="1"/>
    </xf>
    <xf numFmtId="0" fontId="1" fillId="5" borderId="27" xfId="0" applyFont="1" applyFill="1" applyBorder="1" applyAlignment="1">
      <alignment horizontal="center" vertical="center"/>
    </xf>
    <xf numFmtId="0" fontId="1" fillId="5" borderId="22"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24" xfId="0" applyFont="1" applyFill="1" applyBorder="1"/>
    <xf numFmtId="0" fontId="1" fillId="5" borderId="1" xfId="0" applyFont="1" applyFill="1" applyBorder="1" applyAlignment="1">
      <alignment horizontal="center"/>
    </xf>
    <xf numFmtId="0" fontId="1" fillId="5" borderId="34" xfId="0" applyFont="1" applyFill="1" applyBorder="1" applyAlignment="1">
      <alignment horizontal="center"/>
    </xf>
    <xf numFmtId="0" fontId="0" fillId="5" borderId="24" xfId="0" applyFill="1" applyBorder="1"/>
    <xf numFmtId="0" fontId="0" fillId="5" borderId="1" xfId="0" applyFill="1" applyBorder="1" applyAlignment="1">
      <alignment horizontal="center"/>
    </xf>
    <xf numFmtId="0" fontId="0" fillId="5" borderId="34" xfId="0" applyFill="1" applyBorder="1" applyAlignment="1">
      <alignment horizontal="center"/>
    </xf>
    <xf numFmtId="0" fontId="0" fillId="5" borderId="40" xfId="0" applyFill="1" applyBorder="1"/>
    <xf numFmtId="10" fontId="0" fillId="5" borderId="25" xfId="1" applyNumberFormat="1" applyFont="1" applyFill="1" applyBorder="1" applyAlignment="1">
      <alignment horizontal="center"/>
    </xf>
    <xf numFmtId="10" fontId="1" fillId="5" borderId="25" xfId="1" applyNumberFormat="1" applyFont="1" applyFill="1" applyBorder="1" applyAlignment="1">
      <alignment horizontal="center"/>
    </xf>
    <xf numFmtId="0" fontId="16" fillId="5" borderId="31" xfId="0" applyFont="1" applyFill="1" applyBorder="1" applyAlignment="1">
      <alignment horizontal="left" vertical="center"/>
    </xf>
    <xf numFmtId="0" fontId="16" fillId="5" borderId="4" xfId="0" applyFont="1" applyFill="1" applyBorder="1" applyAlignment="1">
      <alignment horizontal="left" vertical="center" wrapText="1"/>
    </xf>
    <xf numFmtId="0" fontId="16" fillId="5" borderId="4" xfId="0" applyFont="1" applyFill="1" applyBorder="1" applyAlignment="1">
      <alignment horizontal="center" vertical="center"/>
    </xf>
    <xf numFmtId="0" fontId="16" fillId="5" borderId="42" xfId="0" applyFont="1" applyFill="1" applyBorder="1" applyAlignment="1">
      <alignment horizontal="left" vertical="center"/>
    </xf>
    <xf numFmtId="0" fontId="16" fillId="5" borderId="24" xfId="0" applyFont="1" applyFill="1" applyBorder="1" applyAlignment="1">
      <alignment horizontal="left" vertical="center"/>
    </xf>
    <xf numFmtId="0" fontId="16" fillId="5" borderId="1" xfId="0" applyFont="1" applyFill="1" applyBorder="1" applyAlignment="1">
      <alignment horizontal="left" vertical="center"/>
    </xf>
    <xf numFmtId="0" fontId="16" fillId="5" borderId="1" xfId="0" applyFont="1" applyFill="1" applyBorder="1" applyAlignment="1">
      <alignment horizontal="center" vertical="center"/>
    </xf>
    <xf numFmtId="0" fontId="16" fillId="5" borderId="34" xfId="0" applyFont="1" applyFill="1" applyBorder="1" applyAlignment="1">
      <alignment horizontal="left" vertical="center"/>
    </xf>
    <xf numFmtId="0" fontId="16" fillId="5" borderId="51" xfId="0" applyFont="1" applyFill="1" applyBorder="1" applyAlignment="1">
      <alignment horizontal="left" vertical="center"/>
    </xf>
    <xf numFmtId="0" fontId="16" fillId="5" borderId="2" xfId="0" applyFont="1" applyFill="1" applyBorder="1" applyAlignment="1">
      <alignment horizontal="left" vertical="center"/>
    </xf>
    <xf numFmtId="2" fontId="16" fillId="5" borderId="2" xfId="0" applyNumberFormat="1" applyFont="1" applyFill="1" applyBorder="1" applyAlignment="1">
      <alignment horizontal="center" vertical="center"/>
    </xf>
    <xf numFmtId="0" fontId="16" fillId="5" borderId="52" xfId="0" applyFont="1" applyFill="1" applyBorder="1" applyAlignment="1">
      <alignment horizontal="left" vertical="center"/>
    </xf>
    <xf numFmtId="0" fontId="1" fillId="5" borderId="27" xfId="0" applyFont="1" applyFill="1" applyBorder="1" applyAlignment="1">
      <alignment horizontal="left" vertical="center"/>
    </xf>
    <xf numFmtId="0" fontId="1" fillId="5" borderId="22"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9" fontId="0" fillId="5" borderId="34" xfId="1" applyFont="1" applyFill="1" applyBorder="1" applyAlignment="1">
      <alignment horizontal="center" vertical="center"/>
    </xf>
    <xf numFmtId="166" fontId="0" fillId="5" borderId="25" xfId="0" applyNumberFormat="1" applyFill="1" applyBorder="1" applyAlignment="1">
      <alignment horizontal="center" vertical="center"/>
    </xf>
    <xf numFmtId="0" fontId="0" fillId="5" borderId="25" xfId="0" applyFill="1" applyBorder="1" applyAlignment="1">
      <alignment horizontal="center" vertical="center"/>
    </xf>
    <xf numFmtId="9" fontId="0" fillId="5" borderId="39" xfId="1" applyFont="1" applyFill="1" applyBorder="1" applyAlignment="1">
      <alignment horizontal="center" vertical="center"/>
    </xf>
    <xf numFmtId="0" fontId="1" fillId="5" borderId="24" xfId="0" applyFont="1" applyFill="1" applyBorder="1" applyAlignment="1">
      <alignment horizontal="left" vertical="center"/>
    </xf>
    <xf numFmtId="0" fontId="1" fillId="5" borderId="1" xfId="0" applyFont="1" applyFill="1" applyBorder="1" applyAlignment="1">
      <alignment horizontal="left" vertical="center" wrapText="1"/>
    </xf>
    <xf numFmtId="0" fontId="1" fillId="5" borderId="34" xfId="0" applyFont="1" applyFill="1" applyBorder="1" applyAlignment="1">
      <alignment horizontal="left" vertical="center"/>
    </xf>
    <xf numFmtId="10" fontId="0" fillId="5" borderId="34" xfId="1" applyNumberFormat="1" applyFont="1" applyFill="1" applyBorder="1" applyAlignment="1">
      <alignment horizontal="left" vertical="center"/>
    </xf>
    <xf numFmtId="10" fontId="0" fillId="5" borderId="39" xfId="1" applyNumberFormat="1" applyFont="1" applyFill="1" applyBorder="1" applyAlignment="1">
      <alignment horizontal="left" vertical="center"/>
    </xf>
    <xf numFmtId="0" fontId="1" fillId="5" borderId="31" xfId="0" applyFont="1" applyFill="1" applyBorder="1" applyAlignment="1">
      <alignment horizontal="left" vertical="center"/>
    </xf>
    <xf numFmtId="0" fontId="1" fillId="5" borderId="42" xfId="0" applyFont="1" applyFill="1" applyBorder="1" applyAlignment="1">
      <alignment horizontal="center" vertical="center"/>
    </xf>
    <xf numFmtId="14" fontId="10" fillId="5" borderId="1" xfId="0" applyNumberFormat="1" applyFont="1" applyFill="1" applyBorder="1" applyAlignment="1">
      <alignment horizontal="center" wrapText="1"/>
    </xf>
    <xf numFmtId="0" fontId="0" fillId="5" borderId="34" xfId="0" applyFill="1" applyBorder="1" applyAlignment="1">
      <alignment horizontal="center" vertical="center"/>
    </xf>
    <xf numFmtId="14" fontId="10" fillId="5" borderId="1" xfId="0" applyNumberFormat="1" applyFont="1" applyFill="1" applyBorder="1" applyAlignment="1">
      <alignment horizontal="right" wrapText="1"/>
    </xf>
    <xf numFmtId="14" fontId="10" fillId="5" borderId="1" xfId="0" applyNumberFormat="1" applyFont="1" applyFill="1" applyBorder="1" applyAlignment="1">
      <alignment wrapText="1"/>
    </xf>
    <xf numFmtId="14" fontId="0" fillId="5" borderId="25" xfId="0" applyNumberFormat="1" applyFill="1" applyBorder="1" applyAlignment="1">
      <alignment wrapText="1"/>
    </xf>
    <xf numFmtId="0" fontId="0" fillId="5" borderId="39" xfId="0" applyFill="1" applyBorder="1" applyAlignment="1">
      <alignment horizontal="left" vertical="center"/>
    </xf>
    <xf numFmtId="0" fontId="0" fillId="5" borderId="51" xfId="0" applyFill="1" applyBorder="1" applyAlignment="1">
      <alignment horizontal="left" vertical="center"/>
    </xf>
    <xf numFmtId="0" fontId="0" fillId="5" borderId="24" xfId="0" applyFill="1" applyBorder="1" applyAlignment="1">
      <alignment horizontal="left"/>
    </xf>
    <xf numFmtId="1" fontId="0" fillId="5" borderId="1" xfId="1" applyNumberFormat="1" applyFont="1" applyFill="1" applyBorder="1" applyAlignment="1">
      <alignment horizontal="left" wrapText="1"/>
    </xf>
    <xf numFmtId="0" fontId="0" fillId="5" borderId="1" xfId="0" applyFill="1" applyBorder="1" applyAlignment="1">
      <alignment horizontal="left"/>
    </xf>
    <xf numFmtId="1" fontId="0" fillId="5" borderId="34" xfId="1" applyNumberFormat="1" applyFont="1" applyFill="1" applyBorder="1" applyAlignment="1">
      <alignment horizontal="left" wrapText="1"/>
    </xf>
    <xf numFmtId="164" fontId="0" fillId="5" borderId="4" xfId="1" applyNumberFormat="1" applyFont="1" applyFill="1" applyBorder="1" applyAlignment="1">
      <alignment horizontal="center" vertical="center" wrapText="1"/>
    </xf>
    <xf numFmtId="164" fontId="0" fillId="5" borderId="1" xfId="1" applyNumberFormat="1" applyFont="1" applyFill="1" applyBorder="1" applyAlignment="1">
      <alignment horizontal="center" vertical="center"/>
    </xf>
    <xf numFmtId="0" fontId="1" fillId="5" borderId="28" xfId="0" applyFont="1" applyFill="1" applyBorder="1" applyAlignment="1">
      <alignment horizontal="center" vertical="center"/>
    </xf>
    <xf numFmtId="0" fontId="1" fillId="5" borderId="46" xfId="0" applyFont="1" applyFill="1" applyBorder="1" applyAlignment="1">
      <alignment horizontal="center" vertical="center"/>
    </xf>
    <xf numFmtId="0" fontId="1" fillId="5" borderId="29" xfId="0" applyFont="1" applyFill="1" applyBorder="1" applyAlignment="1">
      <alignment horizontal="center"/>
    </xf>
    <xf numFmtId="0" fontId="20" fillId="5" borderId="1" xfId="0" applyFont="1" applyFill="1" applyBorder="1" applyAlignment="1">
      <alignment horizontal="center" wrapText="1"/>
    </xf>
    <xf numFmtId="0" fontId="1" fillId="5" borderId="30" xfId="0" applyFont="1" applyFill="1" applyBorder="1"/>
    <xf numFmtId="0" fontId="0" fillId="5" borderId="29" xfId="0" applyFill="1" applyBorder="1" applyAlignment="1">
      <alignment horizontal="center"/>
    </xf>
    <xf numFmtId="0" fontId="0" fillId="5" borderId="30" xfId="0" applyFill="1" applyBorder="1"/>
    <xf numFmtId="0" fontId="0" fillId="5" borderId="4" xfId="0" applyFill="1" applyBorder="1" applyAlignment="1">
      <alignment horizontal="center"/>
    </xf>
    <xf numFmtId="0" fontId="0" fillId="5" borderId="65" xfId="0" applyFill="1" applyBorder="1" applyAlignment="1">
      <alignment horizontal="left" vertical="center"/>
    </xf>
    <xf numFmtId="14" fontId="22" fillId="5" borderId="1" xfId="0" applyNumberFormat="1" applyFont="1" applyFill="1" applyBorder="1" applyAlignment="1">
      <alignment horizontal="center" vertical="center" wrapText="1"/>
    </xf>
    <xf numFmtId="14" fontId="10" fillId="5" borderId="4" xfId="0" applyNumberFormat="1" applyFont="1" applyFill="1" applyBorder="1" applyAlignment="1">
      <alignment horizontal="center" wrapText="1"/>
    </xf>
    <xf numFmtId="0" fontId="0" fillId="5" borderId="63" xfId="0" applyFill="1" applyBorder="1" applyAlignment="1">
      <alignment horizontal="left" vertical="center"/>
    </xf>
    <xf numFmtId="0" fontId="0" fillId="5" borderId="30" xfId="0" applyFill="1" applyBorder="1" applyAlignment="1">
      <alignment horizontal="left" vertical="center"/>
    </xf>
    <xf numFmtId="14" fontId="21" fillId="5" borderId="1" xfId="0" applyNumberFormat="1" applyFont="1" applyFill="1" applyBorder="1" applyAlignment="1">
      <alignment horizontal="center" vertical="center" wrapText="1"/>
    </xf>
    <xf numFmtId="0" fontId="1" fillId="5" borderId="46" xfId="0" applyFont="1" applyFill="1" applyBorder="1" applyAlignment="1">
      <alignment horizontal="left" vertical="center"/>
    </xf>
    <xf numFmtId="0" fontId="0" fillId="5" borderId="38" xfId="0" applyFill="1" applyBorder="1" applyAlignment="1">
      <alignment horizontal="left" vertical="center"/>
    </xf>
    <xf numFmtId="0" fontId="1" fillId="5" borderId="56" xfId="0" applyFont="1" applyFill="1" applyBorder="1" applyAlignment="1">
      <alignment horizontal="center" vertical="center"/>
    </xf>
    <xf numFmtId="9" fontId="1" fillId="5" borderId="59" xfId="1" applyFont="1" applyFill="1" applyBorder="1" applyAlignment="1">
      <alignment horizontal="center" vertical="center"/>
    </xf>
    <xf numFmtId="9" fontId="1" fillId="5" borderId="32" xfId="1" applyFont="1" applyFill="1" applyBorder="1" applyAlignment="1">
      <alignment horizontal="center" vertical="center"/>
    </xf>
    <xf numFmtId="0" fontId="0" fillId="5" borderId="2" xfId="0" applyFill="1" applyBorder="1" applyAlignment="1">
      <alignment horizontal="center" vertical="center"/>
    </xf>
    <xf numFmtId="9" fontId="0" fillId="5" borderId="52" xfId="1" applyFont="1" applyFill="1" applyBorder="1" applyAlignment="1">
      <alignment horizontal="center" vertical="center"/>
    </xf>
    <xf numFmtId="0" fontId="1" fillId="5" borderId="4" xfId="0" applyFont="1" applyFill="1" applyBorder="1" applyAlignment="1">
      <alignment horizontal="center" vertical="center"/>
    </xf>
    <xf numFmtId="0" fontId="0" fillId="5" borderId="24" xfId="0" applyFill="1" applyBorder="1" applyAlignment="1">
      <alignment horizontal="left" vertical="center" wrapText="1"/>
    </xf>
    <xf numFmtId="0" fontId="0" fillId="5" borderId="34" xfId="0" applyFill="1" applyBorder="1" applyAlignment="1">
      <alignment horizontal="center" vertical="center" wrapText="1"/>
    </xf>
    <xf numFmtId="1" fontId="0" fillId="5" borderId="34" xfId="1" applyNumberFormat="1" applyFont="1" applyFill="1" applyBorder="1" applyAlignment="1">
      <alignment horizontal="center" vertical="center" wrapText="1"/>
    </xf>
    <xf numFmtId="0" fontId="0" fillId="5" borderId="24" xfId="0" applyFill="1" applyBorder="1" applyAlignment="1">
      <alignment vertical="center"/>
    </xf>
    <xf numFmtId="0" fontId="1" fillId="5" borderId="1" xfId="0" applyFont="1" applyFill="1" applyBorder="1" applyAlignment="1">
      <alignment horizontal="left" vertical="center"/>
    </xf>
    <xf numFmtId="0" fontId="1" fillId="5" borderId="1" xfId="0" applyFont="1" applyFill="1" applyBorder="1" applyAlignment="1">
      <alignment horizontal="center" vertical="center"/>
    </xf>
    <xf numFmtId="9" fontId="1" fillId="5" borderId="34" xfId="1" applyFont="1" applyFill="1" applyBorder="1" applyAlignment="1">
      <alignment horizontal="center" vertical="center"/>
    </xf>
    <xf numFmtId="14" fontId="10" fillId="5" borderId="1" xfId="0" applyNumberFormat="1" applyFont="1" applyFill="1" applyBorder="1" applyAlignment="1">
      <alignment horizontal="center" vertical="center" wrapText="1"/>
    </xf>
    <xf numFmtId="0" fontId="0" fillId="5" borderId="2" xfId="0" applyFill="1" applyBorder="1" applyAlignment="1">
      <alignment horizontal="center" vertical="center" wrapText="1"/>
    </xf>
    <xf numFmtId="0" fontId="0" fillId="0" borderId="3" xfId="0" applyBorder="1" applyAlignment="1">
      <alignment vertical="center" wrapText="1"/>
    </xf>
    <xf numFmtId="0" fontId="0" fillId="0" borderId="41" xfId="0" applyBorder="1" applyAlignment="1">
      <alignment vertical="center" wrapText="1"/>
    </xf>
    <xf numFmtId="0" fontId="0" fillId="9" borderId="33" xfId="0" applyFill="1" applyBorder="1" applyAlignment="1">
      <alignment horizontal="left" vertical="center"/>
    </xf>
    <xf numFmtId="0" fontId="0" fillId="9" borderId="3" xfId="0" applyFill="1" applyBorder="1" applyAlignment="1">
      <alignment horizontal="center" vertical="center" wrapText="1"/>
    </xf>
    <xf numFmtId="0" fontId="0" fillId="9" borderId="3" xfId="0" applyFill="1" applyBorder="1" applyAlignment="1">
      <alignment vertical="center" wrapText="1"/>
    </xf>
    <xf numFmtId="0" fontId="0" fillId="9" borderId="41" xfId="0" applyFill="1" applyBorder="1" applyAlignment="1">
      <alignment horizontal="center" vertical="center"/>
    </xf>
    <xf numFmtId="9" fontId="0" fillId="8" borderId="33" xfId="1" applyFont="1" applyFill="1" applyBorder="1" applyAlignment="1">
      <alignment horizontal="center" vertical="center"/>
    </xf>
    <xf numFmtId="0" fontId="0" fillId="0" borderId="15" xfId="0" applyBorder="1" applyAlignment="1">
      <alignment vertical="center" wrapText="1"/>
    </xf>
    <xf numFmtId="9" fontId="0" fillId="0" borderId="33" xfId="1" applyFont="1" applyBorder="1" applyAlignment="1">
      <alignment horizontal="center" vertical="center"/>
    </xf>
    <xf numFmtId="9" fontId="1" fillId="0" borderId="3" xfId="1" applyFont="1" applyBorder="1" applyAlignment="1">
      <alignment horizontal="center" vertical="center" wrapText="1"/>
    </xf>
    <xf numFmtId="9" fontId="1" fillId="0" borderId="41" xfId="1" applyFont="1" applyBorder="1" applyAlignment="1">
      <alignment horizontal="center" vertical="center" wrapText="1"/>
    </xf>
    <xf numFmtId="0" fontId="0" fillId="11" borderId="33" xfId="0" applyFill="1" applyBorder="1" applyAlignment="1">
      <alignment horizontal="left" vertical="center"/>
    </xf>
    <xf numFmtId="0" fontId="0" fillId="11" borderId="3" xfId="0" applyFill="1" applyBorder="1" applyAlignment="1">
      <alignment horizontal="center" vertical="center" wrapText="1"/>
    </xf>
    <xf numFmtId="0" fontId="0" fillId="11" borderId="3" xfId="0" applyFill="1" applyBorder="1" applyAlignment="1">
      <alignment vertical="center" wrapText="1"/>
    </xf>
    <xf numFmtId="0" fontId="0" fillId="11" borderId="41" xfId="0" applyFill="1" applyBorder="1" applyAlignment="1">
      <alignment horizontal="center" vertical="center"/>
    </xf>
    <xf numFmtId="164" fontId="0" fillId="8" borderId="33" xfId="1" applyNumberFormat="1" applyFont="1" applyFill="1" applyBorder="1" applyAlignment="1">
      <alignment horizontal="center" vertical="center"/>
    </xf>
    <xf numFmtId="164" fontId="0" fillId="7" borderId="33" xfId="1" applyNumberFormat="1" applyFont="1" applyFill="1" applyBorder="1" applyAlignment="1">
      <alignment horizontal="center" vertical="center"/>
    </xf>
    <xf numFmtId="9" fontId="1" fillId="0" borderId="15" xfId="1" applyFont="1" applyBorder="1" applyAlignment="1">
      <alignment horizontal="center" vertical="center" wrapText="1"/>
    </xf>
    <xf numFmtId="0" fontId="0" fillId="5" borderId="1" xfId="0" applyFill="1" applyBorder="1" applyAlignment="1">
      <alignment vertical="center" wrapText="1"/>
    </xf>
    <xf numFmtId="0" fontId="0" fillId="0" borderId="39" xfId="0" applyBorder="1" applyAlignment="1">
      <alignment vertical="center" wrapText="1"/>
    </xf>
    <xf numFmtId="0" fontId="0" fillId="0" borderId="4" xfId="0" applyBorder="1" applyAlignment="1">
      <alignment horizontal="left" vertical="center" wrapText="1"/>
    </xf>
    <xf numFmtId="0" fontId="0" fillId="0" borderId="25" xfId="0" applyBorder="1" applyAlignment="1">
      <alignment horizontal="left" vertical="center" wrapText="1"/>
    </xf>
    <xf numFmtId="0" fontId="0" fillId="5" borderId="29" xfId="0" applyFill="1" applyBorder="1" applyAlignment="1">
      <alignment horizontal="center" vertical="center"/>
    </xf>
    <xf numFmtId="44" fontId="0" fillId="5" borderId="1" xfId="2" applyFont="1" applyFill="1" applyBorder="1" applyAlignment="1">
      <alignment horizontal="left" vertical="center"/>
    </xf>
    <xf numFmtId="0" fontId="1" fillId="5" borderId="4" xfId="0" applyFont="1" applyFill="1" applyBorder="1" applyAlignment="1">
      <alignment horizontal="left" vertical="center"/>
    </xf>
    <xf numFmtId="0" fontId="0" fillId="5" borderId="1" xfId="0" applyFill="1" applyBorder="1"/>
    <xf numFmtId="2" fontId="0" fillId="5" borderId="34" xfId="1" applyNumberFormat="1" applyFont="1" applyFill="1" applyBorder="1" applyAlignment="1">
      <alignment horizontal="center" vertical="center"/>
    </xf>
    <xf numFmtId="0" fontId="1" fillId="5" borderId="51" xfId="0" applyFont="1" applyFill="1" applyBorder="1"/>
    <xf numFmtId="0" fontId="0" fillId="5" borderId="2" xfId="0" applyFill="1" applyBorder="1"/>
    <xf numFmtId="9" fontId="0" fillId="0" borderId="16" xfId="1" applyFont="1" applyBorder="1" applyAlignment="1">
      <alignment horizontal="center" vertical="center"/>
    </xf>
    <xf numFmtId="9" fontId="0" fillId="8" borderId="30" xfId="1" applyFont="1" applyFill="1" applyBorder="1" applyAlignment="1">
      <alignment horizontal="center" vertical="center"/>
    </xf>
    <xf numFmtId="0" fontId="0" fillId="5" borderId="27" xfId="0" applyFill="1" applyBorder="1" applyAlignment="1">
      <alignment horizontal="left" vertical="center"/>
    </xf>
    <xf numFmtId="9" fontId="1" fillId="0" borderId="1" xfId="1" applyFont="1" applyBorder="1" applyAlignment="1">
      <alignment horizontal="center" vertical="center" wrapText="1"/>
    </xf>
    <xf numFmtId="9" fontId="1" fillId="0" borderId="25" xfId="1" applyFont="1" applyBorder="1" applyAlignment="1">
      <alignment horizontal="center" vertical="center" wrapText="1"/>
    </xf>
    <xf numFmtId="9" fontId="1" fillId="0" borderId="34" xfId="1" applyFont="1" applyBorder="1" applyAlignment="1">
      <alignment horizontal="center" vertical="center" wrapText="1"/>
    </xf>
    <xf numFmtId="9" fontId="1" fillId="0" borderId="39" xfId="1" applyFont="1" applyBorder="1" applyAlignment="1">
      <alignment horizontal="center" vertical="center" wrapText="1"/>
    </xf>
    <xf numFmtId="0" fontId="0" fillId="11" borderId="29" xfId="0" applyFill="1" applyBorder="1" applyAlignment="1">
      <alignment horizontal="center" vertical="center"/>
    </xf>
    <xf numFmtId="0" fontId="0" fillId="5" borderId="22" xfId="0" applyFill="1" applyBorder="1" applyAlignment="1">
      <alignment horizontal="center" vertical="center" wrapText="1"/>
    </xf>
    <xf numFmtId="0" fontId="0" fillId="9" borderId="30" xfId="0" applyFill="1" applyBorder="1" applyAlignment="1">
      <alignment vertical="center"/>
    </xf>
    <xf numFmtId="0" fontId="1" fillId="9" borderId="30" xfId="0" applyFont="1" applyFill="1" applyBorder="1" applyAlignment="1">
      <alignment horizontal="left" vertical="center"/>
    </xf>
    <xf numFmtId="0" fontId="0" fillId="9" borderId="30" xfId="0" applyFill="1" applyBorder="1" applyAlignment="1">
      <alignment horizontal="left" vertical="center" wrapText="1"/>
    </xf>
    <xf numFmtId="0" fontId="0" fillId="9" borderId="14" xfId="0" applyFill="1" applyBorder="1" applyAlignment="1">
      <alignment horizontal="left" vertical="center"/>
    </xf>
    <xf numFmtId="0" fontId="0" fillId="9" borderId="16" xfId="0" applyFill="1" applyBorder="1" applyAlignment="1">
      <alignment horizontal="left" vertical="center"/>
    </xf>
    <xf numFmtId="0" fontId="1" fillId="0" borderId="27" xfId="0" applyFont="1" applyBorder="1" applyAlignment="1">
      <alignment horizontal="center" vertical="center" wrapText="1"/>
    </xf>
    <xf numFmtId="0" fontId="0" fillId="5" borderId="25" xfId="0" applyFill="1" applyBorder="1" applyAlignment="1">
      <alignment horizontal="center" vertical="center" wrapText="1"/>
    </xf>
    <xf numFmtId="0" fontId="0" fillId="5" borderId="25" xfId="0" applyFill="1" applyBorder="1" applyAlignment="1">
      <alignment vertical="center" wrapText="1"/>
    </xf>
    <xf numFmtId="0" fontId="0" fillId="5" borderId="29" xfId="0" applyFill="1" applyBorder="1" applyAlignment="1">
      <alignment horizontal="center" vertical="center" wrapText="1"/>
    </xf>
    <xf numFmtId="1" fontId="0" fillId="5" borderId="29" xfId="1" applyNumberFormat="1" applyFont="1" applyFill="1" applyBorder="1" applyAlignment="1">
      <alignment horizontal="center" vertical="center" wrapText="1"/>
    </xf>
    <xf numFmtId="9" fontId="1" fillId="5" borderId="29" xfId="1" applyFont="1" applyFill="1" applyBorder="1" applyAlignment="1">
      <alignment horizontal="center" vertical="center"/>
    </xf>
    <xf numFmtId="0" fontId="0" fillId="5" borderId="13" xfId="0" applyFill="1" applyBorder="1" applyAlignment="1">
      <alignment horizontal="center" vertical="center"/>
    </xf>
    <xf numFmtId="0" fontId="0" fillId="5" borderId="36" xfId="0" applyFill="1" applyBorder="1" applyAlignment="1">
      <alignment horizontal="center" vertical="center"/>
    </xf>
    <xf numFmtId="0" fontId="0" fillId="0" borderId="31" xfId="0" applyBorder="1" applyAlignment="1">
      <alignment horizontal="center"/>
    </xf>
    <xf numFmtId="0" fontId="0" fillId="0" borderId="31" xfId="0" applyBorder="1" applyAlignment="1">
      <alignment horizontal="center" vertical="center"/>
    </xf>
    <xf numFmtId="9" fontId="1" fillId="0" borderId="57" xfId="1" applyFont="1" applyFill="1" applyBorder="1" applyAlignment="1">
      <alignment horizontal="center" vertical="center" wrapText="1"/>
    </xf>
    <xf numFmtId="9" fontId="0" fillId="18" borderId="24" xfId="1" applyFont="1" applyFill="1" applyBorder="1" applyAlignment="1">
      <alignment horizontal="center" vertical="center"/>
    </xf>
    <xf numFmtId="9" fontId="0" fillId="18" borderId="40" xfId="1" applyFont="1" applyFill="1" applyBorder="1" applyAlignment="1">
      <alignment horizontal="center" vertical="center"/>
    </xf>
    <xf numFmtId="0" fontId="0" fillId="5" borderId="22" xfId="0" applyFill="1" applyBorder="1" applyAlignment="1">
      <alignment vertical="center" wrapText="1"/>
    </xf>
    <xf numFmtId="0" fontId="0" fillId="5" borderId="28" xfId="0" applyFill="1" applyBorder="1" applyAlignment="1">
      <alignment horizontal="center" vertical="center"/>
    </xf>
    <xf numFmtId="0" fontId="0" fillId="18" borderId="31" xfId="0" applyFill="1" applyBorder="1" applyAlignment="1">
      <alignment horizontal="center"/>
    </xf>
    <xf numFmtId="0" fontId="1" fillId="5" borderId="24" xfId="0" applyFont="1" applyFill="1" applyBorder="1" applyAlignment="1">
      <alignment vertical="center" wrapText="1"/>
    </xf>
    <xf numFmtId="0" fontId="1" fillId="5" borderId="40" xfId="0" applyFont="1" applyFill="1" applyBorder="1" applyAlignment="1">
      <alignment vertical="center" wrapText="1"/>
    </xf>
    <xf numFmtId="9" fontId="23" fillId="6" borderId="0" xfId="0" applyNumberFormat="1" applyFont="1" applyFill="1" applyAlignment="1">
      <alignment horizontal="center"/>
    </xf>
    <xf numFmtId="0" fontId="0" fillId="5" borderId="1" xfId="0" applyFill="1" applyBorder="1" applyAlignment="1">
      <alignment vertical="center"/>
    </xf>
    <xf numFmtId="0" fontId="1" fillId="5" borderId="51" xfId="0" applyFont="1" applyFill="1" applyBorder="1" applyAlignment="1">
      <alignment vertical="center" wrapText="1"/>
    </xf>
    <xf numFmtId="0" fontId="0" fillId="5" borderId="2" xfId="0" applyFill="1" applyBorder="1" applyAlignment="1">
      <alignment vertical="center"/>
    </xf>
    <xf numFmtId="10" fontId="0" fillId="0" borderId="30" xfId="0" applyNumberFormat="1" applyBorder="1" applyAlignment="1">
      <alignment horizontal="center" vertical="center"/>
    </xf>
    <xf numFmtId="0" fontId="0" fillId="22" borderId="31" xfId="0" applyFill="1" applyBorder="1" applyAlignment="1">
      <alignment horizontal="center"/>
    </xf>
    <xf numFmtId="0" fontId="0" fillId="0" borderId="17" xfId="0" applyBorder="1" applyAlignment="1">
      <alignment horizontal="center"/>
    </xf>
    <xf numFmtId="9" fontId="0" fillId="8" borderId="1" xfId="1" applyFont="1" applyFill="1" applyBorder="1" applyAlignment="1">
      <alignment horizontal="center" vertical="center"/>
    </xf>
    <xf numFmtId="10" fontId="0" fillId="7" borderId="1" xfId="1" applyNumberFormat="1" applyFont="1" applyFill="1" applyBorder="1" applyAlignment="1">
      <alignment horizontal="center" vertical="center"/>
    </xf>
    <xf numFmtId="10" fontId="0" fillId="8" borderId="1" xfId="1" applyNumberFormat="1" applyFont="1" applyFill="1" applyBorder="1" applyAlignment="1">
      <alignment horizontal="center" vertical="center"/>
    </xf>
    <xf numFmtId="164" fontId="0" fillId="7" borderId="1" xfId="1" applyNumberFormat="1" applyFont="1" applyFill="1" applyBorder="1" applyAlignment="1">
      <alignment horizontal="center" vertical="center"/>
    </xf>
    <xf numFmtId="0" fontId="0" fillId="5" borderId="34" xfId="0" applyFill="1" applyBorder="1" applyAlignment="1">
      <alignment vertical="center" wrapText="1"/>
    </xf>
    <xf numFmtId="164" fontId="0" fillId="7" borderId="24" xfId="1" applyNumberFormat="1" applyFont="1" applyFill="1" applyBorder="1" applyAlignment="1">
      <alignment horizontal="center" vertical="center"/>
    </xf>
    <xf numFmtId="0" fontId="0" fillId="5" borderId="39" xfId="0" applyFill="1" applyBorder="1" applyAlignment="1">
      <alignment vertical="center" wrapText="1"/>
    </xf>
    <xf numFmtId="10" fontId="0" fillId="8" borderId="30" xfId="1" applyNumberFormat="1" applyFont="1" applyFill="1" applyBorder="1" applyAlignment="1">
      <alignment horizontal="center" vertical="center"/>
    </xf>
    <xf numFmtId="164" fontId="0" fillId="7" borderId="30" xfId="1" applyNumberFormat="1" applyFont="1" applyFill="1" applyBorder="1" applyAlignment="1">
      <alignment horizontal="center" vertical="center"/>
    </xf>
    <xf numFmtId="164" fontId="0" fillId="22" borderId="30" xfId="1" applyNumberFormat="1" applyFont="1" applyFill="1" applyBorder="1" applyAlignment="1">
      <alignment horizontal="center" vertical="center"/>
    </xf>
    <xf numFmtId="164" fontId="0" fillId="22" borderId="38" xfId="1" applyNumberFormat="1" applyFont="1" applyFill="1" applyBorder="1" applyAlignment="1">
      <alignment horizontal="center" vertical="center"/>
    </xf>
    <xf numFmtId="0" fontId="1" fillId="0" borderId="4" xfId="0" applyFont="1" applyBorder="1" applyAlignment="1">
      <alignment vertical="center" wrapText="1"/>
    </xf>
    <xf numFmtId="9" fontId="0" fillId="0" borderId="1" xfId="0" applyNumberFormat="1" applyBorder="1" applyAlignment="1">
      <alignment horizontal="center" vertical="center"/>
    </xf>
    <xf numFmtId="9" fontId="0" fillId="7" borderId="1" xfId="1" applyFont="1" applyFill="1" applyBorder="1" applyAlignment="1">
      <alignment horizontal="center" vertical="center"/>
    </xf>
    <xf numFmtId="9" fontId="0" fillId="0" borderId="1" xfId="1" applyFont="1" applyBorder="1" applyAlignment="1">
      <alignment horizontal="center" vertical="center"/>
    </xf>
    <xf numFmtId="0" fontId="0" fillId="9" borderId="1" xfId="0" applyFill="1" applyBorder="1" applyAlignment="1">
      <alignment vertical="center"/>
    </xf>
    <xf numFmtId="10" fontId="0" fillId="0" borderId="1" xfId="0" applyNumberFormat="1" applyBorder="1" applyAlignment="1">
      <alignment horizontal="center" vertical="center"/>
    </xf>
    <xf numFmtId="0" fontId="0" fillId="11" borderId="1" xfId="0" applyFill="1" applyBorder="1" applyAlignment="1">
      <alignment vertical="center"/>
    </xf>
    <xf numFmtId="9" fontId="1" fillId="9" borderId="1" xfId="1" applyFont="1" applyFill="1" applyBorder="1" applyAlignment="1">
      <alignment horizontal="center" vertical="center"/>
    </xf>
    <xf numFmtId="9" fontId="1" fillId="11" borderId="1" xfId="1" applyFont="1" applyFill="1" applyBorder="1" applyAlignment="1">
      <alignment horizontal="center" vertical="center"/>
    </xf>
    <xf numFmtId="9" fontId="0" fillId="13" borderId="1" xfId="1" applyFont="1" applyFill="1" applyBorder="1" applyAlignment="1">
      <alignment horizontal="center" vertical="center"/>
    </xf>
    <xf numFmtId="0" fontId="0" fillId="9" borderId="1" xfId="0" applyFill="1" applyBorder="1" applyAlignment="1">
      <alignment vertical="center" wrapText="1"/>
    </xf>
    <xf numFmtId="164" fontId="0" fillId="8" borderId="1" xfId="1" applyNumberFormat="1" applyFont="1" applyFill="1" applyBorder="1" applyAlignment="1">
      <alignment horizontal="center" vertical="center"/>
    </xf>
    <xf numFmtId="0" fontId="0" fillId="11" borderId="1" xfId="0" applyFill="1" applyBorder="1" applyAlignment="1">
      <alignment vertical="center" wrapText="1"/>
    </xf>
    <xf numFmtId="9" fontId="1" fillId="0" borderId="22" xfId="1" applyFont="1" applyFill="1" applyBorder="1" applyAlignment="1">
      <alignment horizontal="center" vertical="center" wrapText="1"/>
    </xf>
    <xf numFmtId="0" fontId="0" fillId="9" borderId="25" xfId="0" applyFill="1" applyBorder="1" applyAlignment="1">
      <alignment horizontal="center" vertical="center" wrapText="1"/>
    </xf>
    <xf numFmtId="0" fontId="0" fillId="9" borderId="25" xfId="0" applyFill="1" applyBorder="1" applyAlignment="1">
      <alignment vertical="center" wrapText="1"/>
    </xf>
    <xf numFmtId="164" fontId="0" fillId="8" borderId="25" xfId="1" applyNumberFormat="1" applyFont="1" applyFill="1" applyBorder="1" applyAlignment="1">
      <alignment horizontal="center" vertical="center"/>
    </xf>
    <xf numFmtId="9" fontId="0" fillId="0" borderId="25" xfId="1" applyFont="1" applyBorder="1" applyAlignment="1">
      <alignment horizontal="center" vertical="center"/>
    </xf>
    <xf numFmtId="0" fontId="0" fillId="11" borderId="25" xfId="0" applyFill="1" applyBorder="1" applyAlignment="1">
      <alignment horizontal="center" vertical="center" wrapText="1"/>
    </xf>
    <xf numFmtId="0" fontId="0" fillId="11" borderId="25" xfId="0" applyFill="1" applyBorder="1" applyAlignment="1">
      <alignment vertical="center" wrapText="1"/>
    </xf>
    <xf numFmtId="164" fontId="0" fillId="7" borderId="25" xfId="1" applyNumberFormat="1" applyFont="1" applyFill="1" applyBorder="1" applyAlignment="1">
      <alignment horizontal="center" vertical="center"/>
    </xf>
    <xf numFmtId="0" fontId="0" fillId="5" borderId="39" xfId="0" applyFill="1" applyBorder="1" applyAlignment="1">
      <alignment horizontal="center" vertical="center"/>
    </xf>
    <xf numFmtId="0" fontId="0" fillId="5" borderId="30" xfId="0" applyFill="1" applyBorder="1" applyAlignment="1">
      <alignment vertical="center"/>
    </xf>
    <xf numFmtId="0" fontId="1" fillId="5" borderId="30" xfId="0" applyFont="1" applyFill="1" applyBorder="1" applyAlignment="1">
      <alignment horizontal="left" vertical="center"/>
    </xf>
    <xf numFmtId="0" fontId="1" fillId="0" borderId="28" xfId="0" applyFont="1" applyBorder="1" applyAlignment="1">
      <alignment horizontal="center" vertical="center" wrapText="1"/>
    </xf>
    <xf numFmtId="0" fontId="0" fillId="18" borderId="31" xfId="0" applyFill="1" applyBorder="1" applyAlignment="1">
      <alignment horizontal="center" vertical="center"/>
    </xf>
    <xf numFmtId="164" fontId="0" fillId="18" borderId="24" xfId="1" applyNumberFormat="1" applyFont="1" applyFill="1" applyBorder="1" applyAlignment="1">
      <alignment horizontal="center" vertical="center"/>
    </xf>
    <xf numFmtId="164" fontId="0" fillId="18" borderId="40" xfId="1" applyNumberFormat="1" applyFont="1" applyFill="1" applyBorder="1" applyAlignment="1">
      <alignment horizontal="center" vertical="center"/>
    </xf>
    <xf numFmtId="9" fontId="0" fillId="8" borderId="46" xfId="1" applyFont="1" applyFill="1" applyBorder="1" applyAlignment="1">
      <alignment horizontal="center" vertical="center"/>
    </xf>
    <xf numFmtId="9" fontId="0" fillId="7" borderId="30" xfId="1" applyFont="1" applyFill="1" applyBorder="1" applyAlignment="1">
      <alignment horizontal="center" vertical="center"/>
    </xf>
    <xf numFmtId="9" fontId="0" fillId="13" borderId="30" xfId="1" applyFont="1" applyFill="1" applyBorder="1" applyAlignment="1">
      <alignment horizontal="center" vertical="center"/>
    </xf>
    <xf numFmtId="10" fontId="0" fillId="7" borderId="30" xfId="1" applyNumberFormat="1" applyFont="1" applyFill="1" applyBorder="1" applyAlignment="1">
      <alignment horizontal="center" vertical="center"/>
    </xf>
    <xf numFmtId="0" fontId="0" fillId="11" borderId="29" xfId="0" applyFill="1" applyBorder="1" applyAlignment="1">
      <alignment horizontal="left" vertical="center" wrapText="1"/>
    </xf>
    <xf numFmtId="0" fontId="0" fillId="11" borderId="29" xfId="0" applyFill="1" applyBorder="1" applyAlignment="1">
      <alignment horizontal="left" vertical="center"/>
    </xf>
    <xf numFmtId="0" fontId="0" fillId="11" borderId="36" xfId="0" applyFill="1" applyBorder="1" applyAlignment="1">
      <alignment horizontal="left" vertical="center"/>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10" fontId="0" fillId="13" borderId="24" xfId="1" applyNumberFormat="1" applyFont="1" applyFill="1" applyBorder="1" applyAlignment="1">
      <alignment horizontal="center" vertical="center"/>
    </xf>
    <xf numFmtId="9" fontId="0" fillId="22" borderId="30" xfId="1" applyFont="1" applyFill="1" applyBorder="1" applyAlignment="1">
      <alignment horizontal="center" vertical="center"/>
    </xf>
    <xf numFmtId="10" fontId="0" fillId="13" borderId="30" xfId="1" applyNumberFormat="1" applyFont="1" applyFill="1" applyBorder="1" applyAlignment="1">
      <alignment vertical="center"/>
    </xf>
    <xf numFmtId="1" fontId="0" fillId="5" borderId="25" xfId="1" applyNumberFormat="1" applyFont="1" applyFill="1" applyBorder="1" applyAlignment="1">
      <alignment horizontal="left" vertical="center" wrapText="1"/>
    </xf>
    <xf numFmtId="0" fontId="0" fillId="5" borderId="46" xfId="0" applyFill="1" applyBorder="1" applyAlignment="1">
      <alignment horizontal="left" vertical="center" wrapText="1"/>
    </xf>
    <xf numFmtId="0" fontId="0" fillId="5" borderId="30" xfId="0" applyFill="1" applyBorder="1" applyAlignment="1">
      <alignment horizontal="left" vertical="center" wrapText="1"/>
    </xf>
    <xf numFmtId="0" fontId="0" fillId="5" borderId="30" xfId="0" applyFill="1" applyBorder="1" applyAlignment="1">
      <alignment horizontal="left"/>
    </xf>
    <xf numFmtId="0" fontId="0" fillId="11" borderId="28" xfId="0" applyFill="1" applyBorder="1" applyAlignment="1">
      <alignment horizontal="center" vertical="center"/>
    </xf>
    <xf numFmtId="44" fontId="0" fillId="11" borderId="29" xfId="2" applyFont="1" applyFill="1" applyBorder="1" applyAlignment="1">
      <alignment horizontal="left" vertical="center"/>
    </xf>
    <xf numFmtId="9" fontId="0" fillId="11" borderId="29" xfId="1" applyFont="1" applyFill="1" applyBorder="1" applyAlignment="1">
      <alignment horizontal="left" vertical="center"/>
    </xf>
    <xf numFmtId="10" fontId="0" fillId="11" borderId="29" xfId="0" applyNumberFormat="1" applyFill="1" applyBorder="1" applyAlignment="1">
      <alignment horizontal="left" vertical="center" wrapText="1"/>
    </xf>
    <xf numFmtId="1" fontId="0" fillId="11" borderId="29" xfId="1" applyNumberFormat="1" applyFont="1" applyFill="1" applyBorder="1" applyAlignment="1">
      <alignment horizontal="left" vertical="center" wrapText="1"/>
    </xf>
    <xf numFmtId="0" fontId="1" fillId="11" borderId="28" xfId="0" applyFont="1" applyFill="1" applyBorder="1" applyAlignment="1">
      <alignment horizontal="center" vertical="center"/>
    </xf>
    <xf numFmtId="0" fontId="16" fillId="11" borderId="17" xfId="0" applyFont="1" applyFill="1" applyBorder="1" applyAlignment="1">
      <alignment horizontal="left" vertical="center"/>
    </xf>
    <xf numFmtId="0" fontId="16" fillId="11" borderId="29" xfId="0" applyFont="1" applyFill="1" applyBorder="1" applyAlignment="1">
      <alignment horizontal="left" vertical="center"/>
    </xf>
    <xf numFmtId="0" fontId="16" fillId="11" borderId="13" xfId="0" applyFont="1" applyFill="1" applyBorder="1" applyAlignment="1">
      <alignment horizontal="left" vertical="center"/>
    </xf>
    <xf numFmtId="9" fontId="0" fillId="11" borderId="29" xfId="1" applyFont="1" applyFill="1" applyBorder="1" applyAlignment="1">
      <alignment horizontal="center" vertical="center"/>
    </xf>
    <xf numFmtId="9" fontId="0" fillId="11" borderId="36" xfId="1" applyFont="1" applyFill="1" applyBorder="1" applyAlignment="1">
      <alignment horizontal="center" vertical="center"/>
    </xf>
    <xf numFmtId="0" fontId="1" fillId="11" borderId="29" xfId="0" applyFont="1" applyFill="1" applyBorder="1" applyAlignment="1">
      <alignment horizontal="left" vertical="center"/>
    </xf>
    <xf numFmtId="10" fontId="0" fillId="11" borderId="29" xfId="1" applyNumberFormat="1" applyFont="1" applyFill="1" applyBorder="1" applyAlignment="1">
      <alignment horizontal="left" vertical="center"/>
    </xf>
    <xf numFmtId="10" fontId="0" fillId="11" borderId="36" xfId="1" applyNumberFormat="1" applyFont="1" applyFill="1" applyBorder="1" applyAlignment="1">
      <alignment horizontal="left" vertical="center"/>
    </xf>
    <xf numFmtId="9" fontId="1" fillId="11" borderId="28" xfId="1" applyFont="1" applyFill="1" applyBorder="1" applyAlignment="1">
      <alignment horizontal="left" vertical="center"/>
    </xf>
    <xf numFmtId="0" fontId="1" fillId="11" borderId="17" xfId="0" applyFont="1" applyFill="1" applyBorder="1" applyAlignment="1">
      <alignment horizontal="left" vertical="center"/>
    </xf>
    <xf numFmtId="9" fontId="0" fillId="11" borderId="13" xfId="1" applyFont="1" applyFill="1" applyBorder="1" applyAlignment="1">
      <alignment horizontal="left" vertical="center"/>
    </xf>
    <xf numFmtId="1" fontId="0" fillId="11" borderId="2" xfId="1" applyNumberFormat="1" applyFont="1" applyFill="1" applyBorder="1" applyAlignment="1">
      <alignment horizontal="center" vertical="center" wrapText="1"/>
    </xf>
    <xf numFmtId="164" fontId="0" fillId="11" borderId="2" xfId="1" applyNumberFormat="1" applyFont="1" applyFill="1" applyBorder="1" applyAlignment="1">
      <alignment horizontal="center" vertical="center" wrapText="1"/>
    </xf>
    <xf numFmtId="1" fontId="0" fillId="5" borderId="2" xfId="1" applyNumberFormat="1" applyFont="1" applyFill="1" applyBorder="1" applyAlignment="1">
      <alignment horizontal="center" vertical="center" wrapText="1"/>
    </xf>
    <xf numFmtId="164" fontId="0" fillId="5" borderId="2" xfId="1" applyNumberFormat="1" applyFont="1" applyFill="1" applyBorder="1" applyAlignment="1">
      <alignment horizontal="center" vertical="center" wrapText="1"/>
    </xf>
    <xf numFmtId="164" fontId="0" fillId="11" borderId="4" xfId="1" applyNumberFormat="1" applyFont="1" applyFill="1" applyBorder="1" applyAlignment="1">
      <alignment horizontal="center" vertical="center" wrapText="1"/>
    </xf>
    <xf numFmtId="164" fontId="0" fillId="11" borderId="1" xfId="1" applyNumberFormat="1" applyFont="1" applyFill="1" applyBorder="1" applyAlignment="1">
      <alignment horizontal="center" vertical="center"/>
    </xf>
    <xf numFmtId="0" fontId="0" fillId="23" borderId="24" xfId="0" applyFill="1" applyBorder="1" applyAlignment="1">
      <alignment horizontal="left" vertical="center" wrapText="1"/>
    </xf>
    <xf numFmtId="0" fontId="0" fillId="23" borderId="1" xfId="0" applyFill="1" applyBorder="1" applyAlignment="1">
      <alignment horizontal="center" vertical="center" wrapText="1"/>
    </xf>
    <xf numFmtId="0" fontId="0" fillId="23" borderId="1" xfId="0" applyFill="1" applyBorder="1" applyAlignment="1">
      <alignment horizontal="left" vertical="center" wrapText="1"/>
    </xf>
    <xf numFmtId="0" fontId="0" fillId="23" borderId="29" xfId="0" applyFill="1" applyBorder="1" applyAlignment="1">
      <alignment horizontal="center" vertical="center" wrapText="1"/>
    </xf>
    <xf numFmtId="0" fontId="0" fillId="23" borderId="24" xfId="0" applyFill="1" applyBorder="1" applyAlignment="1">
      <alignment horizontal="left" vertical="center"/>
    </xf>
    <xf numFmtId="0" fontId="0" fillId="23" borderId="1" xfId="0" applyFill="1" applyBorder="1" applyAlignment="1">
      <alignment horizontal="center" vertical="center"/>
    </xf>
    <xf numFmtId="1" fontId="0" fillId="23" borderId="1" xfId="1" applyNumberFormat="1" applyFont="1" applyFill="1" applyBorder="1" applyAlignment="1">
      <alignment horizontal="center" vertical="center" wrapText="1"/>
    </xf>
    <xf numFmtId="0" fontId="0" fillId="23" borderId="1" xfId="0" applyFill="1" applyBorder="1" applyAlignment="1">
      <alignment horizontal="left" vertical="center"/>
    </xf>
    <xf numFmtId="1" fontId="0" fillId="23" borderId="29" xfId="1" applyNumberFormat="1" applyFont="1" applyFill="1" applyBorder="1" applyAlignment="1">
      <alignment horizontal="center" vertical="center" wrapText="1"/>
    </xf>
    <xf numFmtId="0" fontId="0" fillId="23" borderId="24" xfId="0" applyFill="1" applyBorder="1" applyAlignment="1">
      <alignment vertical="center"/>
    </xf>
    <xf numFmtId="0" fontId="1" fillId="23" borderId="24" xfId="0" applyFont="1" applyFill="1" applyBorder="1" applyAlignment="1">
      <alignment horizontal="left" vertical="center"/>
    </xf>
    <xf numFmtId="0" fontId="1" fillId="23" borderId="1" xfId="0" applyFont="1" applyFill="1" applyBorder="1" applyAlignment="1">
      <alignment horizontal="left" vertical="center"/>
    </xf>
    <xf numFmtId="0" fontId="1" fillId="23" borderId="1" xfId="0" applyFont="1" applyFill="1" applyBorder="1" applyAlignment="1">
      <alignment horizontal="center" vertical="center"/>
    </xf>
    <xf numFmtId="9" fontId="1" fillId="23" borderId="29" xfId="1" applyFont="1" applyFill="1" applyBorder="1" applyAlignment="1">
      <alignment horizontal="center" vertical="center"/>
    </xf>
    <xf numFmtId="14" fontId="21" fillId="23" borderId="1" xfId="0" applyNumberFormat="1" applyFont="1" applyFill="1" applyBorder="1" applyAlignment="1">
      <alignment horizontal="center" vertical="center" wrapText="1"/>
    </xf>
    <xf numFmtId="0" fontId="0" fillId="23" borderId="34" xfId="0" applyFill="1" applyBorder="1" applyAlignment="1">
      <alignment horizontal="center" vertical="center"/>
    </xf>
    <xf numFmtId="14" fontId="10" fillId="23" borderId="1" xfId="0" applyNumberFormat="1" applyFont="1" applyFill="1" applyBorder="1" applyAlignment="1">
      <alignment horizontal="center" vertical="center" wrapText="1"/>
    </xf>
    <xf numFmtId="14" fontId="10" fillId="23" borderId="1" xfId="0" applyNumberFormat="1" applyFont="1" applyFill="1" applyBorder="1" applyAlignment="1">
      <alignment horizontal="center" wrapText="1"/>
    </xf>
    <xf numFmtId="0" fontId="0" fillId="23" borderId="51" xfId="0" applyFill="1" applyBorder="1" applyAlignment="1">
      <alignment horizontal="left" vertical="center"/>
    </xf>
    <xf numFmtId="0" fontId="0" fillId="23" borderId="2" xfId="0" applyFill="1" applyBorder="1" applyAlignment="1">
      <alignment horizontal="center" vertical="center" wrapText="1"/>
    </xf>
    <xf numFmtId="0" fontId="0" fillId="23" borderId="13" xfId="0" applyFill="1" applyBorder="1" applyAlignment="1">
      <alignment horizontal="center" vertical="center"/>
    </xf>
    <xf numFmtId="0" fontId="0" fillId="23" borderId="27" xfId="0" applyFill="1" applyBorder="1" applyAlignment="1">
      <alignment horizontal="left" vertical="center"/>
    </xf>
    <xf numFmtId="0" fontId="0" fillId="23" borderId="22" xfId="0" applyFill="1" applyBorder="1" applyAlignment="1">
      <alignment horizontal="center" vertical="center" wrapText="1"/>
    </xf>
    <xf numFmtId="0" fontId="0" fillId="23" borderId="22" xfId="0" applyFill="1" applyBorder="1" applyAlignment="1">
      <alignment vertical="center" wrapText="1"/>
    </xf>
    <xf numFmtId="0" fontId="0" fillId="23" borderId="28" xfId="0" applyFill="1" applyBorder="1" applyAlignment="1">
      <alignment horizontal="center" vertical="center"/>
    </xf>
    <xf numFmtId="0" fontId="0" fillId="23" borderId="1" xfId="0" applyFill="1" applyBorder="1" applyAlignment="1">
      <alignment vertical="center" wrapText="1"/>
    </xf>
    <xf numFmtId="0" fontId="0" fillId="23" borderId="29" xfId="0" applyFill="1" applyBorder="1" applyAlignment="1">
      <alignment horizontal="center" vertical="center"/>
    </xf>
    <xf numFmtId="0" fontId="0" fillId="23" borderId="40" xfId="0" applyFill="1" applyBorder="1" applyAlignment="1">
      <alignment horizontal="left" vertical="center"/>
    </xf>
    <xf numFmtId="0" fontId="0" fillId="23" borderId="25" xfId="0" applyFill="1" applyBorder="1" applyAlignment="1">
      <alignment horizontal="center" vertical="center" wrapText="1"/>
    </xf>
    <xf numFmtId="0" fontId="0" fillId="23" borderId="25" xfId="0" applyFill="1" applyBorder="1" applyAlignment="1">
      <alignment vertical="center" wrapText="1"/>
    </xf>
    <xf numFmtId="0" fontId="0" fillId="23" borderId="36" xfId="0" applyFill="1" applyBorder="1" applyAlignment="1">
      <alignment horizontal="center" vertical="center"/>
    </xf>
    <xf numFmtId="2" fontId="0" fillId="23" borderId="34" xfId="1" applyNumberFormat="1" applyFont="1" applyFill="1" applyBorder="1" applyAlignment="1">
      <alignment horizontal="center" vertical="center"/>
    </xf>
    <xf numFmtId="0" fontId="1" fillId="23" borderId="24" xfId="0" applyFont="1" applyFill="1" applyBorder="1" applyAlignment="1">
      <alignment vertical="center" wrapText="1"/>
    </xf>
    <xf numFmtId="0" fontId="1" fillId="23" borderId="40" xfId="0" applyFont="1" applyFill="1" applyBorder="1" applyAlignment="1">
      <alignment vertical="center" wrapText="1"/>
    </xf>
    <xf numFmtId="0" fontId="0" fillId="23" borderId="25" xfId="0" applyFill="1" applyBorder="1" applyAlignment="1">
      <alignment horizontal="center" vertical="center"/>
    </xf>
    <xf numFmtId="0" fontId="1" fillId="0" borderId="66" xfId="0" applyFont="1" applyBorder="1" applyAlignment="1">
      <alignment horizontal="center" vertical="center" wrapText="1"/>
    </xf>
    <xf numFmtId="9" fontId="1" fillId="0" borderId="71" xfId="1" applyFont="1" applyBorder="1" applyAlignment="1">
      <alignment horizontal="center" vertical="center" wrapText="1"/>
    </xf>
    <xf numFmtId="9" fontId="1" fillId="0" borderId="72" xfId="1" applyFont="1" applyBorder="1" applyAlignment="1">
      <alignment horizontal="center" vertical="center" wrapText="1"/>
    </xf>
    <xf numFmtId="0" fontId="1" fillId="23" borderId="24" xfId="0" applyFont="1" applyFill="1" applyBorder="1" applyAlignment="1">
      <alignment vertical="center"/>
    </xf>
    <xf numFmtId="0" fontId="1" fillId="23" borderId="51" xfId="0" applyFont="1" applyFill="1" applyBorder="1" applyAlignment="1">
      <alignment vertical="center"/>
    </xf>
    <xf numFmtId="0" fontId="0" fillId="23" borderId="2" xfId="0" applyFill="1" applyBorder="1" applyAlignment="1">
      <alignment horizontal="center" vertical="center"/>
    </xf>
    <xf numFmtId="0" fontId="1" fillId="23" borderId="27" xfId="0" applyFont="1" applyFill="1" applyBorder="1" applyAlignment="1">
      <alignment vertical="center"/>
    </xf>
    <xf numFmtId="0" fontId="0" fillId="23" borderId="22" xfId="0" applyFill="1" applyBorder="1" applyAlignment="1">
      <alignment horizontal="center" vertical="center"/>
    </xf>
    <xf numFmtId="2" fontId="0" fillId="23" borderId="32" xfId="1" applyNumberFormat="1" applyFont="1" applyFill="1" applyBorder="1" applyAlignment="1">
      <alignment horizontal="center" vertical="center"/>
    </xf>
    <xf numFmtId="0" fontId="0" fillId="23" borderId="30" xfId="0" applyFill="1" applyBorder="1" applyAlignment="1">
      <alignment horizontal="left" vertical="center"/>
    </xf>
    <xf numFmtId="0" fontId="0" fillId="23" borderId="34" xfId="0" applyFill="1" applyBorder="1" applyAlignment="1">
      <alignment horizontal="center" vertical="center" wrapText="1"/>
    </xf>
    <xf numFmtId="1" fontId="0" fillId="23" borderId="34" xfId="1" applyNumberFormat="1" applyFont="1" applyFill="1" applyBorder="1" applyAlignment="1">
      <alignment horizontal="center" vertical="center" wrapText="1"/>
    </xf>
    <xf numFmtId="0" fontId="0" fillId="23" borderId="30" xfId="0" applyFill="1" applyBorder="1" applyAlignment="1">
      <alignment vertical="center"/>
    </xf>
    <xf numFmtId="0" fontId="1" fillId="23" borderId="30" xfId="0" applyFont="1" applyFill="1" applyBorder="1" applyAlignment="1">
      <alignment horizontal="left" vertical="center"/>
    </xf>
    <xf numFmtId="9" fontId="1" fillId="23" borderId="34" xfId="1" applyFont="1" applyFill="1" applyBorder="1" applyAlignment="1">
      <alignment horizontal="center" vertical="center"/>
    </xf>
    <xf numFmtId="14" fontId="22" fillId="23" borderId="1" xfId="0" applyNumberFormat="1" applyFont="1" applyFill="1" applyBorder="1" applyAlignment="1">
      <alignment horizontal="center" vertical="center" wrapText="1"/>
    </xf>
    <xf numFmtId="0" fontId="0" fillId="23" borderId="38" xfId="0" applyFill="1" applyBorder="1" applyAlignment="1">
      <alignment horizontal="left" vertical="center"/>
    </xf>
    <xf numFmtId="0" fontId="0" fillId="23" borderId="39" xfId="0" applyFill="1" applyBorder="1" applyAlignment="1">
      <alignment horizontal="center" vertical="center"/>
    </xf>
    <xf numFmtId="0" fontId="0" fillId="23" borderId="1" xfId="0" applyFill="1" applyBorder="1" applyAlignment="1">
      <alignment vertical="center"/>
    </xf>
    <xf numFmtId="0" fontId="1" fillId="23" borderId="51" xfId="0" applyFont="1" applyFill="1" applyBorder="1" applyAlignment="1">
      <alignment vertical="center" wrapText="1"/>
    </xf>
    <xf numFmtId="0" fontId="0" fillId="23" borderId="2" xfId="0" applyFill="1" applyBorder="1" applyAlignment="1">
      <alignment vertical="center"/>
    </xf>
    <xf numFmtId="10" fontId="0" fillId="13" borderId="30" xfId="1" applyNumberFormat="1" applyFont="1" applyFill="1" applyBorder="1" applyAlignment="1">
      <alignment horizontal="center" vertical="center"/>
    </xf>
    <xf numFmtId="164" fontId="0" fillId="13" borderId="30" xfId="1" applyNumberFormat="1" applyFont="1" applyFill="1" applyBorder="1" applyAlignment="1">
      <alignment horizontal="center" vertical="center"/>
    </xf>
    <xf numFmtId="0" fontId="0" fillId="5" borderId="29" xfId="0" applyFill="1" applyBorder="1" applyAlignment="1">
      <alignment horizontal="left" vertical="center" wrapText="1"/>
    </xf>
    <xf numFmtId="0" fontId="0" fillId="3" borderId="24" xfId="0" applyFill="1" applyBorder="1" applyAlignment="1">
      <alignment horizontal="lef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29" xfId="0" applyFill="1" applyBorder="1" applyAlignment="1">
      <alignment horizontal="center" vertical="center" wrapText="1"/>
    </xf>
    <xf numFmtId="0" fontId="0" fillId="3" borderId="1" xfId="0" applyFill="1" applyBorder="1" applyAlignment="1">
      <alignment horizontal="center" vertical="center"/>
    </xf>
    <xf numFmtId="1" fontId="0" fillId="3" borderId="1" xfId="1" applyNumberFormat="1" applyFont="1" applyFill="1" applyBorder="1" applyAlignment="1">
      <alignment horizontal="center" vertical="center" wrapText="1"/>
    </xf>
    <xf numFmtId="1" fontId="0" fillId="3" borderId="29" xfId="1" applyNumberFormat="1" applyFont="1" applyFill="1" applyBorder="1" applyAlignment="1">
      <alignment horizontal="center" vertical="center" wrapText="1"/>
    </xf>
    <xf numFmtId="0" fontId="0" fillId="3" borderId="24" xfId="0" applyFill="1" applyBorder="1" applyAlignment="1">
      <alignment vertical="center"/>
    </xf>
    <xf numFmtId="0" fontId="1" fillId="3" borderId="24"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9" fontId="1" fillId="3" borderId="29" xfId="1" applyFont="1" applyFill="1" applyBorder="1" applyAlignment="1">
      <alignment horizontal="center" vertical="center"/>
    </xf>
    <xf numFmtId="14" fontId="21" fillId="3" borderId="1" xfId="0" applyNumberFormat="1" applyFont="1" applyFill="1" applyBorder="1" applyAlignment="1">
      <alignment horizontal="center" vertical="center" wrapText="1"/>
    </xf>
    <xf numFmtId="0" fontId="0" fillId="3" borderId="29" xfId="0" applyFill="1" applyBorder="1" applyAlignment="1">
      <alignment horizontal="center" vertical="center"/>
    </xf>
    <xf numFmtId="14" fontId="22" fillId="3" borderId="1" xfId="0" applyNumberFormat="1" applyFont="1" applyFill="1" applyBorder="1" applyAlignment="1">
      <alignment horizontal="center" vertical="center" wrapText="1"/>
    </xf>
    <xf numFmtId="0" fontId="0" fillId="3" borderId="1" xfId="0" applyFill="1" applyBorder="1" applyAlignment="1">
      <alignment vertical="center" wrapText="1"/>
    </xf>
    <xf numFmtId="0" fontId="0" fillId="3" borderId="40" xfId="0" applyFill="1" applyBorder="1" applyAlignment="1">
      <alignment horizontal="left" vertical="center"/>
    </xf>
    <xf numFmtId="0" fontId="0" fillId="3" borderId="25" xfId="0" applyFill="1" applyBorder="1" applyAlignment="1">
      <alignment horizontal="center" vertical="center" wrapText="1"/>
    </xf>
    <xf numFmtId="0" fontId="0" fillId="3" borderId="25" xfId="0" applyFill="1" applyBorder="1" applyAlignment="1">
      <alignment vertical="center" wrapText="1"/>
    </xf>
    <xf numFmtId="0" fontId="0" fillId="3" borderId="36" xfId="0" applyFill="1" applyBorder="1" applyAlignment="1">
      <alignment horizontal="center" vertical="center"/>
    </xf>
    <xf numFmtId="0" fontId="1" fillId="3" borderId="24" xfId="0" applyFont="1" applyFill="1" applyBorder="1"/>
    <xf numFmtId="0" fontId="0" fillId="3" borderId="1" xfId="0" applyFill="1" applyBorder="1"/>
    <xf numFmtId="2" fontId="0" fillId="3" borderId="34" xfId="1" applyNumberFormat="1" applyFont="1" applyFill="1" applyBorder="1" applyAlignment="1">
      <alignment horizontal="center" vertical="center"/>
    </xf>
    <xf numFmtId="0" fontId="1" fillId="3" borderId="40" xfId="0" applyFont="1" applyFill="1" applyBorder="1" applyAlignment="1">
      <alignment vertical="center" wrapText="1"/>
    </xf>
    <xf numFmtId="0" fontId="1" fillId="0" borderId="3" xfId="0" applyFont="1" applyBorder="1" applyAlignment="1">
      <alignment horizontal="left" vertical="center" wrapText="1"/>
    </xf>
    <xf numFmtId="0" fontId="1" fillId="3" borderId="24" xfId="0" applyFont="1" applyFill="1" applyBorder="1" applyAlignment="1">
      <alignment vertical="center"/>
    </xf>
    <xf numFmtId="0" fontId="0" fillId="3" borderId="51" xfId="0" applyFill="1" applyBorder="1" applyAlignment="1">
      <alignment horizontal="left" vertical="center"/>
    </xf>
    <xf numFmtId="0" fontId="0" fillId="3" borderId="22" xfId="0" applyFill="1" applyBorder="1"/>
    <xf numFmtId="2" fontId="0" fillId="3" borderId="32" xfId="1" applyNumberFormat="1" applyFont="1" applyFill="1" applyBorder="1" applyAlignment="1">
      <alignment horizontal="center" vertical="center"/>
    </xf>
    <xf numFmtId="0" fontId="0" fillId="3" borderId="1" xfId="0" applyFill="1" applyBorder="1" applyAlignment="1">
      <alignment vertical="center"/>
    </xf>
    <xf numFmtId="0" fontId="1" fillId="3" borderId="27" xfId="0" applyFont="1" applyFill="1" applyBorder="1"/>
    <xf numFmtId="164" fontId="0" fillId="7" borderId="40" xfId="1" applyNumberFormat="1" applyFont="1" applyFill="1" applyBorder="1" applyAlignment="1">
      <alignment horizontal="center" vertical="center"/>
    </xf>
    <xf numFmtId="0" fontId="0" fillId="3" borderId="34" xfId="0" applyFill="1" applyBorder="1" applyAlignment="1">
      <alignment horizontal="center" vertical="center" wrapText="1"/>
    </xf>
    <xf numFmtId="0" fontId="0" fillId="3" borderId="1" xfId="0" applyFill="1" applyBorder="1" applyAlignment="1">
      <alignment horizontal="left" vertical="center" wrapText="1"/>
    </xf>
    <xf numFmtId="0" fontId="0" fillId="3" borderId="34" xfId="0" applyFill="1" applyBorder="1" applyAlignment="1">
      <alignment horizontal="left" vertical="center" wrapText="1"/>
    </xf>
    <xf numFmtId="0" fontId="0" fillId="3" borderId="25" xfId="0" applyFill="1" applyBorder="1" applyAlignment="1">
      <alignment horizontal="left" vertical="center"/>
    </xf>
    <xf numFmtId="0" fontId="0" fillId="3" borderId="39" xfId="0" applyFill="1" applyBorder="1" applyAlignment="1">
      <alignment horizontal="left" vertical="center"/>
    </xf>
    <xf numFmtId="0" fontId="0" fillId="3" borderId="13" xfId="0" applyFill="1" applyBorder="1" applyAlignment="1">
      <alignment horizontal="center" vertical="center"/>
    </xf>
    <xf numFmtId="0" fontId="1" fillId="3" borderId="22" xfId="0" applyFont="1" applyFill="1" applyBorder="1" applyAlignment="1">
      <alignment horizontal="center" vertical="center" wrapText="1"/>
    </xf>
    <xf numFmtId="10" fontId="0" fillId="0" borderId="18" xfId="1" applyNumberFormat="1" applyFont="1" applyFill="1" applyBorder="1" applyAlignment="1">
      <alignment horizontal="center" vertical="center"/>
    </xf>
    <xf numFmtId="0" fontId="20" fillId="11" borderId="1" xfId="0" applyFont="1" applyFill="1" applyBorder="1" applyAlignment="1">
      <alignment horizontal="center" wrapText="1"/>
    </xf>
    <xf numFmtId="10" fontId="1" fillId="11" borderId="39" xfId="1" applyNumberFormat="1" applyFont="1" applyFill="1" applyBorder="1" applyAlignment="1">
      <alignment horizontal="center"/>
    </xf>
    <xf numFmtId="0" fontId="1" fillId="0" borderId="29" xfId="0" applyFont="1" applyBorder="1" applyAlignment="1">
      <alignment horizontal="left" vertical="center" wrapText="1"/>
    </xf>
    <xf numFmtId="9" fontId="0" fillId="0" borderId="40" xfId="1" quotePrefix="1" applyFont="1" applyBorder="1" applyAlignment="1">
      <alignment horizontal="center" vertical="center"/>
    </xf>
    <xf numFmtId="164" fontId="0" fillId="7" borderId="38" xfId="1" applyNumberFormat="1" applyFont="1" applyFill="1" applyBorder="1" applyAlignment="1">
      <alignment horizontal="center" vertical="center"/>
    </xf>
    <xf numFmtId="0" fontId="0" fillId="5" borderId="29" xfId="0" applyFill="1" applyBorder="1" applyAlignment="1">
      <alignment vertical="center" wrapText="1"/>
    </xf>
    <xf numFmtId="0" fontId="0" fillId="5" borderId="36" xfId="0" applyFill="1" applyBorder="1" applyAlignment="1">
      <alignment vertical="center" wrapText="1"/>
    </xf>
    <xf numFmtId="10" fontId="0" fillId="0" borderId="24" xfId="1" applyNumberFormat="1" applyFont="1" applyBorder="1" applyAlignment="1">
      <alignment horizontal="center" vertical="center"/>
    </xf>
    <xf numFmtId="9" fontId="1" fillId="0" borderId="22" xfId="1" applyFont="1" applyBorder="1" applyAlignment="1">
      <alignment horizontal="center" vertical="center" wrapText="1"/>
    </xf>
    <xf numFmtId="9" fontId="1" fillId="0" borderId="32" xfId="1" applyFont="1" applyBorder="1" applyAlignment="1">
      <alignment horizontal="center" vertical="center" wrapText="1"/>
    </xf>
    <xf numFmtId="9" fontId="0" fillId="7" borderId="46" xfId="1" applyFont="1" applyFill="1" applyBorder="1" applyAlignment="1">
      <alignment horizontal="center" vertical="center"/>
    </xf>
    <xf numFmtId="0" fontId="0" fillId="3" borderId="27" xfId="0" applyFill="1" applyBorder="1" applyAlignment="1">
      <alignment horizontal="left" vertical="center" wrapText="1"/>
    </xf>
    <xf numFmtId="0" fontId="0" fillId="3" borderId="22" xfId="0" applyFill="1" applyBorder="1" applyAlignment="1">
      <alignment horizontal="center" vertical="center"/>
    </xf>
    <xf numFmtId="0" fontId="0" fillId="3" borderId="22" xfId="0" applyFill="1" applyBorder="1" applyAlignment="1">
      <alignment horizontal="left" vertical="center" wrapText="1"/>
    </xf>
    <xf numFmtId="0" fontId="0" fillId="3" borderId="28" xfId="0" applyFill="1" applyBorder="1" applyAlignment="1">
      <alignment horizontal="center" vertical="center"/>
    </xf>
    <xf numFmtId="0" fontId="0" fillId="3" borderId="24" xfId="0" applyFill="1" applyBorder="1" applyAlignment="1">
      <alignment horizontal="left" vertical="center" wrapText="1"/>
    </xf>
    <xf numFmtId="44" fontId="0" fillId="3" borderId="1" xfId="2" applyFont="1" applyFill="1" applyBorder="1" applyAlignment="1">
      <alignment horizontal="left" vertical="center"/>
    </xf>
    <xf numFmtId="1" fontId="0" fillId="3" borderId="1" xfId="0" applyNumberFormat="1" applyFill="1" applyBorder="1" applyAlignment="1">
      <alignment horizontal="left" vertical="center" wrapText="1"/>
    </xf>
    <xf numFmtId="1" fontId="0" fillId="3" borderId="1" xfId="1" applyNumberFormat="1" applyFont="1" applyFill="1" applyBorder="1" applyAlignment="1">
      <alignment horizontal="left" vertical="center" wrapText="1"/>
    </xf>
    <xf numFmtId="0" fontId="0" fillId="3" borderId="31" xfId="0" applyFill="1" applyBorder="1" applyAlignment="1">
      <alignment horizontal="left" vertical="center"/>
    </xf>
    <xf numFmtId="1" fontId="0" fillId="3" borderId="4" xfId="1" applyNumberFormat="1" applyFont="1" applyFill="1" applyBorder="1" applyAlignment="1">
      <alignment horizontal="center" vertical="center" wrapText="1"/>
    </xf>
    <xf numFmtId="164" fontId="0" fillId="3" borderId="4" xfId="1"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xf>
    <xf numFmtId="1" fontId="0" fillId="3" borderId="2" xfId="1" applyNumberFormat="1" applyFont="1" applyFill="1" applyBorder="1" applyAlignment="1">
      <alignment horizontal="center" vertical="center" wrapText="1"/>
    </xf>
    <xf numFmtId="164" fontId="0" fillId="3" borderId="2" xfId="1" applyNumberFormat="1" applyFont="1" applyFill="1" applyBorder="1" applyAlignment="1">
      <alignment horizontal="center" vertical="center" wrapText="1"/>
    </xf>
    <xf numFmtId="0" fontId="1" fillId="3" borderId="27"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32" xfId="0" applyFont="1" applyFill="1" applyBorder="1" applyAlignment="1">
      <alignment horizontal="center" vertical="center"/>
    </xf>
    <xf numFmtId="0" fontId="16" fillId="3" borderId="31" xfId="0" applyFont="1" applyFill="1" applyBorder="1" applyAlignment="1">
      <alignment horizontal="left" vertical="center"/>
    </xf>
    <xf numFmtId="0" fontId="16" fillId="3" borderId="4" xfId="0" applyFont="1" applyFill="1" applyBorder="1" applyAlignment="1">
      <alignment horizontal="left" vertical="center" wrapText="1"/>
    </xf>
    <xf numFmtId="0" fontId="16" fillId="3" borderId="4" xfId="0" applyFont="1" applyFill="1" applyBorder="1" applyAlignment="1">
      <alignment horizontal="center" vertical="center"/>
    </xf>
    <xf numFmtId="0" fontId="16" fillId="3" borderId="24" xfId="0" applyFont="1" applyFill="1" applyBorder="1" applyAlignment="1">
      <alignment horizontal="left" vertical="center"/>
    </xf>
    <xf numFmtId="0" fontId="16" fillId="3" borderId="1" xfId="0" applyFont="1" applyFill="1" applyBorder="1" applyAlignment="1">
      <alignment horizontal="left" vertical="center"/>
    </xf>
    <xf numFmtId="0" fontId="16" fillId="3" borderId="1" xfId="0" applyFont="1" applyFill="1" applyBorder="1" applyAlignment="1">
      <alignment horizontal="center" vertical="center"/>
    </xf>
    <xf numFmtId="0" fontId="16" fillId="3" borderId="51" xfId="0" applyFont="1" applyFill="1" applyBorder="1" applyAlignment="1">
      <alignment horizontal="left" vertical="center"/>
    </xf>
    <xf numFmtId="0" fontId="16" fillId="3" borderId="2" xfId="0" applyFont="1" applyFill="1" applyBorder="1" applyAlignment="1">
      <alignment horizontal="left" vertical="center"/>
    </xf>
    <xf numFmtId="2" fontId="16" fillId="3" borderId="2" xfId="0" applyNumberFormat="1" applyFont="1" applyFill="1" applyBorder="1" applyAlignment="1">
      <alignment horizontal="center" vertical="center"/>
    </xf>
    <xf numFmtId="0" fontId="1" fillId="3" borderId="27" xfId="0" applyFont="1" applyFill="1" applyBorder="1" applyAlignment="1">
      <alignment horizontal="left" vertical="center"/>
    </xf>
    <xf numFmtId="166" fontId="0" fillId="3" borderId="25" xfId="0" applyNumberFormat="1" applyFill="1" applyBorder="1" applyAlignment="1">
      <alignment horizontal="center" vertical="center"/>
    </xf>
    <xf numFmtId="0" fontId="0" fillId="3" borderId="25" xfId="0" applyFill="1" applyBorder="1" applyAlignment="1">
      <alignment horizontal="center" vertical="center"/>
    </xf>
    <xf numFmtId="0" fontId="1" fillId="3" borderId="1" xfId="0" applyFont="1" applyFill="1" applyBorder="1" applyAlignment="1">
      <alignment horizontal="left" vertical="center" wrapText="1"/>
    </xf>
    <xf numFmtId="0" fontId="1" fillId="3" borderId="31" xfId="0" applyFont="1" applyFill="1" applyBorder="1" applyAlignment="1">
      <alignment horizontal="left" vertical="center"/>
    </xf>
    <xf numFmtId="0" fontId="1" fillId="3" borderId="4" xfId="0" applyFont="1" applyFill="1" applyBorder="1" applyAlignment="1">
      <alignment horizontal="left" vertical="center"/>
    </xf>
    <xf numFmtId="14" fontId="10" fillId="3" borderId="1" xfId="0" applyNumberFormat="1" applyFont="1" applyFill="1" applyBorder="1" applyAlignment="1">
      <alignment horizontal="center" wrapText="1"/>
    </xf>
    <xf numFmtId="14" fontId="10" fillId="3" borderId="1" xfId="0" applyNumberFormat="1" applyFont="1" applyFill="1" applyBorder="1" applyAlignment="1">
      <alignment horizontal="right" wrapText="1"/>
    </xf>
    <xf numFmtId="14" fontId="0" fillId="3" borderId="25" xfId="0" applyNumberFormat="1" applyFill="1" applyBorder="1" applyAlignment="1">
      <alignment wrapText="1"/>
    </xf>
    <xf numFmtId="0" fontId="0" fillId="3" borderId="2" xfId="0" applyFill="1" applyBorder="1" applyAlignment="1">
      <alignment horizontal="left" vertical="center"/>
    </xf>
    <xf numFmtId="0" fontId="0" fillId="3" borderId="27" xfId="0" applyFill="1" applyBorder="1" applyAlignment="1">
      <alignment horizontal="left" vertical="center"/>
    </xf>
    <xf numFmtId="0" fontId="0" fillId="3" borderId="32" xfId="0" applyFill="1" applyBorder="1" applyAlignment="1">
      <alignment horizontal="center" vertical="center"/>
    </xf>
    <xf numFmtId="0" fontId="0" fillId="3" borderId="34" xfId="0" applyFill="1" applyBorder="1" applyAlignment="1">
      <alignment horizontal="left" vertical="center"/>
    </xf>
    <xf numFmtId="9" fontId="0" fillId="3" borderId="34" xfId="1" applyFont="1" applyFill="1" applyBorder="1" applyAlignment="1">
      <alignment horizontal="left" vertical="center"/>
    </xf>
    <xf numFmtId="10" fontId="0" fillId="3" borderId="34" xfId="0" applyNumberFormat="1" applyFill="1" applyBorder="1" applyAlignment="1">
      <alignment horizontal="left" vertical="center" wrapText="1"/>
    </xf>
    <xf numFmtId="1" fontId="0" fillId="3" borderId="34" xfId="1" applyNumberFormat="1" applyFont="1" applyFill="1" applyBorder="1" applyAlignment="1">
      <alignment horizontal="left" vertical="center" wrapText="1"/>
    </xf>
    <xf numFmtId="1" fontId="0" fillId="3" borderId="39" xfId="1" applyNumberFormat="1" applyFont="1" applyFill="1" applyBorder="1" applyAlignment="1">
      <alignment horizontal="left" vertical="center" wrapText="1"/>
    </xf>
    <xf numFmtId="0" fontId="16" fillId="3" borderId="42" xfId="0" applyFont="1" applyFill="1" applyBorder="1" applyAlignment="1">
      <alignment horizontal="left" vertical="center"/>
    </xf>
    <xf numFmtId="0" fontId="16" fillId="3" borderId="34" xfId="0" applyFont="1" applyFill="1" applyBorder="1" applyAlignment="1">
      <alignment horizontal="left" vertical="center"/>
    </xf>
    <xf numFmtId="0" fontId="16" fillId="3" borderId="52" xfId="0" applyFont="1" applyFill="1" applyBorder="1" applyAlignment="1">
      <alignment horizontal="left" vertical="center"/>
    </xf>
    <xf numFmtId="9" fontId="0" fillId="3" borderId="34" xfId="1" applyFont="1" applyFill="1" applyBorder="1" applyAlignment="1">
      <alignment horizontal="center" vertical="center"/>
    </xf>
    <xf numFmtId="9" fontId="0" fillId="3" borderId="39" xfId="1" applyFont="1" applyFill="1" applyBorder="1" applyAlignment="1">
      <alignment horizontal="center" vertical="center"/>
    </xf>
    <xf numFmtId="0" fontId="1" fillId="3" borderId="34" xfId="0" applyFont="1" applyFill="1" applyBorder="1" applyAlignment="1">
      <alignment horizontal="left" vertical="center"/>
    </xf>
    <xf numFmtId="10" fontId="0" fillId="3" borderId="34" xfId="1" applyNumberFormat="1" applyFont="1" applyFill="1" applyBorder="1" applyAlignment="1">
      <alignment horizontal="left" vertical="center"/>
    </xf>
    <xf numFmtId="10" fontId="0" fillId="3" borderId="39" xfId="1" applyNumberFormat="1" applyFont="1" applyFill="1" applyBorder="1" applyAlignment="1">
      <alignment horizontal="left" vertical="center"/>
    </xf>
    <xf numFmtId="0" fontId="0" fillId="3" borderId="34" xfId="0" applyFill="1" applyBorder="1" applyAlignment="1">
      <alignment horizontal="center" vertical="center"/>
    </xf>
    <xf numFmtId="0" fontId="1" fillId="3" borderId="42" xfId="0" applyFont="1" applyFill="1" applyBorder="1" applyAlignment="1">
      <alignment horizontal="left" vertical="center"/>
    </xf>
    <xf numFmtId="9" fontId="0" fillId="3" borderId="52" xfId="1" applyFont="1" applyFill="1" applyBorder="1" applyAlignment="1">
      <alignment horizontal="left" vertical="center"/>
    </xf>
    <xf numFmtId="167" fontId="22" fillId="24" borderId="73" xfId="3" applyNumberFormat="1" applyFont="1" applyFill="1" applyBorder="1" applyAlignment="1">
      <alignment horizontal="center"/>
    </xf>
    <xf numFmtId="167" fontId="22" fillId="25" borderId="73" xfId="3" applyNumberFormat="1" applyFont="1" applyFill="1" applyBorder="1" applyAlignment="1">
      <alignment horizontal="center"/>
    </xf>
    <xf numFmtId="168" fontId="22" fillId="25" borderId="73" xfId="3" applyNumberFormat="1" applyFont="1" applyFill="1" applyBorder="1" applyAlignment="1">
      <alignment horizontal="center"/>
    </xf>
    <xf numFmtId="169" fontId="22" fillId="24" borderId="73" xfId="3" applyNumberFormat="1" applyFont="1" applyFill="1" applyBorder="1" applyAlignment="1">
      <alignment horizontal="center"/>
    </xf>
    <xf numFmtId="169" fontId="22" fillId="25" borderId="73" xfId="3" applyNumberFormat="1" applyFont="1" applyFill="1" applyBorder="1" applyAlignment="1">
      <alignment horizontal="center"/>
    </xf>
    <xf numFmtId="0" fontId="25" fillId="24" borderId="74" xfId="3" applyFont="1" applyFill="1" applyBorder="1" applyAlignment="1">
      <alignment horizontal="center"/>
    </xf>
    <xf numFmtId="0" fontId="25" fillId="25" borderId="74" xfId="3" applyFont="1" applyFill="1" applyBorder="1" applyAlignment="1">
      <alignment horizontal="center"/>
    </xf>
    <xf numFmtId="9" fontId="1" fillId="3" borderId="32" xfId="1" applyFont="1" applyFill="1" applyBorder="1" applyAlignment="1">
      <alignment horizontal="center" vertical="center"/>
    </xf>
    <xf numFmtId="14" fontId="10" fillId="3" borderId="1" xfId="0" applyNumberFormat="1"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2" xfId="0" applyFill="1" applyBorder="1" applyAlignment="1">
      <alignment vertical="center" wrapText="1"/>
    </xf>
    <xf numFmtId="44" fontId="0" fillId="3" borderId="34" xfId="2" applyFont="1" applyFill="1" applyBorder="1" applyAlignment="1">
      <alignment horizontal="left" vertical="center"/>
    </xf>
    <xf numFmtId="0" fontId="0" fillId="11" borderId="30" xfId="0" applyFill="1" applyBorder="1" applyAlignment="1">
      <alignment horizontal="left" vertical="center"/>
    </xf>
    <xf numFmtId="0" fontId="0" fillId="11" borderId="30" xfId="0" applyFill="1" applyBorder="1" applyAlignment="1">
      <alignment vertical="center"/>
    </xf>
    <xf numFmtId="0" fontId="1" fillId="11" borderId="30" xfId="0" applyFont="1" applyFill="1" applyBorder="1" applyAlignment="1">
      <alignment horizontal="left" vertical="center"/>
    </xf>
    <xf numFmtId="14" fontId="22" fillId="11" borderId="1" xfId="0" applyNumberFormat="1" applyFont="1" applyFill="1" applyBorder="1" applyAlignment="1">
      <alignment horizontal="center" vertical="center" wrapText="1"/>
    </xf>
    <xf numFmtId="0" fontId="0" fillId="11" borderId="38" xfId="0" applyFill="1" applyBorder="1" applyAlignment="1">
      <alignment horizontal="left" vertical="center"/>
    </xf>
    <xf numFmtId="0" fontId="0" fillId="11" borderId="39" xfId="0" applyFill="1" applyBorder="1" applyAlignment="1">
      <alignment horizontal="center" vertical="center"/>
    </xf>
    <xf numFmtId="0" fontId="25" fillId="26" borderId="74" xfId="3" applyFont="1" applyFill="1" applyBorder="1" applyAlignment="1">
      <alignment horizontal="center"/>
    </xf>
    <xf numFmtId="167" fontId="22" fillId="26" borderId="73" xfId="3" applyNumberFormat="1" applyFont="1" applyFill="1" applyBorder="1" applyAlignment="1">
      <alignment horizontal="center"/>
    </xf>
    <xf numFmtId="0" fontId="25" fillId="27" borderId="74" xfId="3" applyFont="1" applyFill="1" applyBorder="1" applyAlignment="1">
      <alignment horizontal="center"/>
    </xf>
    <xf numFmtId="167" fontId="22" fillId="27" borderId="73" xfId="3" applyNumberFormat="1" applyFont="1" applyFill="1" applyBorder="1" applyAlignment="1">
      <alignment horizontal="center"/>
    </xf>
    <xf numFmtId="168" fontId="22" fillId="27" borderId="73" xfId="3" applyNumberFormat="1" applyFont="1" applyFill="1" applyBorder="1" applyAlignment="1">
      <alignment horizontal="center"/>
    </xf>
    <xf numFmtId="0" fontId="25" fillId="28" borderId="74" xfId="3" applyFont="1" applyFill="1" applyBorder="1" applyAlignment="1">
      <alignment horizontal="center"/>
    </xf>
    <xf numFmtId="167" fontId="22" fillId="28" borderId="73" xfId="3" applyNumberFormat="1" applyFont="1" applyFill="1" applyBorder="1" applyAlignment="1">
      <alignment horizontal="center"/>
    </xf>
    <xf numFmtId="0" fontId="25" fillId="29" borderId="74" xfId="3" applyFont="1" applyFill="1" applyBorder="1" applyAlignment="1">
      <alignment horizontal="center"/>
    </xf>
    <xf numFmtId="167" fontId="22" fillId="29" borderId="73" xfId="3" applyNumberFormat="1" applyFont="1" applyFill="1" applyBorder="1" applyAlignment="1">
      <alignment horizontal="center"/>
    </xf>
    <xf numFmtId="169" fontId="22" fillId="29" borderId="73" xfId="3" applyNumberFormat="1" applyFont="1" applyFill="1" applyBorder="1" applyAlignment="1">
      <alignment horizontal="center"/>
    </xf>
    <xf numFmtId="169" fontId="22" fillId="28" borderId="73" xfId="3" applyNumberFormat="1" applyFont="1" applyFill="1" applyBorder="1" applyAlignment="1">
      <alignment horizontal="center"/>
    </xf>
    <xf numFmtId="0" fontId="0" fillId="0" borderId="29" xfId="0" applyBorder="1" applyAlignment="1">
      <alignment horizontal="left" vertical="top" wrapText="1"/>
    </xf>
    <xf numFmtId="10" fontId="0" fillId="8" borderId="30" xfId="1" applyNumberFormat="1" applyFont="1" applyFill="1" applyBorder="1" applyAlignment="1">
      <alignment vertical="center"/>
    </xf>
    <xf numFmtId="10" fontId="0" fillId="7" borderId="30" xfId="1" applyNumberFormat="1" applyFont="1" applyFill="1" applyBorder="1" applyAlignment="1">
      <alignment vertical="center"/>
    </xf>
    <xf numFmtId="1" fontId="0" fillId="3" borderId="25" xfId="1" applyNumberFormat="1" applyFont="1" applyFill="1" applyBorder="1" applyAlignment="1">
      <alignment horizontal="left" vertical="center" wrapText="1"/>
    </xf>
    <xf numFmtId="9" fontId="0" fillId="7" borderId="18"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0" borderId="29" xfId="0" applyBorder="1" applyAlignment="1">
      <alignment vertical="top" wrapText="1"/>
    </xf>
    <xf numFmtId="0" fontId="0" fillId="0" borderId="36" xfId="0" applyBorder="1" applyAlignment="1">
      <alignment vertical="top" wrapText="1"/>
    </xf>
    <xf numFmtId="0" fontId="0" fillId="5" borderId="29" xfId="0" applyFill="1" applyBorder="1" applyAlignment="1">
      <alignment vertical="top" wrapText="1"/>
    </xf>
    <xf numFmtId="0" fontId="0" fillId="19" borderId="31" xfId="0" applyFill="1" applyBorder="1" applyAlignment="1">
      <alignment horizontal="center" vertical="center"/>
    </xf>
    <xf numFmtId="0" fontId="0" fillId="0" borderId="17" xfId="0" applyBorder="1" applyAlignment="1">
      <alignment vertical="center"/>
    </xf>
    <xf numFmtId="0" fontId="1" fillId="0" borderId="27" xfId="0" applyFont="1" applyBorder="1" applyAlignment="1">
      <alignment horizontal="left" vertical="center" wrapText="1"/>
    </xf>
    <xf numFmtId="9" fontId="0" fillId="0" borderId="22" xfId="1" applyFont="1" applyBorder="1" applyAlignment="1">
      <alignment horizontal="center" vertical="center"/>
    </xf>
    <xf numFmtId="0" fontId="1" fillId="0" borderId="40" xfId="0" applyFont="1" applyBorder="1" applyAlignment="1">
      <alignment horizontal="left" vertical="center" wrapText="1"/>
    </xf>
    <xf numFmtId="164" fontId="0" fillId="8" borderId="14" xfId="1" applyNumberFormat="1" applyFont="1" applyFill="1" applyBorder="1" applyAlignment="1">
      <alignment horizontal="center" vertical="center"/>
    </xf>
    <xf numFmtId="164" fontId="0" fillId="22" borderId="46" xfId="1" applyNumberFormat="1" applyFont="1" applyFill="1" applyBorder="1" applyAlignment="1">
      <alignment horizontal="center" vertical="center"/>
    </xf>
    <xf numFmtId="0" fontId="0" fillId="0" borderId="13" xfId="0" applyBorder="1" applyAlignment="1">
      <alignment vertical="top" wrapText="1"/>
    </xf>
    <xf numFmtId="0" fontId="1" fillId="3" borderId="24" xfId="0" applyFont="1" applyFill="1" applyBorder="1" applyAlignment="1">
      <alignment horizontal="center" vertical="center"/>
    </xf>
    <xf numFmtId="0" fontId="1" fillId="3" borderId="34" xfId="0" applyFont="1" applyFill="1" applyBorder="1" applyAlignment="1">
      <alignment vertical="center"/>
    </xf>
    <xf numFmtId="164" fontId="2" fillId="3" borderId="1" xfId="1" applyNumberFormat="1" applyFont="1" applyFill="1" applyBorder="1" applyAlignment="1">
      <alignment horizontal="center" vertical="center"/>
    </xf>
    <xf numFmtId="0" fontId="1" fillId="3" borderId="34" xfId="0" applyFont="1" applyFill="1" applyBorder="1" applyAlignment="1">
      <alignment horizontal="center" vertical="center"/>
    </xf>
    <xf numFmtId="0" fontId="1" fillId="11" borderId="24" xfId="0" applyFont="1" applyFill="1" applyBorder="1" applyAlignment="1">
      <alignment horizontal="center" vertical="center"/>
    </xf>
    <xf numFmtId="0" fontId="1" fillId="11" borderId="34" xfId="0" applyFont="1" applyFill="1" applyBorder="1" applyAlignment="1">
      <alignment vertical="center"/>
    </xf>
    <xf numFmtId="164" fontId="2" fillId="11" borderId="1" xfId="1" applyNumberFormat="1" applyFont="1" applyFill="1" applyBorder="1" applyAlignment="1">
      <alignment horizontal="center" vertical="center"/>
    </xf>
    <xf numFmtId="0" fontId="1" fillId="9" borderId="34" xfId="0" applyFont="1" applyFill="1" applyBorder="1" applyAlignment="1">
      <alignment vertical="center"/>
    </xf>
    <xf numFmtId="164" fontId="0" fillId="9" borderId="1" xfId="1" applyNumberFormat="1" applyFont="1" applyFill="1" applyBorder="1" applyAlignment="1">
      <alignment horizontal="center" vertical="center"/>
    </xf>
    <xf numFmtId="164" fontId="2" fillId="9" borderId="1" xfId="1" applyNumberFormat="1" applyFont="1" applyFill="1" applyBorder="1" applyAlignment="1">
      <alignment horizontal="center" vertical="center"/>
    </xf>
    <xf numFmtId="9" fontId="2" fillId="3" borderId="34" xfId="1" applyFont="1" applyFill="1" applyBorder="1" applyAlignment="1">
      <alignment horizontal="center" vertical="center"/>
    </xf>
    <xf numFmtId="0" fontId="1" fillId="11" borderId="34" xfId="0" applyFont="1" applyFill="1" applyBorder="1" applyAlignment="1">
      <alignment horizontal="center" vertical="center"/>
    </xf>
    <xf numFmtId="2" fontId="0" fillId="8" borderId="31" xfId="0" applyNumberFormat="1" applyFill="1" applyBorder="1" applyAlignment="1">
      <alignment horizontal="center" vertical="center"/>
    </xf>
    <xf numFmtId="0" fontId="20" fillId="3" borderId="1" xfId="0" applyFont="1" applyFill="1" applyBorder="1" applyAlignment="1">
      <alignment horizontal="center" wrapText="1"/>
    </xf>
    <xf numFmtId="0" fontId="1" fillId="3" borderId="1" xfId="0" applyFont="1" applyFill="1" applyBorder="1" applyAlignment="1">
      <alignment horizontal="center"/>
    </xf>
    <xf numFmtId="0" fontId="1" fillId="3" borderId="34" xfId="0" applyFont="1" applyFill="1" applyBorder="1" applyAlignment="1">
      <alignment horizontal="center"/>
    </xf>
    <xf numFmtId="0" fontId="0" fillId="3" borderId="24" xfId="0" applyFill="1" applyBorder="1"/>
    <xf numFmtId="0" fontId="0" fillId="3" borderId="1" xfId="0" applyFill="1" applyBorder="1" applyAlignment="1">
      <alignment horizontal="center"/>
    </xf>
    <xf numFmtId="0" fontId="0" fillId="3" borderId="34" xfId="0" applyFill="1" applyBorder="1" applyAlignment="1">
      <alignment horizontal="center"/>
    </xf>
    <xf numFmtId="0" fontId="0" fillId="3" borderId="40" xfId="0" applyFill="1" applyBorder="1"/>
    <xf numFmtId="10" fontId="1" fillId="3" borderId="25" xfId="1" applyNumberFormat="1" applyFont="1" applyFill="1" applyBorder="1" applyAlignment="1">
      <alignment horizontal="center"/>
    </xf>
    <xf numFmtId="10" fontId="1" fillId="3" borderId="39" xfId="1" applyNumberFormat="1" applyFont="1" applyFill="1" applyBorder="1" applyAlignment="1">
      <alignment horizontal="center"/>
    </xf>
    <xf numFmtId="0" fontId="0" fillId="11" borderId="63" xfId="0" applyFill="1" applyBorder="1" applyAlignment="1">
      <alignment horizontal="left" vertical="center"/>
    </xf>
    <xf numFmtId="0" fontId="1" fillId="11" borderId="63" xfId="0" applyFont="1" applyFill="1" applyBorder="1" applyAlignment="1">
      <alignment horizontal="center" vertical="center"/>
    </xf>
    <xf numFmtId="1" fontId="0" fillId="11" borderId="1" xfId="0" applyNumberFormat="1" applyFill="1" applyBorder="1" applyAlignment="1">
      <alignment horizontal="center" vertical="center" wrapText="1"/>
    </xf>
    <xf numFmtId="0" fontId="25" fillId="27" borderId="1" xfId="3" applyFont="1" applyFill="1" applyBorder="1" applyAlignment="1">
      <alignment horizontal="center"/>
    </xf>
    <xf numFmtId="167" fontId="22" fillId="27" borderId="1" xfId="3" applyNumberFormat="1" applyFont="1" applyFill="1" applyBorder="1" applyAlignment="1">
      <alignment horizontal="center"/>
    </xf>
    <xf numFmtId="0" fontId="26" fillId="27" borderId="1" xfId="0" applyFont="1" applyFill="1" applyBorder="1" applyAlignment="1">
      <alignment horizontal="center"/>
    </xf>
    <xf numFmtId="167" fontId="22" fillId="27" borderId="1" xfId="0" applyNumberFormat="1" applyFont="1" applyFill="1" applyBorder="1" applyAlignment="1">
      <alignment horizontal="center"/>
    </xf>
    <xf numFmtId="0" fontId="26" fillId="26" borderId="1" xfId="0" applyFont="1" applyFill="1" applyBorder="1" applyAlignment="1">
      <alignment horizontal="center"/>
    </xf>
    <xf numFmtId="167" fontId="22" fillId="26" borderId="1" xfId="0" applyNumberFormat="1" applyFont="1" applyFill="1" applyBorder="1" applyAlignment="1">
      <alignment horizontal="center"/>
    </xf>
    <xf numFmtId="169" fontId="22" fillId="27" borderId="1" xfId="0" applyNumberFormat="1" applyFont="1" applyFill="1" applyBorder="1" applyAlignment="1">
      <alignment horizontal="center"/>
    </xf>
    <xf numFmtId="0" fontId="1" fillId="11" borderId="30" xfId="0" applyFont="1" applyFill="1" applyBorder="1" applyAlignment="1">
      <alignment horizontal="center" vertical="center"/>
    </xf>
    <xf numFmtId="0" fontId="1" fillId="11" borderId="65" xfId="0" applyFont="1" applyFill="1" applyBorder="1" applyAlignment="1">
      <alignment vertical="center"/>
    </xf>
    <xf numFmtId="9" fontId="1" fillId="11" borderId="63" xfId="1" applyFont="1" applyFill="1" applyBorder="1" applyAlignment="1">
      <alignment horizontal="center" vertical="center"/>
    </xf>
    <xf numFmtId="9" fontId="1" fillId="11" borderId="48" xfId="1" applyFont="1" applyFill="1" applyBorder="1" applyAlignment="1">
      <alignment horizontal="center" vertical="center"/>
    </xf>
    <xf numFmtId="0" fontId="25" fillId="28" borderId="8" xfId="3" applyFont="1" applyFill="1" applyBorder="1" applyAlignment="1">
      <alignment horizontal="center"/>
    </xf>
    <xf numFmtId="169" fontId="22" fillId="28" borderId="0" xfId="3" applyNumberFormat="1" applyFont="1" applyFill="1" applyAlignment="1">
      <alignment horizontal="center"/>
    </xf>
    <xf numFmtId="167" fontId="22" fillId="28" borderId="0" xfId="3" applyNumberFormat="1" applyFont="1" applyFill="1" applyAlignment="1">
      <alignment horizontal="center"/>
    </xf>
    <xf numFmtId="0" fontId="26" fillId="29" borderId="1" xfId="0" applyFont="1" applyFill="1" applyBorder="1" applyAlignment="1">
      <alignment horizontal="center"/>
    </xf>
    <xf numFmtId="169" fontId="22" fillId="29" borderId="1" xfId="0" applyNumberFormat="1" applyFont="1" applyFill="1" applyBorder="1" applyAlignment="1">
      <alignment horizontal="center"/>
    </xf>
    <xf numFmtId="167" fontId="22" fillId="29" borderId="1" xfId="0" applyNumberFormat="1" applyFont="1" applyFill="1" applyBorder="1" applyAlignment="1">
      <alignment horizontal="center"/>
    </xf>
    <xf numFmtId="0" fontId="26" fillId="28" borderId="1" xfId="0" applyFont="1" applyFill="1" applyBorder="1" applyAlignment="1">
      <alignment horizontal="center"/>
    </xf>
    <xf numFmtId="167" fontId="22" fillId="28" borderId="1" xfId="0" applyNumberFormat="1" applyFont="1" applyFill="1" applyBorder="1" applyAlignment="1">
      <alignment horizontal="center"/>
    </xf>
    <xf numFmtId="169" fontId="22" fillId="28" borderId="1" xfId="0" applyNumberFormat="1" applyFont="1" applyFill="1" applyBorder="1" applyAlignment="1">
      <alignment horizontal="center"/>
    </xf>
    <xf numFmtId="0" fontId="1" fillId="9" borderId="30" xfId="0" applyFont="1" applyFill="1" applyBorder="1" applyAlignment="1">
      <alignment horizontal="center" vertical="center"/>
    </xf>
    <xf numFmtId="0" fontId="0" fillId="9" borderId="30" xfId="0" applyFill="1" applyBorder="1" applyAlignment="1">
      <alignment horizontal="center" vertical="center"/>
    </xf>
    <xf numFmtId="0" fontId="0" fillId="19" borderId="1" xfId="0" applyFill="1" applyBorder="1" applyAlignment="1">
      <alignment horizontal="left" vertical="center"/>
    </xf>
    <xf numFmtId="0" fontId="0" fillId="19" borderId="1" xfId="0" applyFill="1" applyBorder="1" applyAlignment="1">
      <alignment vertical="center" wrapText="1"/>
    </xf>
    <xf numFmtId="9" fontId="0" fillId="19" borderId="1" xfId="0" applyNumberFormat="1" applyFill="1" applyBorder="1" applyAlignment="1">
      <alignment horizontal="left" vertical="center" wrapText="1"/>
    </xf>
    <xf numFmtId="0" fontId="0" fillId="19" borderId="1" xfId="0" applyFill="1" applyBorder="1" applyAlignment="1">
      <alignment horizontal="left" vertical="center" wrapText="1"/>
    </xf>
    <xf numFmtId="0" fontId="26" fillId="25" borderId="73" xfId="0" applyFont="1" applyFill="1" applyBorder="1" applyAlignment="1">
      <alignment horizontal="center"/>
    </xf>
    <xf numFmtId="169" fontId="22" fillId="25" borderId="73" xfId="0" applyNumberFormat="1" applyFont="1" applyFill="1" applyBorder="1" applyAlignment="1">
      <alignment horizontal="center"/>
    </xf>
    <xf numFmtId="0" fontId="26" fillId="24" borderId="73" xfId="0" applyFont="1" applyFill="1" applyBorder="1" applyAlignment="1">
      <alignment horizontal="center"/>
    </xf>
    <xf numFmtId="167" fontId="22" fillId="24" borderId="73" xfId="0" applyNumberFormat="1" applyFont="1" applyFill="1" applyBorder="1" applyAlignment="1">
      <alignment horizontal="center"/>
    </xf>
    <xf numFmtId="169" fontId="22" fillId="24" borderId="73" xfId="0" applyNumberFormat="1" applyFont="1" applyFill="1" applyBorder="1" applyAlignment="1">
      <alignment horizontal="center"/>
    </xf>
    <xf numFmtId="167" fontId="22" fillId="25" borderId="73" xfId="0" applyNumberFormat="1" applyFont="1" applyFill="1" applyBorder="1" applyAlignment="1">
      <alignment horizontal="center"/>
    </xf>
    <xf numFmtId="0" fontId="0" fillId="3" borderId="30" xfId="0" applyFill="1" applyBorder="1" applyAlignment="1">
      <alignment horizontal="left" vertical="center" wrapText="1"/>
    </xf>
    <xf numFmtId="0" fontId="0" fillId="3" borderId="30" xfId="0" applyFill="1" applyBorder="1" applyAlignment="1">
      <alignment horizontal="left" vertical="center"/>
    </xf>
    <xf numFmtId="0" fontId="0" fillId="3" borderId="30" xfId="0" applyFill="1" applyBorder="1" applyAlignment="1">
      <alignment vertical="center"/>
    </xf>
    <xf numFmtId="0" fontId="1" fillId="3" borderId="30" xfId="0" applyFont="1" applyFill="1" applyBorder="1" applyAlignment="1">
      <alignment horizontal="left" vertical="center"/>
    </xf>
    <xf numFmtId="0" fontId="0" fillId="3" borderId="14" xfId="0" applyFill="1" applyBorder="1" applyAlignment="1">
      <alignment horizontal="left" vertical="center"/>
    </xf>
    <xf numFmtId="0" fontId="0" fillId="3" borderId="46" xfId="0" applyFill="1" applyBorder="1" applyAlignment="1">
      <alignment horizontal="left" vertical="center"/>
    </xf>
    <xf numFmtId="0" fontId="0" fillId="3" borderId="38" xfId="0" applyFill="1" applyBorder="1" applyAlignment="1">
      <alignment horizontal="left" vertical="center"/>
    </xf>
    <xf numFmtId="0" fontId="0" fillId="3" borderId="49" xfId="0" applyFill="1" applyBorder="1" applyAlignment="1">
      <alignment horizontal="left" vertical="center"/>
    </xf>
    <xf numFmtId="0" fontId="1" fillId="3" borderId="30" xfId="0" applyFont="1" applyFill="1" applyBorder="1" applyAlignment="1">
      <alignment horizontal="center" vertical="center"/>
    </xf>
    <xf numFmtId="9" fontId="0" fillId="3" borderId="1" xfId="1" applyFon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10" fontId="0" fillId="9" borderId="34" xfId="1" applyNumberFormat="1" applyFont="1" applyFill="1" applyBorder="1" applyAlignment="1">
      <alignment horizontal="center" vertical="center" wrapText="1"/>
    </xf>
    <xf numFmtId="10" fontId="0" fillId="13" borderId="30" xfId="1" applyNumberFormat="1" applyFont="1" applyFill="1" applyBorder="1" applyAlignment="1">
      <alignment horizontal="center" vertical="center"/>
    </xf>
    <xf numFmtId="0" fontId="0" fillId="0" borderId="29" xfId="0" applyBorder="1" applyAlignment="1">
      <alignment vertical="center" wrapText="1"/>
    </xf>
    <xf numFmtId="0" fontId="15" fillId="18" borderId="57" xfId="0" applyFont="1" applyFill="1" applyBorder="1" applyAlignment="1">
      <alignment horizontal="center"/>
    </xf>
    <xf numFmtId="0" fontId="15" fillId="18" borderId="56" xfId="0" applyFont="1" applyFill="1" applyBorder="1" applyAlignment="1">
      <alignment horizontal="center"/>
    </xf>
    <xf numFmtId="17" fontId="15" fillId="9" borderId="56" xfId="0" applyNumberFormat="1" applyFont="1" applyFill="1" applyBorder="1" applyAlignment="1">
      <alignment horizontal="center" vertical="center"/>
    </xf>
    <xf numFmtId="17" fontId="15" fillId="9" borderId="59" xfId="0" applyNumberFormat="1" applyFont="1" applyFill="1" applyBorder="1" applyAlignment="1">
      <alignment horizontal="center" vertical="center"/>
    </xf>
    <xf numFmtId="0" fontId="1" fillId="9" borderId="27" xfId="0" applyFont="1" applyFill="1" applyBorder="1" applyAlignment="1">
      <alignment horizontal="center" vertical="center" wrapText="1"/>
    </xf>
    <xf numFmtId="0" fontId="1" fillId="9" borderId="22" xfId="0" applyFont="1" applyFill="1" applyBorder="1" applyAlignment="1">
      <alignment horizontal="center" vertical="center" wrapText="1"/>
    </xf>
    <xf numFmtId="0" fontId="1" fillId="9" borderId="32" xfId="0" applyFont="1" applyFill="1" applyBorder="1" applyAlignment="1">
      <alignment horizontal="center" vertical="center" wrapText="1"/>
    </xf>
    <xf numFmtId="0" fontId="1" fillId="0" borderId="46" xfId="0" applyFont="1" applyBorder="1" applyAlignment="1">
      <alignment horizontal="center" vertical="center"/>
    </xf>
    <xf numFmtId="0" fontId="1" fillId="0" borderId="28" xfId="0" applyFont="1" applyBorder="1" applyAlignment="1">
      <alignment horizontal="center" vertical="center"/>
    </xf>
    <xf numFmtId="9" fontId="1" fillId="0" borderId="51" xfId="1" applyFont="1" applyBorder="1" applyAlignment="1">
      <alignment horizontal="center" vertical="center" wrapText="1"/>
    </xf>
    <xf numFmtId="9" fontId="1" fillId="0" borderId="33" xfId="1" applyFont="1" applyBorder="1" applyAlignment="1">
      <alignment horizontal="center" vertical="center" wrapText="1"/>
    </xf>
    <xf numFmtId="9" fontId="1" fillId="0" borderId="35" xfId="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8" xfId="0" applyFont="1" applyBorder="1" applyAlignment="1">
      <alignment horizontal="center" vertical="center" wrapText="1"/>
    </xf>
    <xf numFmtId="9" fontId="1" fillId="0" borderId="1" xfId="1" applyFont="1" applyBorder="1" applyAlignment="1">
      <alignment horizontal="center" vertical="center" wrapText="1"/>
    </xf>
    <xf numFmtId="9" fontId="1" fillId="0" borderId="2" xfId="1" applyFont="1" applyBorder="1" applyAlignment="1">
      <alignment horizontal="center" vertical="center" wrapText="1"/>
    </xf>
    <xf numFmtId="9" fontId="1" fillId="0" borderId="34" xfId="1" applyFont="1" applyBorder="1" applyAlignment="1">
      <alignment horizontal="center" vertical="center" wrapText="1"/>
    </xf>
    <xf numFmtId="9" fontId="1" fillId="0" borderId="29" xfId="1" applyFont="1" applyBorder="1" applyAlignment="1">
      <alignment horizontal="center" vertical="center" wrapText="1"/>
    </xf>
    <xf numFmtId="9" fontId="1" fillId="0" borderId="52" xfId="1" applyFont="1" applyBorder="1" applyAlignment="1">
      <alignment horizontal="center" vertical="center" wrapText="1"/>
    </xf>
    <xf numFmtId="0" fontId="0" fillId="9" borderId="43" xfId="0" applyFill="1" applyBorder="1" applyAlignment="1">
      <alignment horizontal="left" vertical="center"/>
    </xf>
    <xf numFmtId="0" fontId="0" fillId="9" borderId="37" xfId="0" applyFill="1" applyBorder="1" applyAlignment="1">
      <alignment horizontal="left" vertical="center"/>
    </xf>
    <xf numFmtId="0" fontId="0" fillId="9" borderId="45" xfId="0" applyFill="1" applyBorder="1" applyAlignment="1">
      <alignment horizontal="left" vertical="center"/>
    </xf>
    <xf numFmtId="164" fontId="0" fillId="0" borderId="24" xfId="1" applyNumberFormat="1"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9" borderId="24" xfId="0" applyFill="1" applyBorder="1" applyAlignment="1">
      <alignment horizontal="left" vertical="center"/>
    </xf>
    <xf numFmtId="10" fontId="0" fillId="7" borderId="30" xfId="1" applyNumberFormat="1" applyFont="1" applyFill="1" applyBorder="1" applyAlignment="1">
      <alignment horizontal="center" vertical="center"/>
    </xf>
    <xf numFmtId="9" fontId="0" fillId="0" borderId="24" xfId="1" applyFont="1" applyBorder="1" applyAlignment="1">
      <alignment horizontal="center" vertical="center"/>
    </xf>
    <xf numFmtId="9" fontId="1" fillId="0" borderId="42" xfId="1" applyFont="1" applyBorder="1" applyAlignment="1">
      <alignment horizontal="center" vertical="center" wrapText="1"/>
    </xf>
    <xf numFmtId="9" fontId="1" fillId="0" borderId="39" xfId="1" applyFont="1" applyBorder="1" applyAlignment="1">
      <alignment horizontal="center" vertical="center" wrapText="1"/>
    </xf>
    <xf numFmtId="9" fontId="1" fillId="0" borderId="27" xfId="1" applyFont="1" applyBorder="1" applyAlignment="1">
      <alignment horizontal="center" vertical="center" wrapText="1"/>
    </xf>
    <xf numFmtId="9" fontId="1" fillId="0" borderId="24" xfId="1" applyFont="1" applyBorder="1" applyAlignment="1">
      <alignment horizontal="center" vertical="center" wrapText="1"/>
    </xf>
    <xf numFmtId="9" fontId="1" fillId="0" borderId="40" xfId="1" applyFont="1" applyBorder="1" applyAlignment="1">
      <alignment horizontal="center" vertical="center" wrapText="1"/>
    </xf>
    <xf numFmtId="0" fontId="1" fillId="0" borderId="22"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0" fillId="0" borderId="22" xfId="0" applyBorder="1" applyAlignment="1">
      <alignment horizontal="center" vertical="center" wrapText="1"/>
    </xf>
    <xf numFmtId="0" fontId="0" fillId="0" borderId="1" xfId="0" applyBorder="1" applyAlignment="1">
      <alignment horizontal="center" vertical="center" wrapText="1"/>
    </xf>
    <xf numFmtId="0" fontId="0" fillId="0" borderId="25" xfId="0" applyBorder="1" applyAlignment="1">
      <alignment horizontal="center" vertical="center" wrapText="1"/>
    </xf>
    <xf numFmtId="0" fontId="0" fillId="0" borderId="1" xfId="0" applyBorder="1" applyAlignment="1">
      <alignment horizontal="left" vertical="center"/>
    </xf>
    <xf numFmtId="2" fontId="0" fillId="7" borderId="30" xfId="0" applyNumberFormat="1" applyFill="1" applyBorder="1" applyAlignment="1">
      <alignment horizontal="center" vertical="center"/>
    </xf>
    <xf numFmtId="0" fontId="0" fillId="0" borderId="29" xfId="0" applyBorder="1" applyAlignment="1">
      <alignment horizontal="left" vertical="center"/>
    </xf>
    <xf numFmtId="0" fontId="0" fillId="9" borderId="51" xfId="0" applyFill="1" applyBorder="1" applyAlignment="1">
      <alignment horizontal="center" vertical="center" wrapText="1"/>
    </xf>
    <xf numFmtId="0" fontId="0" fillId="9" borderId="2" xfId="0" applyFill="1" applyBorder="1" applyAlignment="1">
      <alignment horizontal="center" vertical="center" wrapText="1"/>
    </xf>
    <xf numFmtId="0" fontId="0" fillId="9" borderId="52" xfId="0" applyFill="1" applyBorder="1" applyAlignment="1">
      <alignment horizontal="center" vertical="center" wrapText="1"/>
    </xf>
    <xf numFmtId="0" fontId="0" fillId="9" borderId="75" xfId="0" applyFill="1" applyBorder="1" applyAlignment="1">
      <alignment horizontal="left" vertical="center"/>
    </xf>
    <xf numFmtId="0" fontId="0" fillId="9" borderId="23" xfId="0" applyFill="1" applyBorder="1" applyAlignment="1">
      <alignment horizontal="left" vertical="center"/>
    </xf>
    <xf numFmtId="0" fontId="0" fillId="9" borderId="47" xfId="0" applyFill="1" applyBorder="1" applyAlignment="1">
      <alignment horizontal="left" vertical="center"/>
    </xf>
    <xf numFmtId="164" fontId="0" fillId="0" borderId="31" xfId="0" applyNumberFormat="1" applyBorder="1" applyAlignment="1">
      <alignment horizontal="center" vertical="center"/>
    </xf>
    <xf numFmtId="0" fontId="0" fillId="0" borderId="24" xfId="0" applyBorder="1" applyAlignment="1">
      <alignment horizontal="center" vertical="center"/>
    </xf>
    <xf numFmtId="0" fontId="0" fillId="0" borderId="40" xfId="0" applyBorder="1" applyAlignment="1">
      <alignment horizontal="center" vertical="center"/>
    </xf>
    <xf numFmtId="0" fontId="1" fillId="9" borderId="75" xfId="0" applyFont="1" applyFill="1" applyBorder="1" applyAlignment="1">
      <alignment horizontal="center" vertical="center"/>
    </xf>
    <xf numFmtId="0" fontId="1" fillId="9" borderId="23" xfId="0" applyFont="1" applyFill="1" applyBorder="1" applyAlignment="1">
      <alignment horizontal="center" vertical="center"/>
    </xf>
    <xf numFmtId="0" fontId="1" fillId="9" borderId="47" xfId="0" applyFont="1" applyFill="1" applyBorder="1" applyAlignment="1">
      <alignment horizontal="center" vertical="center"/>
    </xf>
    <xf numFmtId="0" fontId="1" fillId="9" borderId="65" xfId="0" applyFont="1" applyFill="1" applyBorder="1" applyAlignment="1">
      <alignment horizontal="center" vertical="center"/>
    </xf>
    <xf numFmtId="0" fontId="1" fillId="9" borderId="63" xfId="0" applyFont="1" applyFill="1" applyBorder="1" applyAlignment="1">
      <alignment horizontal="center" vertical="center"/>
    </xf>
    <xf numFmtId="0" fontId="1" fillId="9" borderId="48" xfId="0" applyFont="1" applyFill="1" applyBorder="1" applyAlignment="1">
      <alignment horizontal="center" vertical="center"/>
    </xf>
    <xf numFmtId="0" fontId="1" fillId="9" borderId="43" xfId="0" applyFont="1" applyFill="1" applyBorder="1" applyAlignment="1">
      <alignment horizontal="left" vertical="center" wrapText="1"/>
    </xf>
    <xf numFmtId="0" fontId="1" fillId="9" borderId="37" xfId="0" applyFont="1" applyFill="1" applyBorder="1" applyAlignment="1">
      <alignment horizontal="left" vertical="center" wrapText="1"/>
    </xf>
    <xf numFmtId="0" fontId="1" fillId="9" borderId="45" xfId="0" applyFont="1" applyFill="1" applyBorder="1" applyAlignment="1">
      <alignment horizontal="left" vertical="center" wrapText="1"/>
    </xf>
    <xf numFmtId="0" fontId="0" fillId="0" borderId="22" xfId="0" applyBorder="1" applyAlignment="1">
      <alignment horizontal="left" vertical="center" wrapText="1"/>
    </xf>
    <xf numFmtId="0" fontId="0" fillId="0" borderId="25" xfId="0" applyBorder="1" applyAlignment="1">
      <alignment horizontal="left" vertical="center" wrapText="1"/>
    </xf>
    <xf numFmtId="0" fontId="0" fillId="0" borderId="28" xfId="0" applyBorder="1" applyAlignment="1">
      <alignment horizontal="left" vertical="center" wrapText="1"/>
    </xf>
    <xf numFmtId="0" fontId="0" fillId="0" borderId="36" xfId="0" applyBorder="1" applyAlignment="1">
      <alignment horizontal="left" vertical="center" wrapText="1"/>
    </xf>
    <xf numFmtId="0" fontId="1" fillId="0" borderId="16" xfId="0" applyFont="1" applyBorder="1" applyAlignment="1">
      <alignment horizontal="center" vertical="center"/>
    </xf>
    <xf numFmtId="164" fontId="0" fillId="13" borderId="57" xfId="1" applyNumberFormat="1" applyFont="1" applyFill="1" applyBorder="1" applyAlignment="1">
      <alignment horizontal="center" vertical="center"/>
    </xf>
    <xf numFmtId="164" fontId="0" fillId="13" borderId="33" xfId="1" applyNumberFormat="1" applyFont="1" applyFill="1" applyBorder="1" applyAlignment="1">
      <alignment horizontal="center" vertical="center"/>
    </xf>
    <xf numFmtId="164" fontId="0" fillId="13" borderId="35" xfId="1" applyNumberFormat="1" applyFont="1" applyFill="1" applyBorder="1" applyAlignment="1">
      <alignment horizontal="center" vertical="center"/>
    </xf>
    <xf numFmtId="0" fontId="0" fillId="0" borderId="59" xfId="0" applyBorder="1" applyAlignment="1">
      <alignment horizontal="left" vertical="center" wrapText="1"/>
    </xf>
    <xf numFmtId="0" fontId="0" fillId="0" borderId="41" xfId="0" applyBorder="1" applyAlignment="1">
      <alignment horizontal="left" vertical="center" wrapText="1"/>
    </xf>
    <xf numFmtId="0" fontId="0" fillId="0" borderId="64" xfId="0" applyBorder="1" applyAlignment="1">
      <alignment horizontal="left" vertical="center" wrapText="1"/>
    </xf>
    <xf numFmtId="0" fontId="0" fillId="9" borderId="31" xfId="0" applyFill="1" applyBorder="1" applyAlignment="1">
      <alignment horizontal="center" vertical="center" wrapText="1"/>
    </xf>
    <xf numFmtId="0" fontId="0" fillId="9" borderId="18" xfId="0" applyFill="1" applyBorder="1" applyAlignment="1">
      <alignment horizontal="center" vertical="center" wrapText="1"/>
    </xf>
    <xf numFmtId="0" fontId="0" fillId="9" borderId="4" xfId="0" applyFill="1" applyBorder="1" applyAlignment="1">
      <alignment horizontal="center" vertical="center" wrapText="1"/>
    </xf>
    <xf numFmtId="0" fontId="0" fillId="9" borderId="42" xfId="0" applyFill="1" applyBorder="1" applyAlignment="1">
      <alignment horizontal="center" vertical="center" wrapText="1"/>
    </xf>
    <xf numFmtId="9" fontId="1" fillId="0" borderId="4" xfId="1" applyFont="1" applyBorder="1" applyAlignment="1">
      <alignment horizontal="center" vertical="center" wrapText="1"/>
    </xf>
    <xf numFmtId="9" fontId="1" fillId="0" borderId="25" xfId="1" applyFont="1" applyBorder="1" applyAlignment="1">
      <alignment horizontal="center" vertical="center" wrapText="1"/>
    </xf>
    <xf numFmtId="0" fontId="1" fillId="9" borderId="46" xfId="0" applyFont="1" applyFill="1" applyBorder="1" applyAlignment="1">
      <alignment horizontal="center" vertical="center" wrapText="1"/>
    </xf>
    <xf numFmtId="0" fontId="0" fillId="9" borderId="14" xfId="0" applyFill="1" applyBorder="1" applyAlignment="1">
      <alignment horizontal="center" vertical="center" wrapText="1"/>
    </xf>
    <xf numFmtId="0" fontId="0" fillId="2" borderId="0" xfId="0" applyFill="1" applyAlignment="1">
      <alignment horizontal="center"/>
    </xf>
    <xf numFmtId="0" fontId="4" fillId="0" borderId="0" xfId="0" applyFont="1" applyAlignment="1">
      <alignment horizontal="center"/>
    </xf>
    <xf numFmtId="0" fontId="0" fillId="0" borderId="0" xfId="0" applyAlignment="1">
      <alignment horizontal="center" vertical="center"/>
    </xf>
    <xf numFmtId="0" fontId="1" fillId="3" borderId="10"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5" fillId="0" borderId="0" xfId="0" applyFont="1" applyAlignment="1">
      <alignment horizontal="center"/>
    </xf>
    <xf numFmtId="14" fontId="1" fillId="0" borderId="10" xfId="0" applyNumberFormat="1" applyFont="1" applyBorder="1" applyAlignment="1">
      <alignment horizontal="center"/>
    </xf>
    <xf numFmtId="14" fontId="1" fillId="0" borderId="11" xfId="0" applyNumberFormat="1" applyFont="1" applyBorder="1" applyAlignment="1">
      <alignment horizontal="center"/>
    </xf>
    <xf numFmtId="0" fontId="1" fillId="3" borderId="12" xfId="0" applyFont="1" applyFill="1" applyBorder="1" applyAlignment="1" applyProtection="1">
      <alignment horizontal="center" vertical="center"/>
      <protection locked="0"/>
    </xf>
    <xf numFmtId="0" fontId="1" fillId="4" borderId="0" xfId="0" applyFont="1" applyFill="1" applyAlignment="1">
      <alignment horizontal="center"/>
    </xf>
    <xf numFmtId="0" fontId="6" fillId="0" borderId="1" xfId="0" applyFont="1" applyBorder="1" applyAlignment="1">
      <alignment horizontal="center"/>
    </xf>
    <xf numFmtId="0" fontId="0" fillId="0" borderId="23" xfId="0" applyBorder="1" applyAlignment="1">
      <alignment horizontal="center"/>
    </xf>
    <xf numFmtId="0" fontId="1" fillId="0" borderId="8" xfId="0" applyFont="1" applyBorder="1" applyAlignment="1">
      <alignment horizontal="center"/>
    </xf>
    <xf numFmtId="0" fontId="1" fillId="0" borderId="0" xfId="0" applyFont="1" applyAlignment="1">
      <alignment horizontal="center"/>
    </xf>
    <xf numFmtId="9" fontId="1" fillId="0" borderId="18" xfId="1" applyFont="1" applyBorder="1" applyAlignment="1">
      <alignment horizontal="center" vertical="center" wrapText="1"/>
    </xf>
    <xf numFmtId="9" fontId="1" fillId="0" borderId="30" xfId="1" applyFont="1" applyBorder="1" applyAlignment="1">
      <alignment horizontal="center" vertical="center" wrapText="1"/>
    </xf>
    <xf numFmtId="9" fontId="1" fillId="0" borderId="38" xfId="1" applyFont="1" applyBorder="1" applyAlignment="1">
      <alignment horizontal="center" vertical="center" wrapText="1"/>
    </xf>
    <xf numFmtId="9" fontId="1" fillId="0" borderId="44" xfId="1" applyFont="1" applyBorder="1" applyAlignment="1">
      <alignment horizontal="center" vertical="center" wrapText="1"/>
    </xf>
    <xf numFmtId="9" fontId="1" fillId="0" borderId="48" xfId="1" applyFont="1" applyBorder="1" applyAlignment="1">
      <alignment horizontal="center" vertical="center" wrapText="1"/>
    </xf>
    <xf numFmtId="9" fontId="1" fillId="0" borderId="45" xfId="1" applyFont="1" applyBorder="1" applyAlignment="1">
      <alignment horizontal="center" vertical="center" wrapText="1"/>
    </xf>
    <xf numFmtId="0" fontId="0" fillId="11" borderId="1" xfId="0" applyFill="1" applyBorder="1" applyAlignment="1">
      <alignment horizontal="center" vertical="center"/>
    </xf>
    <xf numFmtId="0" fontId="0" fillId="11" borderId="34" xfId="0" applyFill="1" applyBorder="1" applyAlignment="1">
      <alignment horizontal="center" vertical="center"/>
    </xf>
    <xf numFmtId="0" fontId="0" fillId="11" borderId="27" xfId="0" applyFill="1" applyBorder="1" applyAlignment="1">
      <alignment horizontal="left" vertical="center"/>
    </xf>
    <xf numFmtId="0" fontId="0" fillId="11" borderId="22" xfId="0" applyFill="1" applyBorder="1" applyAlignment="1">
      <alignment horizontal="left" vertical="center"/>
    </xf>
    <xf numFmtId="0" fontId="0" fillId="11" borderId="28" xfId="0" applyFill="1" applyBorder="1" applyAlignment="1">
      <alignment horizontal="left" vertical="center"/>
    </xf>
    <xf numFmtId="0" fontId="0" fillId="11" borderId="29" xfId="0" applyFill="1" applyBorder="1" applyAlignment="1">
      <alignment horizontal="center" vertical="center"/>
    </xf>
    <xf numFmtId="0" fontId="0" fillId="11" borderId="40" xfId="0" applyFill="1" applyBorder="1" applyAlignment="1">
      <alignment horizontal="left" vertical="center" wrapText="1"/>
    </xf>
    <xf numFmtId="0" fontId="0" fillId="11" borderId="25" xfId="0" applyFill="1" applyBorder="1" applyAlignment="1">
      <alignment horizontal="left" vertical="center" wrapText="1"/>
    </xf>
    <xf numFmtId="0" fontId="0" fillId="11" borderId="36" xfId="0" applyFill="1" applyBorder="1" applyAlignment="1">
      <alignment horizontal="left" vertical="center" wrapText="1"/>
    </xf>
    <xf numFmtId="0" fontId="0" fillId="11" borderId="39" xfId="0" applyFill="1" applyBorder="1" applyAlignment="1">
      <alignment horizontal="left" vertical="center" wrapText="1"/>
    </xf>
    <xf numFmtId="0" fontId="0" fillId="11" borderId="32" xfId="0" applyFill="1" applyBorder="1" applyAlignment="1">
      <alignment horizontal="left" vertical="center"/>
    </xf>
    <xf numFmtId="0" fontId="0" fillId="5" borderId="27" xfId="0" applyFill="1" applyBorder="1" applyAlignment="1">
      <alignment horizontal="left" vertical="center"/>
    </xf>
    <xf numFmtId="0" fontId="0" fillId="5" borderId="22" xfId="0" applyFill="1" applyBorder="1" applyAlignment="1">
      <alignment horizontal="left" vertical="center"/>
    </xf>
    <xf numFmtId="0" fontId="0" fillId="5" borderId="32" xfId="0" applyFill="1" applyBorder="1" applyAlignment="1">
      <alignment horizontal="left" vertical="center"/>
    </xf>
    <xf numFmtId="0" fontId="0" fillId="5" borderId="1" xfId="0" applyFill="1" applyBorder="1" applyAlignment="1">
      <alignment horizontal="center" vertical="center"/>
    </xf>
    <xf numFmtId="0" fontId="0" fillId="5" borderId="34" xfId="0" applyFill="1" applyBorder="1" applyAlignment="1">
      <alignment horizontal="center" vertical="center"/>
    </xf>
    <xf numFmtId="0" fontId="0" fillId="5" borderId="40" xfId="0" applyFill="1" applyBorder="1" applyAlignment="1">
      <alignment horizontal="left" vertical="center" wrapText="1"/>
    </xf>
    <xf numFmtId="0" fontId="0" fillId="5" borderId="25" xfId="0" applyFill="1" applyBorder="1" applyAlignment="1">
      <alignment horizontal="left" vertical="center" wrapText="1"/>
    </xf>
    <xf numFmtId="0" fontId="0" fillId="5" borderId="39" xfId="0" applyFill="1" applyBorder="1" applyAlignment="1">
      <alignment horizontal="left" vertical="center" wrapText="1"/>
    </xf>
    <xf numFmtId="9" fontId="0" fillId="8" borderId="27" xfId="1" applyFont="1" applyFill="1" applyBorder="1" applyAlignment="1">
      <alignment horizontal="center" vertical="center"/>
    </xf>
    <xf numFmtId="9" fontId="0" fillId="8" borderId="24" xfId="1" applyFont="1" applyFill="1" applyBorder="1" applyAlignment="1">
      <alignment horizontal="center" vertical="center"/>
    </xf>
    <xf numFmtId="0" fontId="0" fillId="0" borderId="32" xfId="0" applyBorder="1" applyAlignment="1">
      <alignment vertical="center" wrapText="1"/>
    </xf>
    <xf numFmtId="0" fontId="0" fillId="0" borderId="34" xfId="0" applyBorder="1" applyAlignment="1">
      <alignment vertical="center"/>
    </xf>
    <xf numFmtId="10" fontId="0" fillId="0" borderId="46" xfId="1" applyNumberFormat="1" applyFont="1" applyFill="1" applyBorder="1" applyAlignment="1">
      <alignment horizontal="center" vertical="center"/>
    </xf>
    <xf numFmtId="10" fontId="0" fillId="0" borderId="30" xfId="1" applyNumberFormat="1" applyFont="1" applyFill="1" applyBorder="1" applyAlignment="1">
      <alignment horizontal="center" vertical="center"/>
    </xf>
    <xf numFmtId="9" fontId="1" fillId="0" borderId="46" xfId="1" applyFont="1" applyBorder="1" applyAlignment="1">
      <alignment horizontal="center" vertical="center" wrapText="1"/>
    </xf>
    <xf numFmtId="9" fontId="1" fillId="0" borderId="47" xfId="1" applyFont="1" applyBorder="1" applyAlignment="1">
      <alignment horizontal="center" vertical="center" wrapText="1"/>
    </xf>
    <xf numFmtId="2" fontId="0" fillId="7" borderId="24" xfId="1" applyNumberFormat="1" applyFont="1" applyFill="1" applyBorder="1" applyAlignment="1">
      <alignment horizontal="center" vertical="center" wrapText="1"/>
    </xf>
    <xf numFmtId="0" fontId="0" fillId="0" borderId="34" xfId="0" applyBorder="1" applyAlignment="1">
      <alignment vertical="center" wrapText="1"/>
    </xf>
    <xf numFmtId="9" fontId="0" fillId="0" borderId="14" xfId="1" applyFont="1" applyBorder="1" applyAlignment="1">
      <alignment horizontal="center" vertical="center"/>
    </xf>
    <xf numFmtId="9" fontId="0" fillId="0" borderId="16" xfId="1" applyFont="1" applyBorder="1" applyAlignment="1">
      <alignment horizontal="center" vertical="center"/>
    </xf>
    <xf numFmtId="9" fontId="0" fillId="0" borderId="18" xfId="1" applyFont="1" applyBorder="1" applyAlignment="1">
      <alignment horizontal="center" vertical="center"/>
    </xf>
    <xf numFmtId="9" fontId="0" fillId="13" borderId="24" xfId="1" applyFont="1" applyFill="1" applyBorder="1" applyAlignment="1">
      <alignment horizontal="center" vertical="center"/>
    </xf>
    <xf numFmtId="9" fontId="0" fillId="13" borderId="40" xfId="1" applyFont="1" applyFill="1" applyBorder="1" applyAlignment="1">
      <alignment horizontal="center" vertical="center"/>
    </xf>
    <xf numFmtId="0" fontId="0" fillId="0" borderId="39" xfId="0" applyBorder="1" applyAlignment="1">
      <alignment vertical="center"/>
    </xf>
    <xf numFmtId="9" fontId="0" fillId="0" borderId="30" xfId="1" applyFont="1" applyBorder="1" applyAlignment="1">
      <alignment horizontal="center" vertical="center"/>
    </xf>
    <xf numFmtId="9" fontId="0" fillId="0" borderId="38" xfId="1" applyFont="1" applyBorder="1" applyAlignment="1">
      <alignment horizontal="center" vertical="center"/>
    </xf>
    <xf numFmtId="0" fontId="0" fillId="0" borderId="32" xfId="0" applyBorder="1" applyAlignment="1">
      <alignment horizontal="left" vertical="center" wrapText="1"/>
    </xf>
    <xf numFmtId="0" fontId="0" fillId="0" borderId="34" xfId="0" applyBorder="1" applyAlignment="1">
      <alignment horizontal="left" vertical="center" wrapText="1"/>
    </xf>
    <xf numFmtId="9" fontId="1" fillId="0" borderId="14" xfId="1" applyFont="1" applyBorder="1" applyAlignment="1">
      <alignment horizontal="center" vertical="center" wrapText="1"/>
    </xf>
    <xf numFmtId="9" fontId="1" fillId="0" borderId="54" xfId="1" applyFont="1" applyBorder="1" applyAlignment="1">
      <alignment horizontal="center" vertical="center" wrapText="1"/>
    </xf>
    <xf numFmtId="0" fontId="0" fillId="11" borderId="31" xfId="0" applyFill="1" applyBorder="1" applyAlignment="1">
      <alignment horizontal="left" vertical="center"/>
    </xf>
    <xf numFmtId="0" fontId="0" fillId="11" borderId="4" xfId="0" applyFill="1" applyBorder="1" applyAlignment="1">
      <alignment horizontal="left" vertical="center"/>
    </xf>
    <xf numFmtId="0" fontId="0" fillId="11" borderId="17" xfId="0" applyFill="1" applyBorder="1" applyAlignment="1">
      <alignment horizontal="left" vertical="center"/>
    </xf>
    <xf numFmtId="0" fontId="0" fillId="11" borderId="63" xfId="0" applyFill="1" applyBorder="1" applyAlignment="1">
      <alignment horizontal="center" vertical="center"/>
    </xf>
    <xf numFmtId="10" fontId="0" fillId="8" borderId="24" xfId="1" applyNumberFormat="1" applyFont="1" applyFill="1" applyBorder="1" applyAlignment="1">
      <alignment horizontal="center" vertical="center"/>
    </xf>
    <xf numFmtId="10" fontId="0" fillId="8" borderId="40" xfId="1" applyNumberFormat="1" applyFont="1" applyFill="1" applyBorder="1" applyAlignment="1">
      <alignment horizontal="center" vertical="center"/>
    </xf>
    <xf numFmtId="17" fontId="15" fillId="11" borderId="5" xfId="0" applyNumberFormat="1" applyFont="1" applyFill="1" applyBorder="1" applyAlignment="1">
      <alignment horizontal="center" vertical="center"/>
    </xf>
    <xf numFmtId="17" fontId="15" fillId="11" borderId="6" xfId="0" applyNumberFormat="1" applyFont="1" applyFill="1" applyBorder="1" applyAlignment="1">
      <alignment horizontal="center" vertical="center"/>
    </xf>
    <xf numFmtId="17" fontId="15" fillId="11" borderId="11" xfId="0" applyNumberFormat="1" applyFont="1" applyFill="1" applyBorder="1" applyAlignment="1">
      <alignment horizontal="center" vertical="center"/>
    </xf>
    <xf numFmtId="17" fontId="15" fillId="11" borderId="12" xfId="0" applyNumberFormat="1" applyFont="1" applyFill="1" applyBorder="1" applyAlignment="1">
      <alignment horizontal="center" vertical="center"/>
    </xf>
    <xf numFmtId="0" fontId="1" fillId="11" borderId="57" xfId="0" applyFont="1" applyFill="1" applyBorder="1" applyAlignment="1">
      <alignment horizontal="center" vertical="center" wrapText="1"/>
    </xf>
    <xf numFmtId="0" fontId="1" fillId="11" borderId="56" xfId="0" applyFont="1" applyFill="1" applyBorder="1" applyAlignment="1">
      <alignment horizontal="center" vertical="center" wrapText="1"/>
    </xf>
    <xf numFmtId="0" fontId="1" fillId="11" borderId="60" xfId="0" applyFont="1" applyFill="1" applyBorder="1" applyAlignment="1">
      <alignment horizontal="center" vertical="center" wrapText="1"/>
    </xf>
    <xf numFmtId="0" fontId="1" fillId="0" borderId="57" xfId="0" applyFont="1" applyBorder="1" applyAlignment="1">
      <alignment horizontal="center" vertical="center"/>
    </xf>
    <xf numFmtId="0" fontId="1" fillId="0" borderId="59" xfId="0" applyFont="1" applyBorder="1" applyAlignment="1">
      <alignment horizontal="center" vertical="center"/>
    </xf>
    <xf numFmtId="9" fontId="1" fillId="0" borderId="22" xfId="1" applyFont="1" applyBorder="1" applyAlignment="1">
      <alignment horizontal="center" vertical="center" wrapText="1"/>
    </xf>
    <xf numFmtId="9" fontId="1" fillId="0" borderId="28" xfId="1" applyFont="1" applyBorder="1" applyAlignment="1">
      <alignment horizontal="center" vertical="center" wrapText="1"/>
    </xf>
    <xf numFmtId="164" fontId="0" fillId="0" borderId="14" xfId="1" applyNumberFormat="1" applyFont="1" applyBorder="1" applyAlignment="1">
      <alignment horizontal="center" vertical="center"/>
    </xf>
    <xf numFmtId="164" fontId="0" fillId="0" borderId="18" xfId="1" applyNumberFormat="1" applyFont="1" applyBorder="1" applyAlignment="1">
      <alignment horizontal="center" vertical="center"/>
    </xf>
    <xf numFmtId="9" fontId="0" fillId="7" borderId="51" xfId="1" applyFont="1" applyFill="1" applyBorder="1" applyAlignment="1">
      <alignment horizontal="center" vertical="center"/>
    </xf>
    <xf numFmtId="9" fontId="0" fillId="7" borderId="31" xfId="1" applyFont="1" applyFill="1" applyBorder="1" applyAlignment="1">
      <alignment horizontal="center" vertical="center"/>
    </xf>
    <xf numFmtId="0" fontId="0" fillId="0" borderId="52" xfId="0" applyBorder="1" applyAlignment="1">
      <alignment horizontal="left" vertical="center" wrapText="1"/>
    </xf>
    <xf numFmtId="0" fontId="0" fillId="0" borderId="42" xfId="0" applyBorder="1" applyAlignment="1">
      <alignment horizontal="left" vertical="center" wrapText="1"/>
    </xf>
    <xf numFmtId="9" fontId="0" fillId="0" borderId="51" xfId="1" applyFont="1" applyBorder="1" applyAlignment="1">
      <alignment horizontal="center" vertical="center"/>
    </xf>
    <xf numFmtId="9" fontId="0" fillId="0" borderId="31" xfId="1" applyFont="1" applyBorder="1" applyAlignment="1">
      <alignment horizontal="center" vertical="center"/>
    </xf>
    <xf numFmtId="10" fontId="0" fillId="11" borderId="17" xfId="1" applyNumberFormat="1" applyFont="1" applyFill="1" applyBorder="1" applyAlignment="1">
      <alignment horizontal="center" vertical="center" wrapText="1"/>
    </xf>
    <xf numFmtId="10" fontId="0" fillId="11" borderId="29" xfId="1" applyNumberFormat="1" applyFont="1" applyFill="1" applyBorder="1" applyAlignment="1">
      <alignment horizontal="center" vertical="center" wrapText="1"/>
    </xf>
    <xf numFmtId="10" fontId="0" fillId="11" borderId="13" xfId="1" applyNumberFormat="1" applyFont="1" applyFill="1" applyBorder="1" applyAlignment="1">
      <alignment horizontal="center" vertical="center" wrapText="1"/>
    </xf>
    <xf numFmtId="9" fontId="0" fillId="7" borderId="24" xfId="1" applyFont="1" applyFill="1" applyBorder="1" applyAlignment="1">
      <alignment horizontal="center" vertical="center"/>
    </xf>
    <xf numFmtId="10" fontId="2" fillId="13" borderId="30" xfId="1" applyNumberFormat="1" applyFont="1" applyFill="1" applyBorder="1" applyAlignment="1">
      <alignment horizontal="left" vertical="center" indent="2"/>
    </xf>
    <xf numFmtId="0" fontId="0" fillId="0" borderId="34" xfId="0" applyBorder="1" applyAlignment="1">
      <alignment horizontal="left" vertical="center"/>
    </xf>
    <xf numFmtId="10" fontId="0" fillId="0" borderId="14" xfId="1" applyNumberFormat="1" applyFont="1" applyBorder="1" applyAlignment="1">
      <alignment horizontal="center" vertical="center"/>
    </xf>
    <xf numFmtId="10" fontId="0" fillId="0" borderId="16" xfId="1" applyNumberFormat="1" applyFont="1" applyBorder="1" applyAlignment="1">
      <alignment horizontal="center" vertical="center"/>
    </xf>
    <xf numFmtId="10" fontId="0" fillId="0" borderId="18" xfId="1" applyNumberFormat="1" applyFont="1" applyBorder="1" applyAlignment="1">
      <alignment horizontal="center" vertical="center"/>
    </xf>
    <xf numFmtId="2" fontId="0" fillId="8" borderId="24" xfId="0" applyNumberFormat="1" applyFill="1" applyBorder="1" applyAlignment="1">
      <alignment horizontal="center" vertical="center"/>
    </xf>
    <xf numFmtId="0" fontId="0" fillId="8" borderId="24" xfId="0" applyFill="1" applyBorder="1" applyAlignment="1">
      <alignment horizontal="center" vertical="center"/>
    </xf>
    <xf numFmtId="0" fontId="0" fillId="8" borderId="40" xfId="0" applyFill="1" applyBorder="1" applyAlignment="1">
      <alignment horizontal="center" vertical="center"/>
    </xf>
    <xf numFmtId="0" fontId="0" fillId="0" borderId="39" xfId="0" applyBorder="1" applyAlignment="1">
      <alignment vertical="center" wrapText="1"/>
    </xf>
    <xf numFmtId="9" fontId="0" fillId="8" borderId="46" xfId="1" applyFont="1" applyFill="1" applyBorder="1" applyAlignment="1">
      <alignment horizontal="center" vertical="center"/>
    </xf>
    <xf numFmtId="9" fontId="0" fillId="8" borderId="30" xfId="1" applyFont="1" applyFill="1" applyBorder="1" applyAlignment="1">
      <alignment horizontal="center" vertical="center"/>
    </xf>
    <xf numFmtId="10" fontId="0" fillId="0" borderId="46" xfId="1" applyNumberFormat="1" applyFont="1" applyBorder="1" applyAlignment="1">
      <alignment horizontal="center" vertical="center"/>
    </xf>
    <xf numFmtId="10" fontId="0" fillId="0" borderId="30" xfId="1" applyNumberFormat="1" applyFont="1" applyBorder="1" applyAlignment="1">
      <alignment horizontal="center" vertical="center"/>
    </xf>
    <xf numFmtId="0" fontId="0" fillId="11" borderId="42" xfId="0" applyFill="1" applyBorder="1" applyAlignment="1">
      <alignment horizontal="left" vertical="center"/>
    </xf>
    <xf numFmtId="0" fontId="0" fillId="11" borderId="48" xfId="0" applyFill="1" applyBorder="1" applyAlignment="1">
      <alignment horizontal="center" vertical="center"/>
    </xf>
    <xf numFmtId="2" fontId="0" fillId="7" borderId="24" xfId="0" applyNumberFormat="1" applyFill="1" applyBorder="1" applyAlignment="1">
      <alignment horizontal="center" vertical="center"/>
    </xf>
    <xf numFmtId="0" fontId="0" fillId="7" borderId="24" xfId="0" applyFill="1" applyBorder="1" applyAlignment="1">
      <alignment horizontal="center" vertical="center"/>
    </xf>
    <xf numFmtId="0" fontId="0" fillId="7" borderId="40" xfId="0" applyFill="1" applyBorder="1" applyAlignment="1">
      <alignment horizontal="center" vertical="center"/>
    </xf>
    <xf numFmtId="9" fontId="0" fillId="7" borderId="40" xfId="1" applyFont="1" applyFill="1" applyBorder="1" applyAlignment="1">
      <alignment horizontal="center" vertical="center"/>
    </xf>
    <xf numFmtId="9" fontId="0" fillId="6" borderId="27" xfId="1" applyFont="1" applyFill="1" applyBorder="1" applyAlignment="1">
      <alignment horizontal="center" vertical="center"/>
    </xf>
    <xf numFmtId="9" fontId="0" fillId="6" borderId="24" xfId="1" applyFont="1" applyFill="1" applyBorder="1" applyAlignment="1">
      <alignment horizontal="center" vertical="center"/>
    </xf>
    <xf numFmtId="10" fontId="0" fillId="7" borderId="24" xfId="1" applyNumberFormat="1" applyFont="1" applyFill="1" applyBorder="1" applyAlignment="1">
      <alignment horizontal="center" vertical="center"/>
    </xf>
    <xf numFmtId="10" fontId="0" fillId="7" borderId="40" xfId="1" applyNumberFormat="1" applyFont="1" applyFill="1" applyBorder="1" applyAlignment="1">
      <alignment horizontal="center" vertical="center"/>
    </xf>
    <xf numFmtId="0" fontId="1" fillId="11" borderId="59" xfId="0" applyFont="1" applyFill="1" applyBorder="1" applyAlignment="1">
      <alignment horizontal="center" vertical="center" wrapText="1"/>
    </xf>
    <xf numFmtId="10" fontId="0" fillId="11" borderId="42" xfId="1" applyNumberFormat="1" applyFont="1" applyFill="1" applyBorder="1" applyAlignment="1">
      <alignment horizontal="center" vertical="center" wrapText="1"/>
    </xf>
    <xf numFmtId="10" fontId="0" fillId="11" borderId="34" xfId="1" applyNumberFormat="1" applyFont="1" applyFill="1" applyBorder="1" applyAlignment="1">
      <alignment horizontal="center" vertical="center" wrapText="1"/>
    </xf>
    <xf numFmtId="10" fontId="0" fillId="11" borderId="52" xfId="1" applyNumberFormat="1" applyFont="1" applyFill="1" applyBorder="1" applyAlignment="1">
      <alignment horizontal="center" vertical="center" wrapText="1"/>
    </xf>
    <xf numFmtId="10" fontId="0" fillId="11" borderId="39" xfId="1" applyNumberFormat="1" applyFont="1" applyFill="1" applyBorder="1" applyAlignment="1">
      <alignment horizontal="center" vertical="center" wrapText="1"/>
    </xf>
    <xf numFmtId="9" fontId="0" fillId="7" borderId="30" xfId="1" applyFont="1" applyFill="1"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3" xfId="0" applyBorder="1" applyAlignment="1">
      <alignment horizontal="left" vertical="top" wrapText="1"/>
    </xf>
    <xf numFmtId="0" fontId="0" fillId="0" borderId="49"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50" xfId="0" applyBorder="1" applyAlignment="1">
      <alignment horizontal="left" vertical="top" wrapText="1"/>
    </xf>
    <xf numFmtId="0" fontId="0" fillId="0" borderId="13" xfId="0" applyBorder="1" applyAlignment="1">
      <alignment horizontal="left" vertical="center" wrapText="1"/>
    </xf>
    <xf numFmtId="0" fontId="0" fillId="0" borderId="17" xfId="0" applyBorder="1" applyAlignment="1">
      <alignment horizontal="left" vertical="center" wrapText="1"/>
    </xf>
    <xf numFmtId="10" fontId="2" fillId="7" borderId="24" xfId="1" applyNumberFormat="1" applyFont="1" applyFill="1" applyBorder="1" applyAlignment="1">
      <alignment horizontal="left" vertical="center" indent="2"/>
    </xf>
    <xf numFmtId="9" fontId="1" fillId="0" borderId="31" xfId="1" applyFont="1" applyBorder="1" applyAlignment="1">
      <alignment horizontal="center" vertical="center" wrapText="1"/>
    </xf>
    <xf numFmtId="0" fontId="15" fillId="18" borderId="10" xfId="0" applyFont="1" applyFill="1" applyBorder="1" applyAlignment="1">
      <alignment horizontal="center"/>
    </xf>
    <xf numFmtId="0" fontId="15" fillId="18" borderId="11" xfId="0" applyFont="1" applyFill="1" applyBorder="1" applyAlignment="1">
      <alignment horizontal="center"/>
    </xf>
    <xf numFmtId="17" fontId="15" fillId="9" borderId="5" xfId="0" applyNumberFormat="1" applyFont="1" applyFill="1" applyBorder="1" applyAlignment="1">
      <alignment horizontal="center" vertical="center"/>
    </xf>
    <xf numFmtId="17" fontId="15" fillId="9" borderId="6" xfId="0" applyNumberFormat="1" applyFont="1" applyFill="1" applyBorder="1" applyAlignment="1">
      <alignment horizontal="center" vertical="center"/>
    </xf>
    <xf numFmtId="17" fontId="15" fillId="9" borderId="11" xfId="0" applyNumberFormat="1" applyFont="1" applyFill="1" applyBorder="1" applyAlignment="1">
      <alignment horizontal="center" vertical="center"/>
    </xf>
    <xf numFmtId="17" fontId="15" fillId="9" borderId="12" xfId="0" applyNumberFormat="1" applyFont="1" applyFill="1" applyBorder="1" applyAlignment="1">
      <alignment horizontal="center" vertical="center"/>
    </xf>
    <xf numFmtId="0" fontId="1" fillId="0" borderId="2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5" xfId="0" applyFont="1" applyBorder="1" applyAlignment="1">
      <alignment horizontal="center" vertical="center" wrapText="1"/>
    </xf>
    <xf numFmtId="0" fontId="1" fillId="9" borderId="57" xfId="0" applyFont="1" applyFill="1" applyBorder="1" applyAlignment="1">
      <alignment horizontal="center" vertical="center" wrapText="1"/>
    </xf>
    <xf numFmtId="0" fontId="1" fillId="9" borderId="56" xfId="0" applyFont="1" applyFill="1" applyBorder="1" applyAlignment="1">
      <alignment horizontal="center" vertical="center" wrapText="1"/>
    </xf>
    <xf numFmtId="0" fontId="1" fillId="9" borderId="59" xfId="0" applyFont="1" applyFill="1" applyBorder="1" applyAlignment="1">
      <alignment horizontal="center"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15" xfId="0" applyBorder="1" applyAlignment="1">
      <alignment horizontal="left" vertical="center" wrapText="1"/>
    </xf>
    <xf numFmtId="0" fontId="0" fillId="0" borderId="3" xfId="0" applyBorder="1" applyAlignment="1">
      <alignment horizontal="center" vertical="center" wrapText="1"/>
    </xf>
    <xf numFmtId="0" fontId="0" fillId="0" borderId="15" xfId="0" applyBorder="1" applyAlignment="1">
      <alignment horizontal="center" vertical="center" wrapText="1"/>
    </xf>
    <xf numFmtId="0" fontId="0" fillId="9" borderId="1" xfId="0" applyFill="1" applyBorder="1" applyAlignment="1">
      <alignment horizontal="left" vertical="center"/>
    </xf>
    <xf numFmtId="0" fontId="0" fillId="9" borderId="34" xfId="0" applyFill="1" applyBorder="1" applyAlignment="1">
      <alignment horizontal="left" vertical="center"/>
    </xf>
    <xf numFmtId="10" fontId="0" fillId="7" borderId="51" xfId="1" applyNumberFormat="1" applyFont="1" applyFill="1" applyBorder="1" applyAlignment="1">
      <alignment horizontal="center" vertical="center"/>
    </xf>
    <xf numFmtId="0" fontId="0" fillId="0" borderId="52" xfId="0" applyBorder="1" applyAlignment="1">
      <alignment vertical="center"/>
    </xf>
    <xf numFmtId="9" fontId="0" fillId="6" borderId="31" xfId="1" applyFont="1" applyFill="1" applyBorder="1" applyAlignment="1">
      <alignment horizontal="center" vertical="center"/>
    </xf>
    <xf numFmtId="0" fontId="0" fillId="8" borderId="40" xfId="0" applyFill="1" applyBorder="1" applyAlignment="1">
      <alignment horizontal="left" vertical="center" wrapText="1"/>
    </xf>
    <xf numFmtId="0" fontId="0" fillId="8" borderId="25" xfId="0" applyFill="1" applyBorder="1" applyAlignment="1">
      <alignment horizontal="left" vertical="center" wrapText="1"/>
    </xf>
    <xf numFmtId="0" fontId="0" fillId="8" borderId="39" xfId="0" applyFill="1" applyBorder="1" applyAlignment="1">
      <alignment horizontal="left" vertical="center" wrapText="1"/>
    </xf>
    <xf numFmtId="0" fontId="0" fillId="9" borderId="31" xfId="0" applyFill="1" applyBorder="1" applyAlignment="1">
      <alignment horizontal="left" vertical="center"/>
    </xf>
    <xf numFmtId="0" fontId="0" fillId="9" borderId="4" xfId="0" applyFill="1" applyBorder="1" applyAlignment="1">
      <alignment horizontal="left" vertical="center"/>
    </xf>
    <xf numFmtId="0" fontId="0" fillId="9" borderId="42" xfId="0" applyFill="1" applyBorder="1" applyAlignment="1">
      <alignment horizontal="left" vertical="center"/>
    </xf>
    <xf numFmtId="0" fontId="0" fillId="8" borderId="1" xfId="0" applyFill="1" applyBorder="1" applyAlignment="1">
      <alignment horizontal="center" vertical="center"/>
    </xf>
    <xf numFmtId="0" fontId="0" fillId="8" borderId="34" xfId="0" applyFill="1" applyBorder="1" applyAlignment="1">
      <alignment horizontal="center" vertical="center"/>
    </xf>
    <xf numFmtId="0" fontId="1" fillId="0" borderId="26" xfId="0" applyFont="1" applyBorder="1" applyAlignment="1">
      <alignment horizontal="center" vertical="center" wrapText="1"/>
    </xf>
    <xf numFmtId="0" fontId="0" fillId="0" borderId="26" xfId="0" applyBorder="1" applyAlignment="1">
      <alignment horizontal="left" vertical="center" wrapText="1"/>
    </xf>
    <xf numFmtId="0" fontId="0" fillId="0" borderId="58" xfId="0" applyBorder="1" applyAlignment="1">
      <alignment horizontal="left" vertical="center" wrapText="1"/>
    </xf>
    <xf numFmtId="0" fontId="0" fillId="5" borderId="31" xfId="0" applyFill="1" applyBorder="1" applyAlignment="1">
      <alignment horizontal="left" vertical="center"/>
    </xf>
    <xf numFmtId="0" fontId="0" fillId="5" borderId="4" xfId="0" applyFill="1" applyBorder="1" applyAlignment="1">
      <alignment horizontal="left" vertical="center"/>
    </xf>
    <xf numFmtId="0" fontId="0" fillId="5" borderId="42" xfId="0" applyFill="1" applyBorder="1" applyAlignment="1">
      <alignment horizontal="left" vertical="center"/>
    </xf>
    <xf numFmtId="0" fontId="0" fillId="5" borderId="29" xfId="0" applyFill="1" applyBorder="1" applyAlignment="1">
      <alignment horizontal="center" vertical="center"/>
    </xf>
    <xf numFmtId="0" fontId="0" fillId="5" borderId="63" xfId="0" applyFill="1" applyBorder="1" applyAlignment="1">
      <alignment horizontal="center" vertical="center"/>
    </xf>
    <xf numFmtId="0" fontId="0" fillId="5" borderId="48" xfId="0" applyFill="1" applyBorder="1" applyAlignment="1">
      <alignment horizontal="center" vertical="center"/>
    </xf>
    <xf numFmtId="9" fontId="0" fillId="8" borderId="14" xfId="1" applyFont="1" applyFill="1" applyBorder="1" applyAlignment="1">
      <alignment horizontal="center" vertical="center"/>
    </xf>
    <xf numFmtId="9" fontId="0" fillId="8" borderId="18" xfId="1" applyFont="1" applyFill="1" applyBorder="1" applyAlignment="1">
      <alignment horizontal="center" vertical="center"/>
    </xf>
    <xf numFmtId="9" fontId="1" fillId="0" borderId="50" xfId="1" applyFont="1" applyBorder="1" applyAlignment="1">
      <alignment horizontal="center" vertical="center" wrapText="1"/>
    </xf>
    <xf numFmtId="9" fontId="1" fillId="0" borderId="63" xfId="1" applyFont="1" applyBorder="1" applyAlignment="1">
      <alignment horizontal="center" vertical="center" wrapText="1"/>
    </xf>
    <xf numFmtId="9" fontId="1" fillId="0" borderId="37" xfId="1" applyFont="1" applyBorder="1" applyAlignment="1">
      <alignment horizontal="center" vertical="center" wrapText="1"/>
    </xf>
    <xf numFmtId="9" fontId="1" fillId="0" borderId="36" xfId="1" applyFont="1" applyBorder="1" applyAlignment="1">
      <alignment horizontal="center" vertical="center" wrapText="1"/>
    </xf>
    <xf numFmtId="9" fontId="1" fillId="0" borderId="49" xfId="1" applyFont="1" applyBorder="1" applyAlignment="1">
      <alignment horizontal="center" vertical="center" wrapText="1"/>
    </xf>
    <xf numFmtId="9" fontId="1" fillId="0" borderId="23" xfId="1" applyFont="1" applyBorder="1" applyAlignment="1">
      <alignment horizontal="center" vertical="center" wrapText="1"/>
    </xf>
    <xf numFmtId="10" fontId="0" fillId="5" borderId="42" xfId="1" applyNumberFormat="1" applyFont="1" applyFill="1" applyBorder="1" applyAlignment="1">
      <alignment horizontal="center" vertical="center" wrapText="1"/>
    </xf>
    <xf numFmtId="10" fontId="0" fillId="5" borderId="34" xfId="1" applyNumberFormat="1" applyFont="1" applyFill="1" applyBorder="1" applyAlignment="1">
      <alignment horizontal="center" vertical="center" wrapText="1"/>
    </xf>
    <xf numFmtId="10" fontId="0" fillId="5" borderId="52" xfId="1" applyNumberFormat="1" applyFont="1" applyFill="1" applyBorder="1" applyAlignment="1">
      <alignment horizontal="center" vertical="center" wrapText="1"/>
    </xf>
    <xf numFmtId="17" fontId="15" fillId="5" borderId="5" xfId="0" applyNumberFormat="1" applyFont="1" applyFill="1" applyBorder="1" applyAlignment="1">
      <alignment horizontal="center" vertical="center"/>
    </xf>
    <xf numFmtId="17" fontId="15" fillId="5" borderId="6" xfId="0" applyNumberFormat="1" applyFont="1" applyFill="1" applyBorder="1" applyAlignment="1">
      <alignment horizontal="center" vertical="center"/>
    </xf>
    <xf numFmtId="17" fontId="15" fillId="5" borderId="11" xfId="0" applyNumberFormat="1" applyFont="1" applyFill="1" applyBorder="1" applyAlignment="1">
      <alignment horizontal="center" vertical="center"/>
    </xf>
    <xf numFmtId="17" fontId="15" fillId="5" borderId="12" xfId="0" applyNumberFormat="1" applyFont="1" applyFill="1" applyBorder="1" applyAlignment="1">
      <alignment horizontal="center" vertical="center"/>
    </xf>
    <xf numFmtId="0" fontId="1" fillId="5" borderId="57"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9" xfId="0" applyFont="1" applyFill="1" applyBorder="1" applyAlignment="1">
      <alignment horizontal="center" vertical="center" wrapText="1"/>
    </xf>
    <xf numFmtId="10" fontId="0" fillId="5" borderId="39" xfId="1" applyNumberFormat="1" applyFont="1" applyFill="1" applyBorder="1" applyAlignment="1">
      <alignment horizontal="center" vertical="center" wrapText="1"/>
    </xf>
    <xf numFmtId="9" fontId="1" fillId="0" borderId="32" xfId="1" applyFont="1" applyBorder="1" applyAlignment="1">
      <alignment horizontal="center" vertical="center" wrapText="1"/>
    </xf>
    <xf numFmtId="9" fontId="0" fillId="8" borderId="40" xfId="1" applyFont="1" applyFill="1" applyBorder="1" applyAlignment="1">
      <alignment horizontal="center" vertical="center"/>
    </xf>
    <xf numFmtId="17" fontId="15" fillId="3" borderId="5" xfId="0" applyNumberFormat="1" applyFont="1" applyFill="1" applyBorder="1" applyAlignment="1">
      <alignment horizontal="center" vertical="center"/>
    </xf>
    <xf numFmtId="17" fontId="15" fillId="3" borderId="6" xfId="0" applyNumberFormat="1" applyFont="1" applyFill="1" applyBorder="1" applyAlignment="1">
      <alignment horizontal="center" vertical="center"/>
    </xf>
    <xf numFmtId="17" fontId="15" fillId="3" borderId="11" xfId="0" applyNumberFormat="1" applyFont="1" applyFill="1" applyBorder="1" applyAlignment="1">
      <alignment horizontal="center" vertical="center"/>
    </xf>
    <xf numFmtId="17" fontId="15" fillId="3" borderId="12" xfId="0" applyNumberFormat="1" applyFont="1" applyFill="1" applyBorder="1" applyAlignment="1">
      <alignment horizontal="center" vertical="center"/>
    </xf>
    <xf numFmtId="0" fontId="1" fillId="3" borderId="57" xfId="0" applyFont="1" applyFill="1" applyBorder="1" applyAlignment="1">
      <alignment horizontal="center" vertical="center" wrapText="1"/>
    </xf>
    <xf numFmtId="0" fontId="1" fillId="3" borderId="56"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1" fillId="0" borderId="34" xfId="0" applyFont="1" applyBorder="1" applyAlignment="1">
      <alignment horizontal="left" vertical="center" wrapText="1"/>
    </xf>
    <xf numFmtId="9" fontId="0" fillId="7" borderId="14" xfId="1" applyFont="1" applyFill="1" applyBorder="1" applyAlignment="1">
      <alignment horizontal="center" vertical="center"/>
    </xf>
    <xf numFmtId="9" fontId="0" fillId="7" borderId="18" xfId="1" applyFont="1" applyFill="1" applyBorder="1" applyAlignment="1">
      <alignment horizontal="center" vertical="center"/>
    </xf>
    <xf numFmtId="10" fontId="0" fillId="3" borderId="42" xfId="1" applyNumberFormat="1" applyFont="1" applyFill="1" applyBorder="1" applyAlignment="1">
      <alignment horizontal="center" vertical="center" wrapText="1"/>
    </xf>
    <xf numFmtId="10" fontId="0" fillId="3" borderId="34" xfId="1" applyNumberFormat="1" applyFont="1" applyFill="1" applyBorder="1" applyAlignment="1">
      <alignment horizontal="center" vertical="center" wrapText="1"/>
    </xf>
    <xf numFmtId="10" fontId="0" fillId="3" borderId="52" xfId="1" applyNumberFormat="1" applyFont="1" applyFill="1" applyBorder="1" applyAlignment="1">
      <alignment horizontal="center" vertical="center" wrapText="1"/>
    </xf>
    <xf numFmtId="10" fontId="2" fillId="7" borderId="30" xfId="1" applyNumberFormat="1" applyFont="1" applyFill="1" applyBorder="1" applyAlignment="1">
      <alignment horizontal="center" vertical="center"/>
    </xf>
    <xf numFmtId="9" fontId="0" fillId="7" borderId="27" xfId="1" applyFont="1" applyFill="1" applyBorder="1" applyAlignment="1">
      <alignment horizontal="center" vertical="center"/>
    </xf>
    <xf numFmtId="0" fontId="0" fillId="3" borderId="31" xfId="0" applyFill="1" applyBorder="1" applyAlignment="1">
      <alignment horizontal="left" vertical="center"/>
    </xf>
    <xf numFmtId="0" fontId="0" fillId="3" borderId="4" xfId="0" applyFill="1" applyBorder="1" applyAlignment="1">
      <alignment horizontal="left" vertical="center"/>
    </xf>
    <xf numFmtId="0" fontId="0" fillId="3" borderId="42" xfId="0" applyFill="1" applyBorder="1" applyAlignment="1">
      <alignment horizontal="left" vertical="center"/>
    </xf>
    <xf numFmtId="0" fontId="0" fillId="3" borderId="29" xfId="0" applyFill="1" applyBorder="1" applyAlignment="1">
      <alignment horizontal="center" vertical="center"/>
    </xf>
    <xf numFmtId="0" fontId="0" fillId="3" borderId="63" xfId="0" applyFill="1" applyBorder="1" applyAlignment="1">
      <alignment horizontal="center" vertical="center"/>
    </xf>
    <xf numFmtId="0" fontId="0" fillId="3" borderId="48" xfId="0" applyFill="1" applyBorder="1" applyAlignment="1">
      <alignment horizontal="center" vertical="center"/>
    </xf>
    <xf numFmtId="0" fontId="0" fillId="3" borderId="27" xfId="0" applyFill="1" applyBorder="1" applyAlignment="1">
      <alignment horizontal="left" vertical="center"/>
    </xf>
    <xf numFmtId="0" fontId="0" fillId="3" borderId="22" xfId="0" applyFill="1" applyBorder="1" applyAlignment="1">
      <alignment horizontal="left" vertical="center"/>
    </xf>
    <xf numFmtId="0" fontId="0" fillId="3" borderId="32" xfId="0" applyFill="1" applyBorder="1" applyAlignment="1">
      <alignment horizontal="left" vertical="center"/>
    </xf>
    <xf numFmtId="0" fontId="0" fillId="3" borderId="1" xfId="0" applyFill="1" applyBorder="1" applyAlignment="1">
      <alignment horizontal="center" vertical="center"/>
    </xf>
    <xf numFmtId="0" fontId="0" fillId="3" borderId="34" xfId="0" applyFill="1" applyBorder="1" applyAlignment="1">
      <alignment horizontal="center" vertical="center"/>
    </xf>
    <xf numFmtId="0" fontId="0" fillId="3" borderId="40" xfId="0" applyFill="1" applyBorder="1" applyAlignment="1">
      <alignment horizontal="left" vertical="center" wrapText="1"/>
    </xf>
    <xf numFmtId="0" fontId="0" fillId="3" borderId="25" xfId="0" applyFill="1" applyBorder="1" applyAlignment="1">
      <alignment horizontal="left" vertical="center" wrapText="1"/>
    </xf>
    <xf numFmtId="0" fontId="0" fillId="3" borderId="39" xfId="0" applyFill="1" applyBorder="1" applyAlignment="1">
      <alignment horizontal="left" vertical="center" wrapText="1"/>
    </xf>
    <xf numFmtId="2" fontId="0" fillId="7" borderId="27" xfId="1" applyNumberFormat="1" applyFont="1" applyFill="1" applyBorder="1" applyAlignment="1">
      <alignment horizontal="center" vertical="center"/>
    </xf>
    <xf numFmtId="2" fontId="0" fillId="7" borderId="24" xfId="1" applyNumberFormat="1" applyFont="1" applyFill="1" applyBorder="1" applyAlignment="1">
      <alignment horizontal="center" vertical="center"/>
    </xf>
    <xf numFmtId="0" fontId="1" fillId="3" borderId="75"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47" xfId="0" applyFont="1" applyFill="1" applyBorder="1" applyAlignment="1">
      <alignment horizontal="center" vertical="center"/>
    </xf>
    <xf numFmtId="0" fontId="1" fillId="3" borderId="65" xfId="0" applyFont="1" applyFill="1" applyBorder="1" applyAlignment="1">
      <alignment horizontal="center" vertical="center"/>
    </xf>
    <xf numFmtId="0" fontId="1" fillId="3" borderId="63" xfId="0" applyFont="1" applyFill="1" applyBorder="1" applyAlignment="1">
      <alignment horizontal="center" vertical="center"/>
    </xf>
    <xf numFmtId="0" fontId="1" fillId="3" borderId="48" xfId="0" applyFont="1" applyFill="1" applyBorder="1" applyAlignment="1">
      <alignment horizontal="center" vertical="center"/>
    </xf>
    <xf numFmtId="0" fontId="11" fillId="10" borderId="10" xfId="0" applyFont="1" applyFill="1" applyBorder="1" applyAlignment="1">
      <alignment horizontal="center" vertical="center"/>
    </xf>
    <xf numFmtId="0" fontId="11" fillId="10" borderId="11" xfId="0" applyFont="1" applyFill="1" applyBorder="1" applyAlignment="1">
      <alignment horizontal="center" vertical="center"/>
    </xf>
    <xf numFmtId="17" fontId="12" fillId="11" borderId="10" xfId="0" applyNumberFormat="1" applyFont="1" applyFill="1" applyBorder="1" applyAlignment="1">
      <alignment horizontal="center" vertical="center"/>
    </xf>
    <xf numFmtId="17" fontId="12" fillId="11" borderId="11" xfId="0" applyNumberFormat="1" applyFont="1" applyFill="1" applyBorder="1" applyAlignment="1">
      <alignment horizontal="center" vertical="center"/>
    </xf>
    <xf numFmtId="17" fontId="12" fillId="11" borderId="12" xfId="0" applyNumberFormat="1" applyFont="1" applyFill="1" applyBorder="1" applyAlignment="1">
      <alignment horizontal="center" vertical="center"/>
    </xf>
    <xf numFmtId="0" fontId="0" fillId="0" borderId="22" xfId="0" applyBorder="1" applyAlignment="1">
      <alignment horizontal="left" vertical="center"/>
    </xf>
    <xf numFmtId="0" fontId="0" fillId="0" borderId="25" xfId="0" applyBorder="1" applyAlignment="1">
      <alignment horizontal="left" vertical="center"/>
    </xf>
    <xf numFmtId="0" fontId="0" fillId="0" borderId="32" xfId="0" applyBorder="1" applyAlignment="1">
      <alignment horizontal="left" vertical="center"/>
    </xf>
    <xf numFmtId="0" fontId="0" fillId="0" borderId="39" xfId="0" applyBorder="1" applyAlignment="1">
      <alignment horizontal="left" vertical="center"/>
    </xf>
    <xf numFmtId="0" fontId="0" fillId="0" borderId="34" xfId="0" applyBorder="1" applyAlignment="1">
      <alignment horizontal="center" vertical="center" wrapText="1"/>
    </xf>
    <xf numFmtId="0" fontId="1" fillId="0" borderId="29" xfId="0" applyFont="1" applyBorder="1" applyAlignment="1">
      <alignment horizontal="center" vertical="center" wrapText="1"/>
    </xf>
    <xf numFmtId="0" fontId="1" fillId="0" borderId="27" xfId="0" applyFont="1" applyBorder="1" applyAlignment="1">
      <alignment horizontal="center" vertical="center"/>
    </xf>
    <xf numFmtId="0" fontId="1" fillId="0" borderId="32" xfId="0" applyFont="1" applyBorder="1" applyAlignment="1">
      <alignment horizontal="center" vertical="center"/>
    </xf>
    <xf numFmtId="0" fontId="1" fillId="9" borderId="10" xfId="0" applyFont="1" applyFill="1" applyBorder="1" applyAlignment="1">
      <alignment horizontal="center" vertical="center" wrapText="1"/>
    </xf>
    <xf numFmtId="0" fontId="1" fillId="9" borderId="11" xfId="0" applyFont="1" applyFill="1" applyBorder="1" applyAlignment="1">
      <alignment horizontal="center" vertical="center" wrapText="1"/>
    </xf>
    <xf numFmtId="9" fontId="0" fillId="6" borderId="33" xfId="1" applyFont="1" applyFill="1" applyBorder="1" applyAlignment="1">
      <alignment horizontal="center" vertical="center"/>
    </xf>
    <xf numFmtId="0" fontId="0" fillId="0" borderId="41" xfId="0" applyBorder="1" applyAlignment="1">
      <alignment vertical="center"/>
    </xf>
    <xf numFmtId="0" fontId="0" fillId="0" borderId="42" xfId="0" applyBorder="1" applyAlignment="1">
      <alignment vertical="center"/>
    </xf>
    <xf numFmtId="2" fontId="2" fillId="7" borderId="24" xfId="1" applyNumberFormat="1" applyFont="1" applyFill="1" applyBorder="1" applyAlignment="1">
      <alignment horizontal="center" vertical="center"/>
    </xf>
    <xf numFmtId="0" fontId="0" fillId="9" borderId="34" xfId="0" applyFill="1" applyBorder="1" applyAlignment="1">
      <alignment horizontal="center" vertical="center"/>
    </xf>
    <xf numFmtId="0" fontId="0" fillId="9" borderId="43" xfId="0" applyFill="1" applyBorder="1" applyAlignment="1">
      <alignment horizontal="left" vertical="center" wrapText="1"/>
    </xf>
    <xf numFmtId="0" fontId="0" fillId="9" borderId="37" xfId="0" applyFill="1" applyBorder="1" applyAlignment="1">
      <alignment horizontal="left" vertical="center" wrapText="1"/>
    </xf>
    <xf numFmtId="0" fontId="0" fillId="9" borderId="45" xfId="0" applyFill="1" applyBorder="1" applyAlignment="1">
      <alignment horizontal="left" vertical="center" wrapText="1"/>
    </xf>
    <xf numFmtId="9" fontId="0" fillId="0" borderId="40" xfId="1" applyFont="1" applyBorder="1" applyAlignment="1">
      <alignment horizontal="center" vertical="center"/>
    </xf>
    <xf numFmtId="0" fontId="0" fillId="0" borderId="29" xfId="0" applyBorder="1" applyAlignment="1">
      <alignment vertical="center"/>
    </xf>
    <xf numFmtId="0" fontId="0" fillId="0" borderId="36" xfId="0" applyBorder="1" applyAlignment="1">
      <alignment vertical="center"/>
    </xf>
    <xf numFmtId="9" fontId="0" fillId="0" borderId="27" xfId="1" applyFont="1" applyBorder="1" applyAlignment="1">
      <alignment horizontal="center" vertical="center"/>
    </xf>
    <xf numFmtId="17" fontId="12" fillId="12" borderId="10" xfId="0" applyNumberFormat="1" applyFont="1" applyFill="1" applyBorder="1" applyAlignment="1">
      <alignment horizontal="center" vertical="center"/>
    </xf>
    <xf numFmtId="17" fontId="12" fillId="12" borderId="11" xfId="0" applyNumberFormat="1" applyFont="1" applyFill="1" applyBorder="1" applyAlignment="1">
      <alignment horizontal="center" vertical="center"/>
    </xf>
    <xf numFmtId="17" fontId="12" fillId="12" borderId="12" xfId="0" applyNumberFormat="1" applyFont="1" applyFill="1" applyBorder="1" applyAlignment="1">
      <alignment horizontal="center" vertical="center"/>
    </xf>
    <xf numFmtId="2" fontId="0" fillId="7" borderId="30" xfId="1" applyNumberFormat="1" applyFont="1" applyFill="1" applyBorder="1" applyAlignment="1">
      <alignment horizontal="center" vertical="center" wrapText="1"/>
    </xf>
    <xf numFmtId="9" fontId="0" fillId="13" borderId="30" xfId="1" applyFont="1" applyFill="1" applyBorder="1" applyAlignment="1">
      <alignment horizontal="center" vertical="center"/>
    </xf>
    <xf numFmtId="9" fontId="0" fillId="13" borderId="38" xfId="1" applyFont="1" applyFill="1" applyBorder="1" applyAlignment="1">
      <alignment horizontal="center" vertical="center"/>
    </xf>
    <xf numFmtId="0" fontId="0" fillId="0" borderId="32" xfId="0" applyBorder="1" applyAlignment="1">
      <alignment vertical="center"/>
    </xf>
    <xf numFmtId="9" fontId="0" fillId="7" borderId="33" xfId="1" applyFont="1" applyFill="1" applyBorder="1" applyAlignment="1">
      <alignment horizontal="center" vertical="center"/>
    </xf>
    <xf numFmtId="9" fontId="0" fillId="7" borderId="46" xfId="1" applyFont="1" applyFill="1" applyBorder="1" applyAlignment="1">
      <alignment horizontal="center" vertical="center"/>
    </xf>
    <xf numFmtId="9" fontId="0" fillId="8" borderId="51" xfId="1" applyFont="1" applyFill="1" applyBorder="1" applyAlignment="1">
      <alignment horizontal="center" vertical="center"/>
    </xf>
    <xf numFmtId="9" fontId="0" fillId="0" borderId="46" xfId="1" applyFont="1" applyBorder="1" applyAlignment="1">
      <alignment horizontal="center" vertical="center"/>
    </xf>
    <xf numFmtId="10" fontId="0" fillId="8" borderId="51" xfId="1" applyNumberFormat="1" applyFont="1" applyFill="1" applyBorder="1" applyAlignment="1">
      <alignment horizontal="center" vertical="center"/>
    </xf>
    <xf numFmtId="10" fontId="0" fillId="8" borderId="31" xfId="1" applyNumberFormat="1" applyFont="1" applyFill="1" applyBorder="1" applyAlignment="1">
      <alignment horizontal="center" vertical="center"/>
    </xf>
    <xf numFmtId="0" fontId="0" fillId="0" borderId="52" xfId="0" applyBorder="1" applyAlignment="1">
      <alignment vertical="center" wrapText="1"/>
    </xf>
    <xf numFmtId="0" fontId="0" fillId="0" borderId="49" xfId="0" applyBorder="1" applyAlignment="1">
      <alignment horizontal="center" vertical="center" wrapText="1"/>
    </xf>
    <xf numFmtId="0" fontId="0" fillId="0" borderId="0" xfId="0" applyAlignment="1">
      <alignment horizontal="center" vertical="center" wrapText="1"/>
    </xf>
    <xf numFmtId="0" fontId="0" fillId="0" borderId="50" xfId="0" applyBorder="1" applyAlignment="1">
      <alignment horizontal="center" vertical="center" wrapText="1"/>
    </xf>
    <xf numFmtId="2" fontId="0" fillId="7" borderId="53" xfId="1" applyNumberFormat="1" applyFont="1" applyFill="1" applyBorder="1" applyAlignment="1">
      <alignment horizontal="center" vertical="center" wrapText="1"/>
    </xf>
    <xf numFmtId="2" fontId="0" fillId="7" borderId="8" xfId="1" applyNumberFormat="1" applyFont="1" applyFill="1" applyBorder="1" applyAlignment="1">
      <alignment horizontal="center" vertical="center" wrapText="1"/>
    </xf>
    <xf numFmtId="2" fontId="0" fillId="7" borderId="55" xfId="1" applyNumberFormat="1" applyFont="1" applyFill="1" applyBorder="1" applyAlignment="1">
      <alignment horizontal="center" vertical="center" wrapText="1"/>
    </xf>
    <xf numFmtId="0" fontId="0" fillId="0" borderId="28" xfId="0" applyBorder="1" applyAlignment="1">
      <alignment vertical="center"/>
    </xf>
    <xf numFmtId="0" fontId="0" fillId="23" borderId="27" xfId="0" applyFill="1" applyBorder="1" applyAlignment="1">
      <alignment horizontal="center" vertical="center" wrapText="1"/>
    </xf>
    <xf numFmtId="0" fontId="0" fillId="23" borderId="22" xfId="0" applyFill="1" applyBorder="1" applyAlignment="1">
      <alignment horizontal="center" vertical="center" wrapText="1"/>
    </xf>
    <xf numFmtId="0" fontId="0" fillId="23" borderId="32" xfId="0" applyFill="1" applyBorder="1" applyAlignment="1">
      <alignment horizontal="center" vertical="center" wrapText="1"/>
    </xf>
    <xf numFmtId="0" fontId="0" fillId="23" borderId="36" xfId="0" applyFill="1" applyBorder="1" applyAlignment="1">
      <alignment horizontal="center" vertical="center"/>
    </xf>
    <xf numFmtId="0" fontId="0" fillId="23" borderId="37" xfId="0" applyFill="1" applyBorder="1" applyAlignment="1">
      <alignment horizontal="center" vertical="center"/>
    </xf>
    <xf numFmtId="0" fontId="0" fillId="23" borderId="45" xfId="0" applyFill="1" applyBorder="1" applyAlignment="1">
      <alignment horizontal="center" vertical="center"/>
    </xf>
    <xf numFmtId="164" fontId="0" fillId="13" borderId="61" xfId="1" applyNumberFormat="1" applyFont="1" applyFill="1" applyBorder="1" applyAlignment="1">
      <alignment horizontal="center" vertical="center"/>
    </xf>
    <xf numFmtId="164" fontId="0" fillId="13" borderId="16" xfId="1" applyNumberFormat="1" applyFont="1" applyFill="1" applyBorder="1" applyAlignment="1">
      <alignment horizontal="center" vertical="center"/>
    </xf>
    <xf numFmtId="164" fontId="0" fillId="13" borderId="62" xfId="1" applyNumberFormat="1" applyFont="1" applyFill="1" applyBorder="1" applyAlignment="1">
      <alignment horizontal="center" vertical="center"/>
    </xf>
    <xf numFmtId="0" fontId="0" fillId="0" borderId="60" xfId="0" applyBorder="1" applyAlignment="1">
      <alignment horizontal="left" vertical="center" wrapText="1"/>
    </xf>
    <xf numFmtId="164" fontId="0" fillId="0" borderId="57" xfId="0" applyNumberFormat="1" applyBorder="1" applyAlignment="1">
      <alignment horizontal="center" vertical="center"/>
    </xf>
    <xf numFmtId="164" fontId="0" fillId="0" borderId="33" xfId="0" applyNumberFormat="1" applyBorder="1" applyAlignment="1">
      <alignment horizontal="center" vertical="center"/>
    </xf>
    <xf numFmtId="164" fontId="0" fillId="0" borderId="35" xfId="0" applyNumberFormat="1" applyBorder="1" applyAlignment="1">
      <alignment horizontal="center" vertical="center"/>
    </xf>
    <xf numFmtId="9" fontId="1" fillId="0" borderId="17" xfId="1" applyFont="1" applyBorder="1" applyAlignment="1">
      <alignment horizontal="center" vertical="center" wrapText="1"/>
    </xf>
    <xf numFmtId="0" fontId="1" fillId="23" borderId="51" xfId="0" applyFont="1" applyFill="1" applyBorder="1" applyAlignment="1">
      <alignment horizontal="left" vertical="center" wrapText="1"/>
    </xf>
    <xf numFmtId="0" fontId="1" fillId="23" borderId="31" xfId="0" applyFont="1" applyFill="1" applyBorder="1" applyAlignment="1">
      <alignment horizontal="left" vertical="center" wrapText="1"/>
    </xf>
    <xf numFmtId="0" fontId="0" fillId="23" borderId="29" xfId="0" applyFill="1" applyBorder="1" applyAlignment="1">
      <alignment horizontal="center" vertical="center"/>
    </xf>
    <xf numFmtId="0" fontId="0" fillId="23" borderId="48" xfId="0" applyFill="1" applyBorder="1" applyAlignment="1">
      <alignment horizontal="center" vertical="center"/>
    </xf>
    <xf numFmtId="0" fontId="0" fillId="23" borderId="29" xfId="0" applyFill="1" applyBorder="1" applyAlignment="1">
      <alignment horizontal="center" vertical="center" wrapText="1"/>
    </xf>
    <xf numFmtId="0" fontId="0" fillId="23" borderId="48" xfId="0" applyFill="1" applyBorder="1" applyAlignment="1">
      <alignment horizontal="center" vertical="center" wrapText="1"/>
    </xf>
    <xf numFmtId="0" fontId="0" fillId="23" borderId="63" xfId="0" applyFill="1" applyBorder="1" applyAlignment="1">
      <alignment horizontal="center" vertical="center"/>
    </xf>
    <xf numFmtId="0" fontId="0" fillId="23" borderId="13" xfId="0" applyFill="1" applyBorder="1" applyAlignment="1">
      <alignment horizontal="center" vertical="center"/>
    </xf>
    <xf numFmtId="0" fontId="0" fillId="23" borderId="17" xfId="0" applyFill="1" applyBorder="1" applyAlignment="1">
      <alignment horizontal="center" vertical="center"/>
    </xf>
    <xf numFmtId="2" fontId="0" fillId="23" borderId="52" xfId="1" applyNumberFormat="1" applyFont="1" applyFill="1" applyBorder="1" applyAlignment="1">
      <alignment horizontal="center" vertical="center"/>
    </xf>
    <xf numFmtId="2" fontId="0" fillId="23" borderId="42" xfId="1" applyNumberFormat="1" applyFont="1" applyFill="1" applyBorder="1" applyAlignment="1">
      <alignment horizontal="center" vertical="center"/>
    </xf>
    <xf numFmtId="0" fontId="0" fillId="23" borderId="24" xfId="0" applyFill="1" applyBorder="1" applyAlignment="1">
      <alignment horizontal="left" vertical="center"/>
    </xf>
    <xf numFmtId="0" fontId="0" fillId="23" borderId="1" xfId="0" applyFill="1" applyBorder="1" applyAlignment="1">
      <alignment horizontal="center" vertical="center" wrapText="1"/>
    </xf>
    <xf numFmtId="0" fontId="0" fillId="23" borderId="1" xfId="0" applyFill="1" applyBorder="1" applyAlignment="1">
      <alignment horizontal="left" vertical="center" wrapText="1"/>
    </xf>
    <xf numFmtId="10" fontId="0" fillId="23" borderId="29" xfId="1" applyNumberFormat="1" applyFont="1" applyFill="1" applyBorder="1" applyAlignment="1">
      <alignment horizontal="center" vertical="center" wrapText="1"/>
    </xf>
    <xf numFmtId="0" fontId="0" fillId="0" borderId="29" xfId="0" applyBorder="1" applyAlignment="1">
      <alignment horizontal="left" vertical="top" wrapText="1"/>
    </xf>
    <xf numFmtId="0" fontId="0" fillId="0" borderId="29" xfId="0" applyBorder="1" applyAlignment="1">
      <alignment horizontal="left" vertical="top"/>
    </xf>
    <xf numFmtId="17" fontId="15" fillId="23" borderId="56" xfId="0" applyNumberFormat="1" applyFont="1" applyFill="1" applyBorder="1" applyAlignment="1">
      <alignment horizontal="center" vertical="center"/>
    </xf>
    <xf numFmtId="17" fontId="15" fillId="23" borderId="59" xfId="0" applyNumberFormat="1" applyFont="1" applyFill="1" applyBorder="1" applyAlignment="1">
      <alignment horizontal="center" vertical="center"/>
    </xf>
    <xf numFmtId="0" fontId="1" fillId="23" borderId="27" xfId="0" applyFont="1" applyFill="1" applyBorder="1" applyAlignment="1">
      <alignment horizontal="center" vertical="center" wrapText="1"/>
    </xf>
    <xf numFmtId="0" fontId="1" fillId="23" borderId="22" xfId="0" applyFont="1" applyFill="1" applyBorder="1" applyAlignment="1">
      <alignment horizontal="center" vertical="center" wrapText="1"/>
    </xf>
    <xf numFmtId="0" fontId="1" fillId="23" borderId="32" xfId="0" applyFont="1" applyFill="1" applyBorder="1" applyAlignment="1">
      <alignment horizontal="center" vertical="center" wrapText="1"/>
    </xf>
    <xf numFmtId="0" fontId="1" fillId="0" borderId="60" xfId="0" applyFont="1" applyBorder="1" applyAlignment="1">
      <alignment horizontal="center" vertical="center"/>
    </xf>
    <xf numFmtId="9" fontId="0" fillId="0" borderId="57" xfId="0" applyNumberFormat="1" applyBorder="1" applyAlignment="1">
      <alignment horizontal="center" vertical="center"/>
    </xf>
    <xf numFmtId="9" fontId="0" fillId="0" borderId="31" xfId="0" applyNumberFormat="1" applyBorder="1" applyAlignment="1">
      <alignment horizontal="center" vertical="center"/>
    </xf>
    <xf numFmtId="9" fontId="1" fillId="0" borderId="56" xfId="1" applyFont="1" applyBorder="1" applyAlignment="1">
      <alignment horizontal="center" vertical="center" wrapText="1"/>
    </xf>
    <xf numFmtId="9" fontId="1" fillId="0" borderId="3" xfId="1" applyFont="1" applyBorder="1" applyAlignment="1">
      <alignment horizontal="center" vertical="center" wrapText="1"/>
    </xf>
    <xf numFmtId="9" fontId="1" fillId="0" borderId="26" xfId="1" applyFont="1" applyBorder="1" applyAlignment="1">
      <alignment horizontal="center" vertical="center" wrapText="1"/>
    </xf>
    <xf numFmtId="9" fontId="1" fillId="0" borderId="59" xfId="1" applyFont="1" applyBorder="1" applyAlignment="1">
      <alignment horizontal="center" vertical="center" wrapText="1"/>
    </xf>
    <xf numFmtId="9" fontId="1" fillId="0" borderId="41" xfId="1" applyFont="1" applyBorder="1" applyAlignment="1">
      <alignment horizontal="center" vertical="center" wrapText="1"/>
    </xf>
    <xf numFmtId="9" fontId="1" fillId="0" borderId="64" xfId="1" applyFont="1" applyBorder="1" applyAlignment="1">
      <alignment horizontal="center" vertical="center" wrapText="1"/>
    </xf>
    <xf numFmtId="0" fontId="0" fillId="23" borderId="1" xfId="0" applyFill="1" applyBorder="1" applyAlignment="1">
      <alignment horizontal="center" vertical="center"/>
    </xf>
    <xf numFmtId="0" fontId="1" fillId="11" borderId="51" xfId="0" applyFont="1" applyFill="1" applyBorder="1" applyAlignment="1">
      <alignment horizontal="left" vertical="center" wrapText="1"/>
    </xf>
    <xf numFmtId="0" fontId="1" fillId="11" borderId="31" xfId="0" applyFont="1" applyFill="1" applyBorder="1" applyAlignment="1">
      <alignment horizontal="left" vertical="center" wrapText="1"/>
    </xf>
    <xf numFmtId="0" fontId="0" fillId="11" borderId="29" xfId="0" applyFill="1" applyBorder="1" applyAlignment="1">
      <alignment horizontal="left" vertical="center" wrapText="1"/>
    </xf>
    <xf numFmtId="0" fontId="0" fillId="11" borderId="48" xfId="0" applyFill="1" applyBorder="1" applyAlignment="1">
      <alignment horizontal="left" vertical="center" wrapText="1"/>
    </xf>
    <xf numFmtId="0" fontId="0" fillId="11" borderId="29" xfId="0" applyFill="1" applyBorder="1" applyAlignment="1">
      <alignment horizontal="left" vertical="center"/>
    </xf>
    <xf numFmtId="0" fontId="0" fillId="11" borderId="63" xfId="0" applyFill="1" applyBorder="1" applyAlignment="1">
      <alignment horizontal="left" vertical="center"/>
    </xf>
    <xf numFmtId="0" fontId="0" fillId="11" borderId="48" xfId="0" applyFill="1" applyBorder="1" applyAlignment="1">
      <alignment horizontal="left" vertical="center"/>
    </xf>
    <xf numFmtId="0" fontId="0" fillId="5" borderId="24" xfId="0" applyFill="1" applyBorder="1" applyAlignment="1">
      <alignment horizontal="left" vertical="center"/>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10" fontId="0" fillId="5" borderId="29" xfId="1" applyNumberFormat="1" applyFont="1" applyFill="1" applyBorder="1" applyAlignment="1">
      <alignment horizontal="center" vertical="center" wrapText="1"/>
    </xf>
    <xf numFmtId="0" fontId="0" fillId="5" borderId="3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42" xfId="0" applyFill="1" applyBorder="1" applyAlignment="1">
      <alignment horizontal="center" vertical="center" wrapText="1"/>
    </xf>
    <xf numFmtId="164" fontId="0" fillId="8" borderId="61" xfId="1" applyNumberFormat="1" applyFont="1" applyFill="1" applyBorder="1" applyAlignment="1">
      <alignment horizontal="center" vertical="center"/>
    </xf>
    <xf numFmtId="164" fontId="0" fillId="8" borderId="16" xfId="1" applyNumberFormat="1" applyFont="1" applyFill="1" applyBorder="1" applyAlignment="1">
      <alignment horizontal="center" vertical="center"/>
    </xf>
    <xf numFmtId="164" fontId="0" fillId="8" borderId="62" xfId="1" applyNumberFormat="1" applyFont="1" applyFill="1" applyBorder="1" applyAlignment="1">
      <alignment horizontal="center" vertical="center"/>
    </xf>
    <xf numFmtId="0" fontId="0" fillId="5" borderId="29" xfId="0" applyFill="1" applyBorder="1" applyAlignment="1">
      <alignment horizontal="left" vertical="center"/>
    </xf>
    <xf numFmtId="0" fontId="0" fillId="5" borderId="48" xfId="0" applyFill="1" applyBorder="1" applyAlignment="1">
      <alignment horizontal="left" vertical="center"/>
    </xf>
    <xf numFmtId="0" fontId="1" fillId="5" borderId="51" xfId="0" applyFont="1" applyFill="1" applyBorder="1" applyAlignment="1">
      <alignment horizontal="left" vertical="center" wrapText="1"/>
    </xf>
    <xf numFmtId="0" fontId="1" fillId="5" borderId="31" xfId="0" applyFont="1" applyFill="1" applyBorder="1" applyAlignment="1">
      <alignment horizontal="left" vertical="center" wrapText="1"/>
    </xf>
    <xf numFmtId="0" fontId="0" fillId="5" borderId="29" xfId="0" applyFill="1" applyBorder="1" applyAlignment="1">
      <alignment horizontal="left" vertical="center" wrapText="1"/>
    </xf>
    <xf numFmtId="0" fontId="0" fillId="5" borderId="48" xfId="0" applyFill="1" applyBorder="1" applyAlignment="1">
      <alignment horizontal="left" vertical="center" wrapText="1"/>
    </xf>
    <xf numFmtId="0" fontId="0" fillId="5" borderId="63" xfId="0" applyFill="1" applyBorder="1" applyAlignment="1">
      <alignment horizontal="left" vertical="center"/>
    </xf>
    <xf numFmtId="0" fontId="0" fillId="5" borderId="36" xfId="0" applyFill="1" applyBorder="1" applyAlignment="1">
      <alignment horizontal="left" vertical="center"/>
    </xf>
    <xf numFmtId="0" fontId="0" fillId="5" borderId="45" xfId="0" applyFill="1" applyBorder="1" applyAlignment="1">
      <alignment horizontal="left" vertical="center"/>
    </xf>
    <xf numFmtId="17" fontId="15" fillId="5" borderId="56" xfId="0" applyNumberFormat="1" applyFont="1" applyFill="1" applyBorder="1" applyAlignment="1">
      <alignment horizontal="center" vertical="center"/>
    </xf>
    <xf numFmtId="17" fontId="15" fillId="5" borderId="59" xfId="0" applyNumberFormat="1" applyFont="1" applyFill="1" applyBorder="1" applyAlignment="1">
      <alignment horizontal="center" vertical="center"/>
    </xf>
    <xf numFmtId="0" fontId="1" fillId="5" borderId="27"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32" xfId="0" applyFont="1" applyFill="1" applyBorder="1" applyAlignment="1">
      <alignment horizontal="center" vertical="center" wrapText="1"/>
    </xf>
    <xf numFmtId="9" fontId="0" fillId="13" borderId="27" xfId="1" applyFont="1" applyFill="1" applyBorder="1" applyAlignment="1">
      <alignment horizontal="center" vertical="center"/>
    </xf>
    <xf numFmtId="9" fontId="0" fillId="0" borderId="1" xfId="0" applyNumberFormat="1" applyBorder="1" applyAlignment="1">
      <alignment horizontal="left" vertical="center" wrapText="1"/>
    </xf>
    <xf numFmtId="0" fontId="0" fillId="11" borderId="36" xfId="0" applyFill="1" applyBorder="1" applyAlignment="1">
      <alignment horizontal="left" vertical="center"/>
    </xf>
    <xf numFmtId="0" fontId="0" fillId="11" borderId="45" xfId="0" applyFill="1" applyBorder="1" applyAlignment="1">
      <alignment horizontal="left" vertical="center"/>
    </xf>
    <xf numFmtId="0" fontId="0" fillId="11" borderId="27" xfId="0" applyFill="1" applyBorder="1" applyAlignment="1">
      <alignment horizontal="center" vertical="center" wrapText="1"/>
    </xf>
    <xf numFmtId="0" fontId="0" fillId="11" borderId="22" xfId="0" applyFill="1" applyBorder="1" applyAlignment="1">
      <alignment horizontal="center" vertical="center" wrapText="1"/>
    </xf>
    <xf numFmtId="0" fontId="0" fillId="11" borderId="32" xfId="0" applyFill="1" applyBorder="1" applyAlignment="1">
      <alignment horizontal="center" vertical="center" wrapText="1"/>
    </xf>
    <xf numFmtId="9" fontId="1" fillId="0" borderId="66" xfId="1" applyFont="1" applyBorder="1" applyAlignment="1">
      <alignment horizontal="center" vertical="center" wrapText="1"/>
    </xf>
    <xf numFmtId="9" fontId="1" fillId="0" borderId="67" xfId="1" applyFont="1" applyBorder="1" applyAlignment="1">
      <alignment horizontal="center" vertical="center" wrapText="1"/>
    </xf>
    <xf numFmtId="17" fontId="15" fillId="11" borderId="56" xfId="0" applyNumberFormat="1" applyFont="1" applyFill="1" applyBorder="1" applyAlignment="1">
      <alignment horizontal="center" vertical="center"/>
    </xf>
    <xf numFmtId="17" fontId="15" fillId="11" borderId="59" xfId="0" applyNumberFormat="1" applyFont="1" applyFill="1" applyBorder="1" applyAlignment="1">
      <alignment horizontal="center" vertical="center"/>
    </xf>
    <xf numFmtId="0" fontId="1" fillId="11" borderId="27"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1" fillId="11" borderId="32" xfId="0" applyFont="1" applyFill="1" applyBorder="1" applyAlignment="1">
      <alignment horizontal="center" vertical="center" wrapText="1"/>
    </xf>
    <xf numFmtId="9" fontId="1" fillId="0" borderId="13" xfId="1" applyFont="1" applyBorder="1" applyAlignment="1">
      <alignment horizontal="center" vertical="center" wrapText="1"/>
    </xf>
    <xf numFmtId="9" fontId="1" fillId="0" borderId="69" xfId="1" applyFont="1" applyBorder="1" applyAlignment="1">
      <alignment horizontal="center" vertical="center" wrapText="1"/>
    </xf>
    <xf numFmtId="9" fontId="1" fillId="0" borderId="70" xfId="1" applyFont="1" applyBorder="1" applyAlignment="1">
      <alignment horizontal="center" vertical="center" wrapText="1"/>
    </xf>
    <xf numFmtId="0" fontId="0" fillId="11" borderId="24" xfId="0" applyFill="1" applyBorder="1" applyAlignment="1">
      <alignment horizontal="left" vertical="center"/>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9" fontId="0" fillId="0" borderId="51" xfId="0" applyNumberFormat="1" applyBorder="1" applyAlignment="1">
      <alignment horizontal="center" vertical="center"/>
    </xf>
    <xf numFmtId="9" fontId="1" fillId="0" borderId="68" xfId="1" applyFont="1" applyBorder="1" applyAlignment="1">
      <alignment horizontal="center" vertical="center" wrapText="1"/>
    </xf>
    <xf numFmtId="0" fontId="0" fillId="0" borderId="29" xfId="0" applyBorder="1" applyAlignment="1">
      <alignment horizontal="left" wrapText="1"/>
    </xf>
    <xf numFmtId="0" fontId="0" fillId="0" borderId="29" xfId="0" applyBorder="1" applyAlignment="1">
      <alignment horizontal="left"/>
    </xf>
    <xf numFmtId="9" fontId="0" fillId="13" borderId="51" xfId="1" applyFont="1" applyFill="1" applyBorder="1" applyAlignment="1">
      <alignment horizontal="center" vertical="center"/>
    </xf>
    <xf numFmtId="9" fontId="0" fillId="13" borderId="31" xfId="1" applyFont="1" applyFill="1" applyBorder="1" applyAlignment="1">
      <alignment horizontal="center" vertical="center"/>
    </xf>
    <xf numFmtId="10" fontId="0" fillId="20" borderId="24" xfId="1" applyNumberFormat="1" applyFont="1" applyFill="1" applyBorder="1" applyAlignment="1">
      <alignment horizontal="center" vertical="center"/>
    </xf>
    <xf numFmtId="0" fontId="0" fillId="9" borderId="27"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32" xfId="0" applyFill="1" applyBorder="1" applyAlignment="1">
      <alignment horizontal="center" vertical="center" wrapText="1"/>
    </xf>
    <xf numFmtId="0" fontId="0" fillId="9" borderId="30" xfId="0" applyFill="1" applyBorder="1" applyAlignment="1">
      <alignment horizontal="left" vertical="center"/>
    </xf>
    <xf numFmtId="17" fontId="15" fillId="3" borderId="56" xfId="0" applyNumberFormat="1" applyFont="1" applyFill="1" applyBorder="1" applyAlignment="1">
      <alignment horizontal="center" vertical="center"/>
    </xf>
    <xf numFmtId="17" fontId="15" fillId="3" borderId="59" xfId="0" applyNumberFormat="1" applyFont="1" applyFill="1" applyBorder="1" applyAlignment="1">
      <alignment horizontal="center" vertical="center"/>
    </xf>
    <xf numFmtId="0" fontId="1" fillId="3" borderId="27"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0" fillId="3" borderId="24" xfId="0" applyFill="1" applyBorder="1" applyAlignment="1">
      <alignment horizontal="left" vertical="center"/>
    </xf>
    <xf numFmtId="0" fontId="0" fillId="3" borderId="1" xfId="0" applyFill="1" applyBorder="1" applyAlignment="1">
      <alignment horizontal="center" vertical="center" wrapText="1"/>
    </xf>
    <xf numFmtId="10" fontId="0" fillId="3" borderId="29" xfId="1" applyNumberFormat="1" applyFont="1" applyFill="1" applyBorder="1" applyAlignment="1">
      <alignment horizontal="center" vertical="center" wrapText="1"/>
    </xf>
    <xf numFmtId="10" fontId="0" fillId="13" borderId="24" xfId="1" applyNumberFormat="1" applyFont="1" applyFill="1" applyBorder="1" applyAlignment="1">
      <alignment horizontal="center" vertical="center"/>
    </xf>
    <xf numFmtId="0" fontId="0" fillId="0" borderId="29" xfId="0" applyBorder="1" applyAlignment="1">
      <alignment vertical="top" wrapText="1"/>
    </xf>
    <xf numFmtId="0" fontId="0" fillId="3" borderId="1" xfId="0" applyFill="1" applyBorder="1" applyAlignment="1">
      <alignment horizontal="left" vertical="center" wrapText="1"/>
    </xf>
    <xf numFmtId="0" fontId="1" fillId="0" borderId="29" xfId="0" applyFont="1" applyBorder="1" applyAlignment="1">
      <alignment vertical="top" wrapText="1"/>
    </xf>
    <xf numFmtId="0" fontId="0" fillId="3" borderId="27"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32" xfId="0" applyFill="1" applyBorder="1" applyAlignment="1">
      <alignment horizontal="center" vertical="center" wrapText="1"/>
    </xf>
    <xf numFmtId="0" fontId="0" fillId="3" borderId="13" xfId="0" applyFill="1" applyBorder="1" applyAlignment="1">
      <alignment horizontal="center" vertical="center"/>
    </xf>
    <xf numFmtId="0" fontId="0" fillId="3" borderId="49" xfId="0" applyFill="1" applyBorder="1" applyAlignment="1">
      <alignment horizontal="center" vertical="center"/>
    </xf>
    <xf numFmtId="0" fontId="0" fillId="3" borderId="54" xfId="0" applyFill="1" applyBorder="1" applyAlignment="1">
      <alignment horizontal="center" vertical="center"/>
    </xf>
    <xf numFmtId="164" fontId="0" fillId="7" borderId="61" xfId="1" applyNumberFormat="1" applyFont="1" applyFill="1" applyBorder="1" applyAlignment="1">
      <alignment horizontal="center" vertical="center"/>
    </xf>
    <xf numFmtId="164" fontId="0" fillId="7" borderId="16" xfId="1" applyNumberFormat="1" applyFont="1" applyFill="1" applyBorder="1" applyAlignment="1">
      <alignment horizontal="center" vertical="center"/>
    </xf>
    <xf numFmtId="164" fontId="0" fillId="7" borderId="62" xfId="1" applyNumberFormat="1" applyFont="1" applyFill="1" applyBorder="1" applyAlignment="1">
      <alignment horizontal="center" vertical="center"/>
    </xf>
    <xf numFmtId="0" fontId="1" fillId="3" borderId="53" xfId="0" applyFont="1" applyFill="1" applyBorder="1" applyAlignment="1">
      <alignment horizontal="center" vertical="center" wrapText="1"/>
    </xf>
    <xf numFmtId="0" fontId="1" fillId="3" borderId="49" xfId="0" applyFont="1" applyFill="1" applyBorder="1" applyAlignment="1">
      <alignment horizontal="center" vertical="center" wrapText="1"/>
    </xf>
    <xf numFmtId="0" fontId="1" fillId="3" borderId="54"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0" fillId="3" borderId="46" xfId="0" applyFill="1" applyBorder="1" applyAlignment="1">
      <alignment horizontal="center" vertical="center" wrapText="1"/>
    </xf>
    <xf numFmtId="0" fontId="0" fillId="23" borderId="29" xfId="0" applyFill="1" applyBorder="1" applyAlignment="1">
      <alignment horizontal="left" vertical="center"/>
    </xf>
    <xf numFmtId="0" fontId="0" fillId="23" borderId="48" xfId="0" applyFill="1" applyBorder="1" applyAlignment="1">
      <alignment horizontal="left" vertical="center"/>
    </xf>
    <xf numFmtId="0" fontId="0" fillId="23" borderId="29" xfId="0" applyFill="1" applyBorder="1" applyAlignment="1">
      <alignment horizontal="left" vertical="center" wrapText="1"/>
    </xf>
    <xf numFmtId="0" fontId="0" fillId="23" borderId="48" xfId="0" applyFill="1" applyBorder="1" applyAlignment="1">
      <alignment horizontal="left" vertical="center" wrapText="1"/>
    </xf>
    <xf numFmtId="0" fontId="0" fillId="23" borderId="36" xfId="0" applyFill="1" applyBorder="1" applyAlignment="1">
      <alignment horizontal="left" vertical="center"/>
    </xf>
    <xf numFmtId="0" fontId="0" fillId="23" borderId="37" xfId="0" applyFill="1" applyBorder="1" applyAlignment="1">
      <alignment horizontal="left" vertical="center"/>
    </xf>
    <xf numFmtId="0" fontId="0" fillId="23" borderId="45" xfId="0" applyFill="1" applyBorder="1" applyAlignment="1">
      <alignment horizontal="left" vertical="center"/>
    </xf>
    <xf numFmtId="10" fontId="0" fillId="23" borderId="34" xfId="1" applyNumberFormat="1" applyFont="1" applyFill="1" applyBorder="1" applyAlignment="1">
      <alignment horizontal="center" vertical="center" wrapText="1"/>
    </xf>
    <xf numFmtId="10" fontId="0" fillId="8" borderId="30" xfId="1" applyNumberFormat="1" applyFont="1" applyFill="1" applyBorder="1" applyAlignment="1">
      <alignment horizontal="center" vertical="center"/>
    </xf>
    <xf numFmtId="0" fontId="0" fillId="5" borderId="29" xfId="0" applyFill="1" applyBorder="1" applyAlignment="1">
      <alignment vertical="center" wrapText="1"/>
    </xf>
    <xf numFmtId="0" fontId="0" fillId="23" borderId="31" xfId="0" applyFill="1" applyBorder="1" applyAlignment="1">
      <alignment horizontal="left" vertical="center" wrapText="1"/>
    </xf>
    <xf numFmtId="0" fontId="0" fillId="23" borderId="4" xfId="0" applyFill="1" applyBorder="1" applyAlignment="1">
      <alignment horizontal="left" vertical="center" wrapText="1"/>
    </xf>
    <xf numFmtId="0" fontId="0" fillId="23" borderId="42" xfId="0" applyFill="1" applyBorder="1" applyAlignment="1">
      <alignment horizontal="left" vertical="center" wrapText="1"/>
    </xf>
    <xf numFmtId="0" fontId="1" fillId="0" borderId="0" xfId="0" applyFont="1" applyAlignment="1">
      <alignment horizontal="center" vertical="center"/>
    </xf>
    <xf numFmtId="0" fontId="1" fillId="23" borderId="46" xfId="0" applyFont="1" applyFill="1" applyBorder="1" applyAlignment="1">
      <alignment horizontal="center" vertical="center" wrapText="1"/>
    </xf>
    <xf numFmtId="0" fontId="0" fillId="23" borderId="30" xfId="0" applyFill="1" applyBorder="1" applyAlignment="1">
      <alignment horizontal="left" vertical="center"/>
    </xf>
    <xf numFmtId="1" fontId="0" fillId="23" borderId="1" xfId="0" applyNumberFormat="1" applyFill="1" applyBorder="1" applyAlignment="1">
      <alignment horizontal="center" vertical="center" wrapText="1"/>
    </xf>
    <xf numFmtId="0" fontId="0" fillId="5" borderId="37" xfId="0" applyFill="1" applyBorder="1" applyAlignment="1">
      <alignment horizontal="left" vertical="center"/>
    </xf>
    <xf numFmtId="0" fontId="0" fillId="5" borderId="34" xfId="0" applyFill="1" applyBorder="1" applyAlignment="1">
      <alignment horizontal="left" vertical="center" wrapText="1"/>
    </xf>
    <xf numFmtId="0" fontId="0" fillId="5" borderId="34" xfId="0" applyFill="1" applyBorder="1" applyAlignment="1">
      <alignment horizontal="left" vertical="center"/>
    </xf>
    <xf numFmtId="0" fontId="0" fillId="5" borderId="31" xfId="0" applyFill="1" applyBorder="1" applyAlignment="1">
      <alignment horizontal="left" vertical="center" wrapText="1"/>
    </xf>
    <xf numFmtId="0" fontId="0" fillId="5" borderId="4" xfId="0" applyFill="1" applyBorder="1" applyAlignment="1">
      <alignment horizontal="left" vertical="center" wrapText="1"/>
    </xf>
    <xf numFmtId="0" fontId="0" fillId="5" borderId="42" xfId="0" applyFill="1" applyBorder="1" applyAlignment="1">
      <alignment horizontal="left" vertical="center" wrapText="1"/>
    </xf>
    <xf numFmtId="0" fontId="0" fillId="5" borderId="34" xfId="0" applyFill="1" applyBorder="1" applyAlignment="1">
      <alignment vertical="center" wrapText="1"/>
    </xf>
    <xf numFmtId="0" fontId="0" fillId="5" borderId="30" xfId="0" applyFill="1" applyBorder="1" applyAlignment="1">
      <alignment horizontal="left" vertical="center"/>
    </xf>
    <xf numFmtId="10" fontId="0" fillId="9" borderId="1" xfId="1" applyNumberFormat="1" applyFont="1" applyFill="1" applyBorder="1" applyAlignment="1">
      <alignment horizontal="center" vertical="center" wrapText="1"/>
    </xf>
    <xf numFmtId="10" fontId="0" fillId="7" borderId="1" xfId="1" applyNumberFormat="1" applyFont="1" applyFill="1" applyBorder="1" applyAlignment="1">
      <alignment horizontal="center" vertical="center"/>
    </xf>
    <xf numFmtId="9" fontId="0" fillId="0" borderId="1" xfId="1" applyFont="1" applyBorder="1" applyAlignment="1">
      <alignment horizontal="center" vertical="center"/>
    </xf>
    <xf numFmtId="0" fontId="1" fillId="5" borderId="46" xfId="0" applyFont="1" applyFill="1" applyBorder="1" applyAlignment="1">
      <alignment horizontal="center" vertical="center" wrapText="1"/>
    </xf>
    <xf numFmtId="1" fontId="0" fillId="5" borderId="1" xfId="0" applyNumberFormat="1" applyFill="1" applyBorder="1" applyAlignment="1">
      <alignment horizontal="center" vertical="center" wrapText="1"/>
    </xf>
    <xf numFmtId="164" fontId="0" fillId="0" borderId="30" xfId="1" applyNumberFormat="1" applyFont="1" applyBorder="1" applyAlignment="1">
      <alignment horizontal="center" vertical="center"/>
    </xf>
    <xf numFmtId="10" fontId="0" fillId="11" borderId="1" xfId="1" applyNumberFormat="1" applyFont="1" applyFill="1" applyBorder="1" applyAlignment="1">
      <alignment horizontal="center" vertical="center" wrapText="1"/>
    </xf>
    <xf numFmtId="0" fontId="0" fillId="19" borderId="1" xfId="0" applyFill="1" applyBorder="1" applyAlignment="1">
      <alignment horizontal="left" vertical="center" wrapText="1"/>
    </xf>
    <xf numFmtId="2" fontId="0" fillId="7" borderId="1" xfId="0" applyNumberFormat="1" applyFill="1" applyBorder="1" applyAlignment="1">
      <alignment horizontal="center" vertical="center"/>
    </xf>
    <xf numFmtId="0" fontId="0" fillId="19" borderId="1" xfId="0" applyFill="1" applyBorder="1" applyAlignment="1">
      <alignment horizontal="left" vertical="center"/>
    </xf>
    <xf numFmtId="0" fontId="0" fillId="9" borderId="1" xfId="0" applyFill="1" applyBorder="1" applyAlignment="1">
      <alignment horizontal="left" vertical="center" wrapText="1"/>
    </xf>
    <xf numFmtId="0" fontId="0" fillId="11" borderId="37" xfId="0" applyFill="1" applyBorder="1" applyAlignment="1">
      <alignment horizontal="left" vertical="center"/>
    </xf>
    <xf numFmtId="0" fontId="0" fillId="9" borderId="31" xfId="0" applyFill="1" applyBorder="1" applyAlignment="1">
      <alignment horizontal="left" vertical="center" wrapText="1"/>
    </xf>
    <xf numFmtId="0" fontId="0" fillId="9" borderId="4" xfId="0" applyFill="1" applyBorder="1" applyAlignment="1">
      <alignment horizontal="left" vertical="center" wrapText="1"/>
    </xf>
    <xf numFmtId="0" fontId="0" fillId="9" borderId="42" xfId="0" applyFill="1" applyBorder="1" applyAlignment="1">
      <alignment horizontal="left" vertical="center" wrapText="1"/>
    </xf>
    <xf numFmtId="0" fontId="0" fillId="9" borderId="51" xfId="0" applyFill="1" applyBorder="1" applyAlignment="1">
      <alignment horizontal="left" vertical="center" wrapText="1"/>
    </xf>
    <xf numFmtId="0" fontId="0" fillId="9" borderId="2" xfId="0" applyFill="1" applyBorder="1" applyAlignment="1">
      <alignment horizontal="left" vertical="center" wrapText="1"/>
    </xf>
    <xf numFmtId="0" fontId="0" fillId="9" borderId="52" xfId="0" applyFill="1" applyBorder="1" applyAlignment="1">
      <alignment horizontal="left" vertical="center" wrapText="1"/>
    </xf>
    <xf numFmtId="0" fontId="0" fillId="11" borderId="31" xfId="0" applyFill="1" applyBorder="1" applyAlignment="1">
      <alignment horizontal="left" vertical="center" wrapText="1"/>
    </xf>
    <xf numFmtId="0" fontId="0" fillId="11" borderId="4" xfId="0" applyFill="1" applyBorder="1" applyAlignment="1">
      <alignment horizontal="left" vertical="center" wrapText="1"/>
    </xf>
    <xf numFmtId="0" fontId="0" fillId="11" borderId="42" xfId="0" applyFill="1" applyBorder="1" applyAlignment="1">
      <alignment horizontal="left" vertical="center" wrapText="1"/>
    </xf>
    <xf numFmtId="0" fontId="1" fillId="0" borderId="22" xfId="0" applyFont="1" applyBorder="1" applyAlignment="1">
      <alignment horizontal="center" vertical="center"/>
    </xf>
    <xf numFmtId="0" fontId="0" fillId="11" borderId="1" xfId="0" applyFill="1" applyBorder="1" applyAlignment="1">
      <alignment horizontal="left" vertical="center"/>
    </xf>
    <xf numFmtId="1" fontId="0" fillId="11" borderId="1" xfId="0" applyNumberFormat="1" applyFill="1" applyBorder="1" applyAlignment="1">
      <alignment horizontal="center" vertical="center" wrapText="1"/>
    </xf>
    <xf numFmtId="164" fontId="0" fillId="0" borderId="1" xfId="1" applyNumberFormat="1" applyFont="1" applyBorder="1" applyAlignment="1">
      <alignment horizontal="center" vertical="center"/>
    </xf>
    <xf numFmtId="0" fontId="0" fillId="19" borderId="1" xfId="0" applyFill="1" applyBorder="1" applyAlignment="1">
      <alignment vertical="center" wrapText="1"/>
    </xf>
    <xf numFmtId="10" fontId="0" fillId="13" borderId="1" xfId="1" applyNumberFormat="1" applyFont="1" applyFill="1" applyBorder="1" applyAlignment="1">
      <alignment horizontal="center" vertical="center"/>
    </xf>
    <xf numFmtId="1" fontId="0" fillId="9" borderId="1" xfId="0" applyNumberFormat="1" applyFill="1" applyBorder="1" applyAlignment="1">
      <alignment horizontal="center" vertical="center" wrapText="1"/>
    </xf>
    <xf numFmtId="0" fontId="1" fillId="11" borderId="46" xfId="0" applyFont="1" applyFill="1" applyBorder="1" applyAlignment="1">
      <alignment horizontal="center" vertical="center" wrapText="1"/>
    </xf>
    <xf numFmtId="9" fontId="1" fillId="0" borderId="15" xfId="1" applyFont="1" applyBorder="1" applyAlignment="1">
      <alignment horizontal="center" vertical="center" wrapText="1"/>
    </xf>
    <xf numFmtId="0" fontId="0" fillId="11" borderId="30" xfId="0" applyFill="1" applyBorder="1" applyAlignment="1">
      <alignment horizontal="left" vertical="center"/>
    </xf>
    <xf numFmtId="0" fontId="1" fillId="11" borderId="75" xfId="0" applyFont="1" applyFill="1" applyBorder="1" applyAlignment="1">
      <alignment horizontal="center" vertical="center"/>
    </xf>
    <xf numFmtId="0" fontId="1" fillId="11" borderId="23" xfId="0" applyFont="1" applyFill="1" applyBorder="1" applyAlignment="1">
      <alignment horizontal="center" vertical="center"/>
    </xf>
    <xf numFmtId="0" fontId="1" fillId="11" borderId="47" xfId="0" applyFont="1" applyFill="1" applyBorder="1" applyAlignment="1">
      <alignment horizontal="center" vertical="center"/>
    </xf>
    <xf numFmtId="0" fontId="1" fillId="11" borderId="65" xfId="0" applyFont="1" applyFill="1" applyBorder="1" applyAlignment="1">
      <alignment horizontal="center" vertical="center"/>
    </xf>
    <xf numFmtId="0" fontId="1" fillId="11" borderId="63" xfId="0" applyFont="1" applyFill="1" applyBorder="1" applyAlignment="1">
      <alignment horizontal="center" vertical="center"/>
    </xf>
    <xf numFmtId="0" fontId="1" fillId="11" borderId="48" xfId="0" applyFont="1" applyFill="1" applyBorder="1" applyAlignment="1">
      <alignment horizontal="center" vertical="center"/>
    </xf>
    <xf numFmtId="0" fontId="1" fillId="11" borderId="43" xfId="0" applyFont="1" applyFill="1" applyBorder="1" applyAlignment="1">
      <alignment horizontal="left" vertical="center" wrapText="1"/>
    </xf>
    <xf numFmtId="0" fontId="1" fillId="11" borderId="37" xfId="0" applyFont="1" applyFill="1" applyBorder="1" applyAlignment="1">
      <alignment horizontal="left" vertical="center" wrapText="1"/>
    </xf>
    <xf numFmtId="0" fontId="1" fillId="11" borderId="45" xfId="0" applyFont="1" applyFill="1" applyBorder="1" applyAlignment="1">
      <alignment horizontal="left" vertical="center" wrapText="1"/>
    </xf>
    <xf numFmtId="0" fontId="0" fillId="11" borderId="18" xfId="0" applyFill="1" applyBorder="1" applyAlignment="1">
      <alignment horizontal="left" vertical="center" wrapText="1"/>
    </xf>
    <xf numFmtId="10" fontId="0" fillId="8" borderId="61" xfId="1" applyNumberFormat="1" applyFont="1" applyFill="1" applyBorder="1" applyAlignment="1">
      <alignment horizontal="center" vertical="center"/>
    </xf>
    <xf numFmtId="10" fontId="0" fillId="8" borderId="16" xfId="1" applyNumberFormat="1" applyFont="1" applyFill="1" applyBorder="1" applyAlignment="1">
      <alignment horizontal="center" vertical="center"/>
    </xf>
    <xf numFmtId="10" fontId="0" fillId="8" borderId="62" xfId="1" applyNumberFormat="1" applyFont="1" applyFill="1" applyBorder="1" applyAlignment="1">
      <alignment horizontal="center" vertical="center"/>
    </xf>
    <xf numFmtId="0" fontId="1" fillId="5" borderId="28"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3" borderId="24" xfId="0" applyFont="1" applyFill="1" applyBorder="1" applyAlignment="1">
      <alignment horizontal="left" vertical="center" wrapText="1"/>
    </xf>
    <xf numFmtId="0" fontId="0" fillId="3" borderId="34" xfId="0" applyFill="1" applyBorder="1" applyAlignment="1">
      <alignment horizontal="left" vertical="center" wrapText="1"/>
    </xf>
    <xf numFmtId="0" fontId="0" fillId="3" borderId="25" xfId="0" applyFill="1" applyBorder="1" applyAlignment="1">
      <alignment horizontal="left" vertical="center"/>
    </xf>
    <xf numFmtId="0" fontId="0" fillId="3" borderId="39" xfId="0" applyFill="1" applyBorder="1" applyAlignment="1">
      <alignment horizontal="left" vertical="center"/>
    </xf>
    <xf numFmtId="0" fontId="0" fillId="3" borderId="31" xfId="0" applyFill="1" applyBorder="1" applyAlignment="1">
      <alignment horizontal="center" vertical="center" wrapText="1"/>
    </xf>
    <xf numFmtId="0" fontId="0" fillId="3" borderId="4" xfId="0" applyFill="1" applyBorder="1" applyAlignment="1">
      <alignment horizontal="center" vertical="center" wrapText="1"/>
    </xf>
    <xf numFmtId="0" fontId="0" fillId="3" borderId="42" xfId="0" applyFill="1" applyBorder="1" applyAlignment="1">
      <alignment horizontal="center" vertical="center" wrapText="1"/>
    </xf>
  </cellXfs>
  <cellStyles count="4">
    <cellStyle name="Moneda" xfId="2" builtinId="4"/>
    <cellStyle name="Normal" xfId="0" builtinId="0"/>
    <cellStyle name="Normal 2" xfId="3" xr:uid="{27996572-40D9-4365-86D1-4261AAA59802}"/>
    <cellStyle name="Porcentaje" xfId="1" builtinId="5"/>
  </cellStyles>
  <dxfs count="4">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2" defaultTableStyle="TableStyleMedium2" defaultPivotStyle="PivotStyleLight16">
    <tableStyle name="Hoja 1-style" pivot="0" count="2" xr9:uid="{124C6296-76AD-4924-B3CF-50B4DCF5D182}">
      <tableStyleElement type="firstRowStripe" dxfId="3"/>
      <tableStyleElement type="secondRowStripe" dxfId="2"/>
    </tableStyle>
    <tableStyle name="Hoja 1-style 2" pivot="0" count="2" xr9:uid="{8169921B-420E-47AC-AEA9-1DCA6726CC1B}">
      <tableStyleElement type="firstRowStripe" dxfId="1"/>
      <tableStyleElement type="secondRowStripe"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331-476F-830D-63442C0D62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1-476F-830D-63442C0D629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331-476F-830D-63442C0D629A}"/>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331-476F-830D-63442C0D629A}"/>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331-476F-830D-63442C0D629A}"/>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331-476F-830D-63442C0D629A}"/>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331-476F-830D-63442C0D629A}"/>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331-476F-830D-63442C0D629A}"/>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331-476F-830D-63442C0D629A}"/>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331-476F-830D-63442C0D629A}"/>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331-476F-830D-63442C0D629A}"/>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331-476F-830D-63442C0D629A}"/>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331-476F-830D-63442C0D629A}"/>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331-476F-830D-63442C0D629A}"/>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331-476F-830D-63442C0D629A}"/>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331-476F-830D-63442C0D629A}"/>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331-476F-830D-63442C0D629A}"/>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331-476F-830D-63442C0D629A}"/>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331-476F-830D-63442C0D629A}"/>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331-476F-830D-63442C0D629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331-476F-830D-63442C0D629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Oct'!$A$88</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331-476F-830D-63442C0D629A}"/>
              </c:ext>
            </c:extLst>
          </c:dPt>
          <c:dPt>
            <c:idx val="1"/>
            <c:bubble3D val="0"/>
            <c:spPr>
              <a:noFill/>
              <a:ln w="19050">
                <a:solidFill>
                  <a:schemeClr val="lt1"/>
                </a:solidFill>
              </a:ln>
              <a:effectLst/>
            </c:spPr>
            <c:extLst>
              <c:ext xmlns:c16="http://schemas.microsoft.com/office/drawing/2014/chart" uri="{C3380CC4-5D6E-409C-BE32-E72D297353CC}">
                <c16:uniqueId val="{0000002C-2331-476F-830D-63442C0D629A}"/>
              </c:ext>
            </c:extLst>
          </c:dPt>
          <c:val>
            <c:numRef>
              <c:f>'Tablero Oct'!$B$88:$C$88</c:f>
              <c:numCache>
                <c:formatCode>0%</c:formatCode>
                <c:ptCount val="2"/>
              </c:numCache>
            </c:numRef>
          </c:val>
          <c:extLst>
            <c:ext xmlns:c16="http://schemas.microsoft.com/office/drawing/2014/chart" uri="{C3380CC4-5D6E-409C-BE32-E72D297353CC}">
              <c16:uniqueId val="{0000002D-2331-476F-830D-63442C0D629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BE0-4412-84A0-B71DA6C580A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BE0-4412-84A0-B71DA6C580A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BE0-4412-84A0-B71DA6C580A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BE0-4412-84A0-B71DA6C580A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BE0-4412-84A0-B71DA6C580A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BE0-4412-84A0-B71DA6C580A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BE0-4412-84A0-B71DA6C580A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BE0-4412-84A0-B71DA6C580A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BE0-4412-84A0-B71DA6C580A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BE0-4412-84A0-B71DA6C580A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BE0-4412-84A0-B71DA6C580A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BE0-4412-84A0-B71DA6C580A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BE0-4412-84A0-B71DA6C580A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BE0-4412-84A0-B71DA6C580A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BE0-4412-84A0-B71DA6C580A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BE0-4412-84A0-B71DA6C580A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BE0-4412-84A0-B71DA6C580A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BE0-4412-84A0-B71DA6C580A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BE0-4412-84A0-B71DA6C580A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BE0-4412-84A0-B71DA6C580A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BE0-4412-84A0-B71DA6C580A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BE0-4412-84A0-B71DA6C580A6}"/>
              </c:ext>
            </c:extLst>
          </c:dPt>
          <c:dPt>
            <c:idx val="1"/>
            <c:bubble3D val="0"/>
            <c:spPr>
              <a:noFill/>
              <a:ln w="19050">
                <a:solidFill>
                  <a:schemeClr val="lt1"/>
                </a:solidFill>
              </a:ln>
              <a:effectLst/>
            </c:spPr>
            <c:extLst>
              <c:ext xmlns:c16="http://schemas.microsoft.com/office/drawing/2014/chart" uri="{C3380CC4-5D6E-409C-BE32-E72D297353CC}">
                <c16:uniqueId val="{0000002C-4BE0-4412-84A0-B71DA6C580A6}"/>
              </c:ext>
            </c:extLst>
          </c:dPt>
          <c:val>
            <c:numRef>
              <c:f>'Tablero Oct'!$B$82:$C$82</c:f>
              <c:numCache>
                <c:formatCode>0%</c:formatCode>
                <c:ptCount val="2"/>
              </c:numCache>
            </c:numRef>
          </c:val>
          <c:extLst>
            <c:ext xmlns:c16="http://schemas.microsoft.com/office/drawing/2014/chart" uri="{C3380CC4-5D6E-409C-BE32-E72D297353CC}">
              <c16:uniqueId val="{0000002D-4BE0-4412-84A0-B71DA6C580A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749-440B-B8D5-5199C69800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49-440B-B8D5-5199C698009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749-440B-B8D5-5199C698009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749-440B-B8D5-5199C698009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749-440B-B8D5-5199C698009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749-440B-B8D5-5199C698009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749-440B-B8D5-5199C698009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749-440B-B8D5-5199C698009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749-440B-B8D5-5199C698009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749-440B-B8D5-5199C698009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749-440B-B8D5-5199C698009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749-440B-B8D5-5199C698009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749-440B-B8D5-5199C698009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749-440B-B8D5-5199C698009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749-440B-B8D5-5199C698009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749-440B-B8D5-5199C698009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749-440B-B8D5-5199C698009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749-440B-B8D5-5199C698009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749-440B-B8D5-5199C698009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749-440B-B8D5-5199C698009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749-440B-B8D5-5199C698009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Oct'!$A$116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749-440B-B8D5-5199C6980092}"/>
              </c:ext>
            </c:extLst>
          </c:dPt>
          <c:dPt>
            <c:idx val="1"/>
            <c:bubble3D val="0"/>
            <c:spPr>
              <a:noFill/>
              <a:ln w="19050">
                <a:solidFill>
                  <a:schemeClr val="lt1"/>
                </a:solidFill>
              </a:ln>
              <a:effectLst/>
            </c:spPr>
            <c:extLst>
              <c:ext xmlns:c16="http://schemas.microsoft.com/office/drawing/2014/chart" uri="{C3380CC4-5D6E-409C-BE32-E72D297353CC}">
                <c16:uniqueId val="{0000002C-1749-440B-B8D5-5199C6980092}"/>
              </c:ext>
            </c:extLst>
          </c:dPt>
          <c:val>
            <c:numRef>
              <c:f>'Tablero Oct'!$B$116:$C$116</c:f>
              <c:numCache>
                <c:formatCode>0%</c:formatCode>
                <c:ptCount val="2"/>
              </c:numCache>
            </c:numRef>
          </c:val>
          <c:extLst>
            <c:ext xmlns:c16="http://schemas.microsoft.com/office/drawing/2014/chart" uri="{C3380CC4-5D6E-409C-BE32-E72D297353CC}">
              <c16:uniqueId val="{0000002D-1749-440B-B8D5-5199C698009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A65-4432-85D3-D8179A381E5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A65-4432-85D3-D8179A381E5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A65-4432-85D3-D8179A381E5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A65-4432-85D3-D8179A381E5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A65-4432-85D3-D8179A381E5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A65-4432-85D3-D8179A381E5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A65-4432-85D3-D8179A381E5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A65-4432-85D3-D8179A381E5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A65-4432-85D3-D8179A381E5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A65-4432-85D3-D8179A381E5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A65-4432-85D3-D8179A381E5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A65-4432-85D3-D8179A381E5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A65-4432-85D3-D8179A381E5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A65-4432-85D3-D8179A381E5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A65-4432-85D3-D8179A381E5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A65-4432-85D3-D8179A381E5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A65-4432-85D3-D8179A381E5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A65-4432-85D3-D8179A381E5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A65-4432-85D3-D8179A381E5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A65-4432-85D3-D8179A381E5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A65-4432-85D3-D8179A381E5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Oct'!$A$110</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A65-4432-85D3-D8179A381E5F}"/>
              </c:ext>
            </c:extLst>
          </c:dPt>
          <c:dPt>
            <c:idx val="1"/>
            <c:bubble3D val="0"/>
            <c:spPr>
              <a:noFill/>
              <a:ln w="19050">
                <a:solidFill>
                  <a:schemeClr val="lt1"/>
                </a:solidFill>
              </a:ln>
              <a:effectLst/>
            </c:spPr>
            <c:extLst>
              <c:ext xmlns:c16="http://schemas.microsoft.com/office/drawing/2014/chart" uri="{C3380CC4-5D6E-409C-BE32-E72D297353CC}">
                <c16:uniqueId val="{0000002C-EA65-4432-85D3-D8179A381E5F}"/>
              </c:ext>
            </c:extLst>
          </c:dPt>
          <c:val>
            <c:numRef>
              <c:f>'Tablero Oct'!$B$110:$C$110</c:f>
              <c:numCache>
                <c:formatCode>0%</c:formatCode>
                <c:ptCount val="2"/>
              </c:numCache>
            </c:numRef>
          </c:val>
          <c:extLst>
            <c:ext xmlns:c16="http://schemas.microsoft.com/office/drawing/2014/chart" uri="{C3380CC4-5D6E-409C-BE32-E72D297353CC}">
              <c16:uniqueId val="{0000002D-EA65-4432-85D3-D8179A381E5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E81-4CEC-B423-8E3B9DE1F6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81-4CEC-B423-8E3B9DE1F68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E81-4CEC-B423-8E3B9DE1F68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E81-4CEC-B423-8E3B9DE1F68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E81-4CEC-B423-8E3B9DE1F68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E81-4CEC-B423-8E3B9DE1F68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8E81-4CEC-B423-8E3B9DE1F68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8E81-4CEC-B423-8E3B9DE1F68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8E81-4CEC-B423-8E3B9DE1F68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8E81-4CEC-B423-8E3B9DE1F68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8E81-4CEC-B423-8E3B9DE1F68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8E81-4CEC-B423-8E3B9DE1F68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8E81-4CEC-B423-8E3B9DE1F68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8E81-4CEC-B423-8E3B9DE1F68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8E81-4CEC-B423-8E3B9DE1F68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8E81-4CEC-B423-8E3B9DE1F68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8E81-4CEC-B423-8E3B9DE1F68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8E81-4CEC-B423-8E3B9DE1F68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8E81-4CEC-B423-8E3B9DE1F68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8E81-4CEC-B423-8E3B9DE1F68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E81-4CEC-B423-8E3B9DE1F68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Oct'!$A$114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E81-4CEC-B423-8E3B9DE1F682}"/>
              </c:ext>
            </c:extLst>
          </c:dPt>
          <c:dPt>
            <c:idx val="1"/>
            <c:bubble3D val="0"/>
            <c:spPr>
              <a:noFill/>
              <a:ln w="19050">
                <a:solidFill>
                  <a:schemeClr val="lt1"/>
                </a:solidFill>
              </a:ln>
              <a:effectLst/>
            </c:spPr>
            <c:extLst>
              <c:ext xmlns:c16="http://schemas.microsoft.com/office/drawing/2014/chart" uri="{C3380CC4-5D6E-409C-BE32-E72D297353CC}">
                <c16:uniqueId val="{0000002C-8E81-4CEC-B423-8E3B9DE1F682}"/>
              </c:ext>
            </c:extLst>
          </c:dPt>
          <c:val>
            <c:numRef>
              <c:f>'Tablero Oct'!$B$114:$C$114</c:f>
              <c:numCache>
                <c:formatCode>0%</c:formatCode>
                <c:ptCount val="2"/>
                <c:pt idx="0">
                  <c:v>0</c:v>
                </c:pt>
                <c:pt idx="1">
                  <c:v>0</c:v>
                </c:pt>
              </c:numCache>
            </c:numRef>
          </c:val>
          <c:extLst>
            <c:ext xmlns:c16="http://schemas.microsoft.com/office/drawing/2014/chart" uri="{C3380CC4-5D6E-409C-BE32-E72D297353CC}">
              <c16:uniqueId val="{0000002D-8E81-4CEC-B423-8E3B9DE1F68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4F5-4861-ADD0-13C5415EC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F5-4861-ADD0-13C5415EC78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4F5-4861-ADD0-13C5415EC78B}"/>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4F5-4861-ADD0-13C5415EC78B}"/>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4F5-4861-ADD0-13C5415EC78B}"/>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54F5-4861-ADD0-13C5415EC78B}"/>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54F5-4861-ADD0-13C5415EC78B}"/>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54F5-4861-ADD0-13C5415EC78B}"/>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54F5-4861-ADD0-13C5415EC78B}"/>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54F5-4861-ADD0-13C5415EC78B}"/>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54F5-4861-ADD0-13C5415EC78B}"/>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54F5-4861-ADD0-13C5415EC78B}"/>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54F5-4861-ADD0-13C5415EC78B}"/>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54F5-4861-ADD0-13C5415EC78B}"/>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54F5-4861-ADD0-13C5415EC78B}"/>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54F5-4861-ADD0-13C5415EC78B}"/>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54F5-4861-ADD0-13C5415EC78B}"/>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54F5-4861-ADD0-13C5415EC78B}"/>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54F5-4861-ADD0-13C5415EC78B}"/>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54F5-4861-ADD0-13C5415EC78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4F5-4861-ADD0-13C5415EC78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4F5-4861-ADD0-13C5415EC78B}"/>
              </c:ext>
            </c:extLst>
          </c:dPt>
          <c:dPt>
            <c:idx val="1"/>
            <c:bubble3D val="0"/>
            <c:spPr>
              <a:noFill/>
              <a:ln w="19050">
                <a:solidFill>
                  <a:schemeClr val="lt1"/>
                </a:solidFill>
              </a:ln>
              <a:effectLst/>
            </c:spPr>
            <c:extLst>
              <c:ext xmlns:c16="http://schemas.microsoft.com/office/drawing/2014/chart" uri="{C3380CC4-5D6E-409C-BE32-E72D297353CC}">
                <c16:uniqueId val="{0000002C-54F5-4861-ADD0-13C5415EC78B}"/>
              </c:ext>
            </c:extLst>
          </c:dPt>
          <c:val>
            <c:numRef>
              <c:f>'Tablero Oct'!$B$102:$C$102</c:f>
              <c:numCache>
                <c:formatCode>0%</c:formatCode>
                <c:ptCount val="2"/>
                <c:pt idx="0">
                  <c:v>0</c:v>
                </c:pt>
                <c:pt idx="1">
                  <c:v>0</c:v>
                </c:pt>
              </c:numCache>
            </c:numRef>
          </c:val>
          <c:extLst>
            <c:ext xmlns:c16="http://schemas.microsoft.com/office/drawing/2014/chart" uri="{C3380CC4-5D6E-409C-BE32-E72D297353CC}">
              <c16:uniqueId val="{0000002D-54F5-4861-ADD0-13C5415EC78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A35-4F44-A744-CE457E1993EE}"/>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A35-4F44-A744-CE457E1993EE}"/>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A35-4F44-A744-CE457E1993EE}"/>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A35-4F44-A744-CE457E1993EE}"/>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A35-4F44-A744-CE457E1993EE}"/>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A35-4F44-A744-CE457E1993EE}"/>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A35-4F44-A744-CE457E1993EE}"/>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A35-4F44-A744-CE457E1993EE}"/>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A35-4F44-A744-CE457E1993EE}"/>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A35-4F44-A744-CE457E1993EE}"/>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A35-4F44-A744-CE457E1993EE}"/>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A35-4F44-A744-CE457E1993EE}"/>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A35-4F44-A744-CE457E1993EE}"/>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A35-4F44-A744-CE457E1993EE}"/>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A35-4F44-A744-CE457E1993EE}"/>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A35-4F44-A744-CE457E1993EE}"/>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A35-4F44-A744-CE457E1993EE}"/>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A35-4F44-A744-CE457E1993EE}"/>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A35-4F44-A744-CE457E1993EE}"/>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A35-4F44-A744-CE457E1993E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A35-4F44-A744-CE457E1993E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Oct'!$A$96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A35-4F44-A744-CE457E1993EE}"/>
              </c:ext>
            </c:extLst>
          </c:dPt>
          <c:dPt>
            <c:idx val="1"/>
            <c:bubble3D val="0"/>
            <c:spPr>
              <a:noFill/>
              <a:ln w="19050">
                <a:solidFill>
                  <a:schemeClr val="lt1"/>
                </a:solidFill>
              </a:ln>
              <a:effectLst/>
            </c:spPr>
            <c:extLst>
              <c:ext xmlns:c16="http://schemas.microsoft.com/office/drawing/2014/chart" uri="{C3380CC4-5D6E-409C-BE32-E72D297353CC}">
                <c16:uniqueId val="{0000002C-CA35-4F44-A744-CE457E1993EE}"/>
              </c:ext>
            </c:extLst>
          </c:dPt>
          <c:val>
            <c:numRef>
              <c:f>'Tablero Oct'!$B$96:$C$96</c:f>
              <c:numCache>
                <c:formatCode>0%</c:formatCode>
                <c:ptCount val="2"/>
              </c:numCache>
            </c:numRef>
          </c:val>
          <c:extLst>
            <c:ext xmlns:c16="http://schemas.microsoft.com/office/drawing/2014/chart" uri="{C3380CC4-5D6E-409C-BE32-E72D297353CC}">
              <c16:uniqueId val="{0000002D-CA35-4F44-A744-CE457E1993E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55F-49C4-B4B0-8B5BE9A65C9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55F-49C4-B4B0-8B5BE9A65C9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55F-49C4-B4B0-8B5BE9A65C9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55F-49C4-B4B0-8B5BE9A65C9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55F-49C4-B4B0-8B5BE9A65C9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55F-49C4-B4B0-8B5BE9A65C9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55F-49C4-B4B0-8B5BE9A65C9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55F-49C4-B4B0-8B5BE9A65C9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55F-49C4-B4B0-8B5BE9A65C9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55F-49C4-B4B0-8B5BE9A65C9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55F-49C4-B4B0-8B5BE9A65C9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55F-49C4-B4B0-8B5BE9A65C9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55F-49C4-B4B0-8B5BE9A65C9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55F-49C4-B4B0-8B5BE9A65C9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55F-49C4-B4B0-8B5BE9A65C9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55F-49C4-B4B0-8B5BE9A65C9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55F-49C4-B4B0-8B5BE9A65C9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55F-49C4-B4B0-8B5BE9A65C9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55F-49C4-B4B0-8B5BE9A65C9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55F-49C4-B4B0-8B5BE9A65C9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55F-49C4-B4B0-8B5BE9A65C9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Oct'!$A$65</c:f>
              <c:strCache>
                <c:ptCount val="1"/>
                <c:pt idx="0">
                  <c:v>Estrategia y Planificación Comercial</c:v>
                </c:pt>
              </c:strCache>
            </c:strRef>
          </c:tx>
          <c:dPt>
            <c:idx val="0"/>
            <c:bubble3D val="0"/>
            <c:spPr>
              <a:solidFill>
                <a:schemeClr val="bg1">
                  <a:alpha val="58000"/>
                </a:schemeClr>
              </a:solidFill>
              <a:ln w="19050">
                <a:solidFill>
                  <a:schemeClr val="lt1"/>
                </a:solidFill>
              </a:ln>
              <a:effectLst/>
            </c:spPr>
            <c:extLst>
              <c:ext xmlns:c16="http://schemas.microsoft.com/office/drawing/2014/chart" uri="{C3380CC4-5D6E-409C-BE32-E72D297353CC}">
                <c16:uniqueId val="{0000002A-855F-49C4-B4B0-8B5BE9A65C98}"/>
              </c:ext>
            </c:extLst>
          </c:dPt>
          <c:dPt>
            <c:idx val="1"/>
            <c:bubble3D val="0"/>
            <c:spPr>
              <a:noFill/>
              <a:ln w="19050">
                <a:solidFill>
                  <a:schemeClr val="lt1"/>
                </a:solidFill>
              </a:ln>
              <a:effectLst/>
            </c:spPr>
            <c:extLst>
              <c:ext xmlns:c16="http://schemas.microsoft.com/office/drawing/2014/chart" uri="{C3380CC4-5D6E-409C-BE32-E72D297353CC}">
                <c16:uniqueId val="{0000002C-855F-49C4-B4B0-8B5BE9A65C98}"/>
              </c:ext>
            </c:extLst>
          </c:dPt>
          <c:val>
            <c:numRef>
              <c:f>'Tablero Oct'!$B$65:$C$65</c:f>
              <c:numCache>
                <c:formatCode>0%</c:formatCode>
                <c:ptCount val="2"/>
                <c:pt idx="0">
                  <c:v>0.3</c:v>
                </c:pt>
                <c:pt idx="1">
                  <c:v>0.7</c:v>
                </c:pt>
              </c:numCache>
            </c:numRef>
          </c:val>
          <c:extLst>
            <c:ext xmlns:c16="http://schemas.microsoft.com/office/drawing/2014/chart" uri="{C3380CC4-5D6E-409C-BE32-E72D297353CC}">
              <c16:uniqueId val="{0000002D-855F-49C4-B4B0-8B5BE9A65C9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B6F-4DDA-990B-178CE1423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6F-4DDA-990B-178CE1423BB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B6F-4DDA-990B-178CE1423BB4}"/>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B6F-4DDA-990B-178CE1423BB4}"/>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B6F-4DDA-990B-178CE1423BB4}"/>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B6F-4DDA-990B-178CE1423BB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B6F-4DDA-990B-178CE1423BB4}"/>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B6F-4DDA-990B-178CE1423BB4}"/>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B6F-4DDA-990B-178CE1423BB4}"/>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B6F-4DDA-990B-178CE1423BB4}"/>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B6F-4DDA-990B-178CE1423BB4}"/>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B6F-4DDA-990B-178CE1423BB4}"/>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B6F-4DDA-990B-178CE1423BB4}"/>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B6F-4DDA-990B-178CE1423BB4}"/>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B6F-4DDA-990B-178CE1423BB4}"/>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B6F-4DDA-990B-178CE1423BB4}"/>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B6F-4DDA-990B-178CE1423BB4}"/>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B6F-4DDA-990B-178CE1423BB4}"/>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B6F-4DDA-990B-178CE1423BB4}"/>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B6F-4DDA-990B-178CE1423BB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B6F-4DDA-990B-178CE1423BB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Oct'!$A$71</c:f>
              <c:strCache>
                <c:ptCount val="1"/>
                <c:pt idx="0">
                  <c:v>Estrategia y Planificación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B6F-4DDA-990B-178CE1423BB4}"/>
              </c:ext>
            </c:extLst>
          </c:dPt>
          <c:dPt>
            <c:idx val="1"/>
            <c:bubble3D val="0"/>
            <c:spPr>
              <a:noFill/>
              <a:ln w="19050">
                <a:solidFill>
                  <a:schemeClr val="lt1"/>
                </a:solidFill>
              </a:ln>
              <a:effectLst/>
            </c:spPr>
            <c:extLst>
              <c:ext xmlns:c16="http://schemas.microsoft.com/office/drawing/2014/chart" uri="{C3380CC4-5D6E-409C-BE32-E72D297353CC}">
                <c16:uniqueId val="{0000002C-DB6F-4DDA-990B-178CE1423BB4}"/>
              </c:ext>
            </c:extLst>
          </c:dPt>
          <c:val>
            <c:numRef>
              <c:f>'Tablero Oct'!$B$71:$C$71</c:f>
              <c:numCache>
                <c:formatCode>0%</c:formatCode>
                <c:ptCount val="2"/>
                <c:pt idx="0">
                  <c:v>0.76</c:v>
                </c:pt>
                <c:pt idx="1">
                  <c:v>0.24</c:v>
                </c:pt>
              </c:numCache>
            </c:numRef>
          </c:val>
          <c:extLst>
            <c:ext xmlns:c16="http://schemas.microsoft.com/office/drawing/2014/chart" uri="{C3380CC4-5D6E-409C-BE32-E72D297353CC}">
              <c16:uniqueId val="{0000002D-DB6F-4DDA-990B-178CE1423BB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952-4339-9220-1D2DA1FEDD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52-4339-9220-1D2DA1FEDD7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A952-4339-9220-1D2DA1FEDD7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A952-4339-9220-1D2DA1FEDD7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A952-4339-9220-1D2DA1FEDD7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A952-4339-9220-1D2DA1FEDD7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952-4339-9220-1D2DA1FEDD7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A952-4339-9220-1D2DA1FEDD7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A952-4339-9220-1D2DA1FEDD7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A952-4339-9220-1D2DA1FEDD7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A952-4339-9220-1D2DA1FEDD7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A952-4339-9220-1D2DA1FEDD7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A952-4339-9220-1D2DA1FEDD7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A952-4339-9220-1D2DA1FEDD7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A952-4339-9220-1D2DA1FEDD7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A952-4339-9220-1D2DA1FEDD7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A952-4339-9220-1D2DA1FEDD7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A952-4339-9220-1D2DA1FEDD7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A952-4339-9220-1D2DA1FEDD7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A952-4339-9220-1D2DA1FEDD7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952-4339-9220-1D2DA1FEDD7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Oct'!$A$72</c:f>
              <c:strCache>
                <c:ptCount val="1"/>
                <c:pt idx="0">
                  <c:v>Liderazgo y Gestión del Equipo Comercial</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952-4339-9220-1D2DA1FEDD7D}"/>
              </c:ext>
            </c:extLst>
          </c:dPt>
          <c:dPt>
            <c:idx val="1"/>
            <c:bubble3D val="0"/>
            <c:spPr>
              <a:noFill/>
              <a:ln w="19050">
                <a:solidFill>
                  <a:schemeClr val="lt1"/>
                </a:solidFill>
              </a:ln>
              <a:effectLst/>
            </c:spPr>
            <c:extLst>
              <c:ext xmlns:c16="http://schemas.microsoft.com/office/drawing/2014/chart" uri="{C3380CC4-5D6E-409C-BE32-E72D297353CC}">
                <c16:uniqueId val="{0000002C-A952-4339-9220-1D2DA1FEDD7D}"/>
              </c:ext>
            </c:extLst>
          </c:dPt>
          <c:val>
            <c:numRef>
              <c:f>'Tablero Oct'!$B$72:$C$72</c:f>
              <c:numCache>
                <c:formatCode>0%</c:formatCode>
                <c:ptCount val="2"/>
                <c:pt idx="0">
                  <c:v>0.77</c:v>
                </c:pt>
                <c:pt idx="1">
                  <c:v>0.23</c:v>
                </c:pt>
              </c:numCache>
            </c:numRef>
          </c:val>
          <c:extLst>
            <c:ext xmlns:c16="http://schemas.microsoft.com/office/drawing/2014/chart" uri="{C3380CC4-5D6E-409C-BE32-E72D297353CC}">
              <c16:uniqueId val="{0000002D-A952-4339-9220-1D2DA1FEDD7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6FF-47F1-9ABD-039530BE07B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6FF-47F1-9ABD-039530BE07B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6FF-47F1-9ABD-039530BE07B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6FF-47F1-9ABD-039530BE07B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6FF-47F1-9ABD-039530BE07B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6FF-47F1-9ABD-039530BE07B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6FF-47F1-9ABD-039530BE07B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6FF-47F1-9ABD-039530BE07B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6FF-47F1-9ABD-039530BE07B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6FF-47F1-9ABD-039530BE07B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6FF-47F1-9ABD-039530BE07B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6FF-47F1-9ABD-039530BE07B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6FF-47F1-9ABD-039530BE07B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6FF-47F1-9ABD-039530BE07B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6FF-47F1-9ABD-039530BE07B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6FF-47F1-9ABD-039530BE07B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6FF-47F1-9ABD-039530BE07B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6FF-47F1-9ABD-039530BE07B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6FF-47F1-9ABD-039530BE07B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6FF-47F1-9ABD-039530BE07B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6FF-47F1-9ABD-039530BE07B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Oct'!$A$66</c:f>
              <c:strCache>
                <c:ptCount val="1"/>
                <c:pt idx="0">
                  <c:v>Liderazgo y Gestión del Equipo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6FF-47F1-9ABD-039530BE07B6}"/>
              </c:ext>
            </c:extLst>
          </c:dPt>
          <c:dPt>
            <c:idx val="1"/>
            <c:bubble3D val="0"/>
            <c:spPr>
              <a:noFill/>
              <a:ln w="19050">
                <a:solidFill>
                  <a:schemeClr val="lt1"/>
                </a:solidFill>
              </a:ln>
              <a:effectLst/>
            </c:spPr>
            <c:extLst>
              <c:ext xmlns:c16="http://schemas.microsoft.com/office/drawing/2014/chart" uri="{C3380CC4-5D6E-409C-BE32-E72D297353CC}">
                <c16:uniqueId val="{0000002C-86FF-47F1-9ABD-039530BE07B6}"/>
              </c:ext>
            </c:extLst>
          </c:dPt>
          <c:val>
            <c:numRef>
              <c:f>'Tablero Oct'!$B$66:$C$66</c:f>
              <c:numCache>
                <c:formatCode>0%</c:formatCode>
                <c:ptCount val="2"/>
                <c:pt idx="0">
                  <c:v>0.3</c:v>
                </c:pt>
                <c:pt idx="1">
                  <c:v>0.7</c:v>
                </c:pt>
              </c:numCache>
            </c:numRef>
          </c:val>
          <c:extLst>
            <c:ext xmlns:c16="http://schemas.microsoft.com/office/drawing/2014/chart" uri="{C3380CC4-5D6E-409C-BE32-E72D297353CC}">
              <c16:uniqueId val="{0000002D-86FF-47F1-9ABD-039530BE07B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498212813795549"/>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D62E-4965-A03E-95C84693A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2E-4965-A03E-95C84693A98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D62E-4965-A03E-95C84693A98E}"/>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D62E-4965-A03E-95C84693A98E}"/>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D62E-4965-A03E-95C84693A98E}"/>
              </c:ext>
            </c:extLst>
          </c:dPt>
          <c:dPt>
            <c:idx val="5"/>
            <c:bubble3D val="0"/>
            <c:spPr>
              <a:noFill/>
              <a:ln w="19050">
                <a:solidFill>
                  <a:schemeClr val="lt1"/>
                </a:solidFill>
              </a:ln>
              <a:effectLst/>
            </c:spPr>
            <c:extLst>
              <c:ext xmlns:c16="http://schemas.microsoft.com/office/drawing/2014/chart" uri="{C3380CC4-5D6E-409C-BE32-E72D297353CC}">
                <c16:uniqueId val="{0000000B-D62E-4965-A03E-95C84693A98E}"/>
              </c:ext>
            </c:extLst>
          </c:dPt>
          <c:val>
            <c:numRef>
              <c:f>'Tablero Oct'!$F$64:$F$69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D62E-4965-A03E-95C84693A98E}"/>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D62E-4965-A03E-95C84693A98E}"/>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D62E-4965-A03E-95C84693A98E}"/>
              </c:ext>
            </c:extLst>
          </c:dPt>
          <c:dPt>
            <c:idx val="2"/>
            <c:bubble3D val="0"/>
            <c:spPr>
              <a:noFill/>
              <a:ln w="19050">
                <a:solidFill>
                  <a:schemeClr val="lt1"/>
                </a:solidFill>
              </a:ln>
              <a:effectLst/>
            </c:spPr>
            <c:extLst>
              <c:ext xmlns:c16="http://schemas.microsoft.com/office/drawing/2014/chart" uri="{C3380CC4-5D6E-409C-BE32-E72D297353CC}">
                <c16:uniqueId val="{00000012-D62E-4965-A03E-95C84693A98E}"/>
              </c:ext>
            </c:extLst>
          </c:dPt>
          <c:val>
            <c:numRef>
              <c:f>'Tablero Oct'!$F$73:$F$75</c:f>
              <c:numCache>
                <c:formatCode>General</c:formatCode>
                <c:ptCount val="3"/>
                <c:pt idx="0">
                  <c:v>78.5</c:v>
                </c:pt>
                <c:pt idx="1">
                  <c:v>3</c:v>
                </c:pt>
                <c:pt idx="2">
                  <c:v>118.5</c:v>
                </c:pt>
              </c:numCache>
            </c:numRef>
          </c:val>
          <c:extLst>
            <c:ext xmlns:c16="http://schemas.microsoft.com/office/drawing/2014/chart" uri="{C3380CC4-5D6E-409C-BE32-E72D297353CC}">
              <c16:uniqueId val="{00000013-D62E-4965-A03E-95C84693A9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042-446A-9D5B-8867831F5E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42-446A-9D5B-8867831F5E5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042-446A-9D5B-8867831F5E54}"/>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042-446A-9D5B-8867831F5E54}"/>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042-446A-9D5B-8867831F5E54}"/>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042-446A-9D5B-8867831F5E5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042-446A-9D5B-8867831F5E54}"/>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042-446A-9D5B-8867831F5E54}"/>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042-446A-9D5B-8867831F5E54}"/>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042-446A-9D5B-8867831F5E54}"/>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042-446A-9D5B-8867831F5E54}"/>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042-446A-9D5B-8867831F5E54}"/>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042-446A-9D5B-8867831F5E54}"/>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042-446A-9D5B-8867831F5E54}"/>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042-446A-9D5B-8867831F5E54}"/>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042-446A-9D5B-8867831F5E54}"/>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042-446A-9D5B-8867831F5E54}"/>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042-446A-9D5B-8867831F5E54}"/>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042-446A-9D5B-8867831F5E54}"/>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042-446A-9D5B-8867831F5E5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042-446A-9D5B-8867831F5E5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Oct'!$A$73</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042-446A-9D5B-8867831F5E54}"/>
              </c:ext>
            </c:extLst>
          </c:dPt>
          <c:dPt>
            <c:idx val="1"/>
            <c:bubble3D val="0"/>
            <c:spPr>
              <a:noFill/>
              <a:ln w="19050">
                <a:solidFill>
                  <a:schemeClr val="lt1"/>
                </a:solidFill>
              </a:ln>
              <a:effectLst/>
            </c:spPr>
            <c:extLst>
              <c:ext xmlns:c16="http://schemas.microsoft.com/office/drawing/2014/chart" uri="{C3380CC4-5D6E-409C-BE32-E72D297353CC}">
                <c16:uniqueId val="{0000002C-1042-446A-9D5B-8867831F5E54}"/>
              </c:ext>
            </c:extLst>
          </c:dPt>
          <c:val>
            <c:numRef>
              <c:f>'Tablero Oct'!$B$73:$C$73</c:f>
              <c:numCache>
                <c:formatCode>0%</c:formatCode>
                <c:ptCount val="2"/>
                <c:pt idx="0">
                  <c:v>0.82</c:v>
                </c:pt>
                <c:pt idx="1">
                  <c:v>0.18</c:v>
                </c:pt>
              </c:numCache>
            </c:numRef>
          </c:val>
          <c:extLst>
            <c:ext xmlns:c16="http://schemas.microsoft.com/office/drawing/2014/chart" uri="{C3380CC4-5D6E-409C-BE32-E72D297353CC}">
              <c16:uniqueId val="{0000002D-1042-446A-9D5B-8867831F5E5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3849-4DAB-ADB4-C4BF33D01DB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3849-4DAB-ADB4-C4BF33D01DB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3849-4DAB-ADB4-C4BF33D01DB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3849-4DAB-ADB4-C4BF33D01DB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3849-4DAB-ADB4-C4BF33D01DB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3849-4DAB-ADB4-C4BF33D01DB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3849-4DAB-ADB4-C4BF33D01DB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3849-4DAB-ADB4-C4BF33D01DB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3849-4DAB-ADB4-C4BF33D01DB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3849-4DAB-ADB4-C4BF33D01DB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3849-4DAB-ADB4-C4BF33D01DB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3849-4DAB-ADB4-C4BF33D01DB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3849-4DAB-ADB4-C4BF33D01DB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3849-4DAB-ADB4-C4BF33D01DB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3849-4DAB-ADB4-C4BF33D01DB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3849-4DAB-ADB4-C4BF33D01DB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3849-4DAB-ADB4-C4BF33D01DB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3849-4DAB-ADB4-C4BF33D01DB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3849-4DAB-ADB4-C4BF33D01DB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3849-4DAB-ADB4-C4BF33D01DB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849-4DAB-ADB4-C4BF33D01DB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Oct'!$A$67</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849-4DAB-ADB4-C4BF33D01DBB}"/>
              </c:ext>
            </c:extLst>
          </c:dPt>
          <c:dPt>
            <c:idx val="1"/>
            <c:bubble3D val="0"/>
            <c:spPr>
              <a:noFill/>
              <a:ln w="19050">
                <a:solidFill>
                  <a:schemeClr val="lt1"/>
                </a:solidFill>
              </a:ln>
              <a:effectLst/>
            </c:spPr>
            <c:extLst>
              <c:ext xmlns:c16="http://schemas.microsoft.com/office/drawing/2014/chart" uri="{C3380CC4-5D6E-409C-BE32-E72D297353CC}">
                <c16:uniqueId val="{0000002C-3849-4DAB-ADB4-C4BF33D01DBB}"/>
              </c:ext>
            </c:extLst>
          </c:dPt>
          <c:val>
            <c:numRef>
              <c:f>'Tablero Oct'!$B$67:$C$67</c:f>
              <c:numCache>
                <c:formatCode>0%</c:formatCode>
                <c:ptCount val="2"/>
                <c:pt idx="0">
                  <c:v>0.3</c:v>
                </c:pt>
                <c:pt idx="1">
                  <c:v>0.7</c:v>
                </c:pt>
              </c:numCache>
            </c:numRef>
          </c:val>
          <c:extLst>
            <c:ext xmlns:c16="http://schemas.microsoft.com/office/drawing/2014/chart" uri="{C3380CC4-5D6E-409C-BE32-E72D297353CC}">
              <c16:uniqueId val="{0000002D-3849-4DAB-ADB4-C4BF33D01DB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578-4AC7-8D07-A1D7AB66C15A}"/>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578-4AC7-8D07-A1D7AB66C15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578-4AC7-8D07-A1D7AB66C15A}"/>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578-4AC7-8D07-A1D7AB66C15A}"/>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578-4AC7-8D07-A1D7AB66C15A}"/>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578-4AC7-8D07-A1D7AB66C15A}"/>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578-4AC7-8D07-A1D7AB66C15A}"/>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578-4AC7-8D07-A1D7AB66C15A}"/>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578-4AC7-8D07-A1D7AB66C15A}"/>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578-4AC7-8D07-A1D7AB66C15A}"/>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578-4AC7-8D07-A1D7AB66C15A}"/>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578-4AC7-8D07-A1D7AB66C15A}"/>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578-4AC7-8D07-A1D7AB66C15A}"/>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578-4AC7-8D07-A1D7AB66C15A}"/>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578-4AC7-8D07-A1D7AB66C15A}"/>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578-4AC7-8D07-A1D7AB66C15A}"/>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578-4AC7-8D07-A1D7AB66C15A}"/>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578-4AC7-8D07-A1D7AB66C15A}"/>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578-4AC7-8D07-A1D7AB66C15A}"/>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578-4AC7-8D07-A1D7AB66C15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578-4AC7-8D07-A1D7AB66C15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Oct'!$A$68</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578-4AC7-8D07-A1D7AB66C15A}"/>
              </c:ext>
            </c:extLst>
          </c:dPt>
          <c:dPt>
            <c:idx val="1"/>
            <c:bubble3D val="0"/>
            <c:spPr>
              <a:noFill/>
              <a:ln w="19050">
                <a:solidFill>
                  <a:schemeClr val="lt1"/>
                </a:solidFill>
              </a:ln>
              <a:effectLst/>
            </c:spPr>
            <c:extLst>
              <c:ext xmlns:c16="http://schemas.microsoft.com/office/drawing/2014/chart" uri="{C3380CC4-5D6E-409C-BE32-E72D297353CC}">
                <c16:uniqueId val="{0000002C-2578-4AC7-8D07-A1D7AB66C15A}"/>
              </c:ext>
            </c:extLst>
          </c:dPt>
          <c:val>
            <c:numRef>
              <c:f>'Tablero Oct'!$B$68:$C$68</c:f>
              <c:numCache>
                <c:formatCode>0%</c:formatCode>
                <c:ptCount val="2"/>
                <c:pt idx="0">
                  <c:v>0.1</c:v>
                </c:pt>
                <c:pt idx="1">
                  <c:v>0.9</c:v>
                </c:pt>
              </c:numCache>
            </c:numRef>
          </c:val>
          <c:extLst>
            <c:ext xmlns:c16="http://schemas.microsoft.com/office/drawing/2014/chart" uri="{C3380CC4-5D6E-409C-BE32-E72D297353CC}">
              <c16:uniqueId val="{0000002D-2578-4AC7-8D07-A1D7AB66C15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805-407F-99B2-86A90161FA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05-407F-99B2-86A90161FA6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805-407F-99B2-86A90161FA6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E805-407F-99B2-86A90161FA6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E805-407F-99B2-86A90161FA6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E805-407F-99B2-86A90161FA6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E805-407F-99B2-86A90161FA6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E805-407F-99B2-86A90161FA6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E805-407F-99B2-86A90161FA6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E805-407F-99B2-86A90161FA6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E805-407F-99B2-86A90161FA6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E805-407F-99B2-86A90161FA6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E805-407F-99B2-86A90161FA6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E805-407F-99B2-86A90161FA6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E805-407F-99B2-86A90161FA6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E805-407F-99B2-86A90161FA6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E805-407F-99B2-86A90161FA6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E805-407F-99B2-86A90161FA6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E805-407F-99B2-86A90161FA6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E805-407F-99B2-86A90161FA6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805-407F-99B2-86A90161FA6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Oct'!$A$74</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805-407F-99B2-86A90161FA6D}"/>
              </c:ext>
            </c:extLst>
          </c:dPt>
          <c:dPt>
            <c:idx val="1"/>
            <c:bubble3D val="0"/>
            <c:spPr>
              <a:noFill/>
              <a:ln w="19050">
                <a:solidFill>
                  <a:schemeClr val="lt1"/>
                </a:solidFill>
              </a:ln>
              <a:effectLst/>
            </c:spPr>
            <c:extLst>
              <c:ext xmlns:c16="http://schemas.microsoft.com/office/drawing/2014/chart" uri="{C3380CC4-5D6E-409C-BE32-E72D297353CC}">
                <c16:uniqueId val="{0000002C-E805-407F-99B2-86A90161FA6D}"/>
              </c:ext>
            </c:extLst>
          </c:dPt>
          <c:val>
            <c:numRef>
              <c:f>'Tablero Oct'!$B$74:$C$74</c:f>
              <c:numCache>
                <c:formatCode>0%</c:formatCode>
                <c:ptCount val="2"/>
                <c:pt idx="0">
                  <c:v>0.95</c:v>
                </c:pt>
                <c:pt idx="1">
                  <c:v>0.05</c:v>
                </c:pt>
              </c:numCache>
            </c:numRef>
          </c:val>
          <c:extLst>
            <c:ext xmlns:c16="http://schemas.microsoft.com/office/drawing/2014/chart" uri="{C3380CC4-5D6E-409C-BE32-E72D297353CC}">
              <c16:uniqueId val="{0000002D-E805-407F-99B2-86A90161FA6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597-40B6-BA6B-442DC5C28F4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597-40B6-BA6B-442DC5C28F4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597-40B6-BA6B-442DC5C28F4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597-40B6-BA6B-442DC5C28F4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597-40B6-BA6B-442DC5C28F4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597-40B6-BA6B-442DC5C28F4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597-40B6-BA6B-442DC5C28F4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597-40B6-BA6B-442DC5C28F4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597-40B6-BA6B-442DC5C28F4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597-40B6-BA6B-442DC5C28F4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597-40B6-BA6B-442DC5C28F4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597-40B6-BA6B-442DC5C28F4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597-40B6-BA6B-442DC5C28F4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597-40B6-BA6B-442DC5C28F4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597-40B6-BA6B-442DC5C28F4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597-40B6-BA6B-442DC5C28F4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597-40B6-BA6B-442DC5C28F4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597-40B6-BA6B-442DC5C28F4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597-40B6-BA6B-442DC5C28F4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597-40B6-BA6B-442DC5C28F4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597-40B6-BA6B-442DC5C28F4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Oct'!$A$79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597-40B6-BA6B-442DC5C28F4F}"/>
              </c:ext>
            </c:extLst>
          </c:dPt>
          <c:dPt>
            <c:idx val="1"/>
            <c:bubble3D val="0"/>
            <c:spPr>
              <a:noFill/>
              <a:ln w="19050">
                <a:solidFill>
                  <a:schemeClr val="lt1"/>
                </a:solidFill>
              </a:ln>
              <a:effectLst/>
            </c:spPr>
            <c:extLst>
              <c:ext xmlns:c16="http://schemas.microsoft.com/office/drawing/2014/chart" uri="{C3380CC4-5D6E-409C-BE32-E72D297353CC}">
                <c16:uniqueId val="{0000002C-0597-40B6-BA6B-442DC5C28F4F}"/>
              </c:ext>
            </c:extLst>
          </c:dPt>
          <c:val>
            <c:numRef>
              <c:f>'Tablero Oct'!$B$79:$C$79</c:f>
              <c:numCache>
                <c:formatCode>0%</c:formatCode>
                <c:ptCount val="2"/>
                <c:pt idx="0">
                  <c:v>0.6</c:v>
                </c:pt>
                <c:pt idx="1">
                  <c:v>0.4</c:v>
                </c:pt>
              </c:numCache>
            </c:numRef>
          </c:val>
          <c:extLst>
            <c:ext xmlns:c16="http://schemas.microsoft.com/office/drawing/2014/chart" uri="{C3380CC4-5D6E-409C-BE32-E72D297353CC}">
              <c16:uniqueId val="{0000002D-0597-40B6-BA6B-442DC5C28F4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41E-4866-9574-9FBB68B88A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1E-4866-9574-9FBB68B88AB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41E-4866-9574-9FBB68B88AB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641E-4866-9574-9FBB68B88AB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641E-4866-9574-9FBB68B88AB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641E-4866-9574-9FBB68B88AB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641E-4866-9574-9FBB68B88AB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641E-4866-9574-9FBB68B88AB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641E-4866-9574-9FBB68B88AB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641E-4866-9574-9FBB68B88AB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641E-4866-9574-9FBB68B88AB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641E-4866-9574-9FBB68B88AB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641E-4866-9574-9FBB68B88AB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641E-4866-9574-9FBB68B88AB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641E-4866-9574-9FBB68B88AB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641E-4866-9574-9FBB68B88AB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641E-4866-9574-9FBB68B88AB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641E-4866-9574-9FBB68B88AB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641E-4866-9574-9FBB68B88AB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641E-4866-9574-9FBB68B88AB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41E-4866-9574-9FBB68B88AB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Oct'!$A$85</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41E-4866-9574-9FBB68B88AB9}"/>
              </c:ext>
            </c:extLst>
          </c:dPt>
          <c:dPt>
            <c:idx val="1"/>
            <c:bubble3D val="0"/>
            <c:spPr>
              <a:noFill/>
              <a:ln w="19050">
                <a:solidFill>
                  <a:schemeClr val="lt1"/>
                </a:solidFill>
              </a:ln>
              <a:effectLst/>
            </c:spPr>
            <c:extLst>
              <c:ext xmlns:c16="http://schemas.microsoft.com/office/drawing/2014/chart" uri="{C3380CC4-5D6E-409C-BE32-E72D297353CC}">
                <c16:uniqueId val="{0000002C-641E-4866-9574-9FBB68B88AB9}"/>
              </c:ext>
            </c:extLst>
          </c:dPt>
          <c:val>
            <c:numRef>
              <c:f>'Tablero Oct'!$B$85:$C$85</c:f>
              <c:numCache>
                <c:formatCode>0%</c:formatCode>
                <c:ptCount val="2"/>
                <c:pt idx="0">
                  <c:v>0.6</c:v>
                </c:pt>
                <c:pt idx="1">
                  <c:v>0.4</c:v>
                </c:pt>
              </c:numCache>
            </c:numRef>
          </c:val>
          <c:extLst>
            <c:ext xmlns:c16="http://schemas.microsoft.com/office/drawing/2014/chart" uri="{C3380CC4-5D6E-409C-BE32-E72D297353CC}">
              <c16:uniqueId val="{0000002D-641E-4866-9574-9FBB68B88AB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46D-4071-9F42-FDE7744F22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6D-4071-9F42-FDE7744F22A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46D-4071-9F42-FDE7744F22A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46D-4071-9F42-FDE7744F22A0}"/>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46D-4071-9F42-FDE7744F22A0}"/>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F46D-4071-9F42-FDE7744F22A0}"/>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F46D-4071-9F42-FDE7744F22A0}"/>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F46D-4071-9F42-FDE7744F22A0}"/>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F46D-4071-9F42-FDE7744F22A0}"/>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F46D-4071-9F42-FDE7744F22A0}"/>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F46D-4071-9F42-FDE7744F22A0}"/>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F46D-4071-9F42-FDE7744F22A0}"/>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46D-4071-9F42-FDE7744F22A0}"/>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F46D-4071-9F42-FDE7744F22A0}"/>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F46D-4071-9F42-FDE7744F22A0}"/>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F46D-4071-9F42-FDE7744F22A0}"/>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F46D-4071-9F42-FDE7744F22A0}"/>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F46D-4071-9F42-FDE7744F22A0}"/>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F46D-4071-9F42-FDE7744F22A0}"/>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F46D-4071-9F42-FDE7744F22A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46D-4071-9F42-FDE7744F22A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Oct'!$A$86</c:f>
              <c:strCache>
                <c:ptCount val="1"/>
                <c:pt idx="0">
                  <c:v>Formalización Post-Cierre</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46D-4071-9F42-FDE7744F22A0}"/>
              </c:ext>
            </c:extLst>
          </c:dPt>
          <c:dPt>
            <c:idx val="1"/>
            <c:bubble3D val="0"/>
            <c:spPr>
              <a:noFill/>
              <a:ln w="19050">
                <a:solidFill>
                  <a:schemeClr val="lt1"/>
                </a:solidFill>
              </a:ln>
              <a:effectLst/>
            </c:spPr>
            <c:extLst>
              <c:ext xmlns:c16="http://schemas.microsoft.com/office/drawing/2014/chart" uri="{C3380CC4-5D6E-409C-BE32-E72D297353CC}">
                <c16:uniqueId val="{0000002C-F46D-4071-9F42-FDE7744F22A0}"/>
              </c:ext>
            </c:extLst>
          </c:dPt>
          <c:val>
            <c:numRef>
              <c:f>'Tablero Oct'!$B$86:$C$86</c:f>
              <c:numCache>
                <c:formatCode>0%</c:formatCode>
                <c:ptCount val="2"/>
                <c:pt idx="0">
                  <c:v>0</c:v>
                </c:pt>
                <c:pt idx="1">
                  <c:v>0</c:v>
                </c:pt>
              </c:numCache>
            </c:numRef>
          </c:val>
          <c:extLst>
            <c:ext xmlns:c16="http://schemas.microsoft.com/office/drawing/2014/chart" uri="{C3380CC4-5D6E-409C-BE32-E72D297353CC}">
              <c16:uniqueId val="{0000002D-F46D-4071-9F42-FDE7744F22A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43E-4FCB-85B7-090E12806CF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43E-4FCB-85B7-090E12806CF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43E-4FCB-85B7-090E12806CF3}"/>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43E-4FCB-85B7-090E12806CF3}"/>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43E-4FCB-85B7-090E12806CF3}"/>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43E-4FCB-85B7-090E12806CF3}"/>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43E-4FCB-85B7-090E12806CF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43E-4FCB-85B7-090E12806CF3}"/>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43E-4FCB-85B7-090E12806CF3}"/>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43E-4FCB-85B7-090E12806CF3}"/>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43E-4FCB-85B7-090E12806CF3}"/>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43E-4FCB-85B7-090E12806CF3}"/>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43E-4FCB-85B7-090E12806CF3}"/>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43E-4FCB-85B7-090E12806CF3}"/>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43E-4FCB-85B7-090E12806CF3}"/>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43E-4FCB-85B7-090E12806CF3}"/>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43E-4FCB-85B7-090E12806CF3}"/>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43E-4FCB-85B7-090E12806CF3}"/>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43E-4FCB-85B7-090E12806CF3}"/>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43E-4FCB-85B7-090E12806CF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43E-4FCB-85B7-090E12806CF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Oct'!$A$80</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43E-4FCB-85B7-090E12806CF3}"/>
              </c:ext>
            </c:extLst>
          </c:dPt>
          <c:dPt>
            <c:idx val="1"/>
            <c:bubble3D val="0"/>
            <c:spPr>
              <a:noFill/>
              <a:ln w="19050">
                <a:solidFill>
                  <a:schemeClr val="lt1"/>
                </a:solidFill>
              </a:ln>
              <a:effectLst/>
            </c:spPr>
            <c:extLst>
              <c:ext xmlns:c16="http://schemas.microsoft.com/office/drawing/2014/chart" uri="{C3380CC4-5D6E-409C-BE32-E72D297353CC}">
                <c16:uniqueId val="{0000002C-D43E-4FCB-85B7-090E12806CF3}"/>
              </c:ext>
            </c:extLst>
          </c:dPt>
          <c:val>
            <c:numRef>
              <c:f>'Tablero Oct'!$B$80:$C$80</c:f>
              <c:numCache>
                <c:formatCode>0%</c:formatCode>
                <c:ptCount val="2"/>
                <c:pt idx="0">
                  <c:v>0</c:v>
                </c:pt>
                <c:pt idx="1">
                  <c:v>0</c:v>
                </c:pt>
              </c:numCache>
            </c:numRef>
          </c:val>
          <c:extLst>
            <c:ext xmlns:c16="http://schemas.microsoft.com/office/drawing/2014/chart" uri="{C3380CC4-5D6E-409C-BE32-E72D297353CC}">
              <c16:uniqueId val="{0000002D-D43E-4FCB-85B7-090E12806CF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490-4520-9FD7-B0120B00B0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90-4520-9FD7-B0120B00B0E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490-4520-9FD7-B0120B00B0E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E490-4520-9FD7-B0120B00B0E0}"/>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E490-4520-9FD7-B0120B00B0E0}"/>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E490-4520-9FD7-B0120B00B0E0}"/>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E490-4520-9FD7-B0120B00B0E0}"/>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E490-4520-9FD7-B0120B00B0E0}"/>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E490-4520-9FD7-B0120B00B0E0}"/>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E490-4520-9FD7-B0120B00B0E0}"/>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E490-4520-9FD7-B0120B00B0E0}"/>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E490-4520-9FD7-B0120B00B0E0}"/>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E490-4520-9FD7-B0120B00B0E0}"/>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E490-4520-9FD7-B0120B00B0E0}"/>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E490-4520-9FD7-B0120B00B0E0}"/>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E490-4520-9FD7-B0120B00B0E0}"/>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E490-4520-9FD7-B0120B00B0E0}"/>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E490-4520-9FD7-B0120B00B0E0}"/>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E490-4520-9FD7-B0120B00B0E0}"/>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E490-4520-9FD7-B0120B00B0E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490-4520-9FD7-B0120B00B0E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Oct'!$A$87</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490-4520-9FD7-B0120B00B0E0}"/>
              </c:ext>
            </c:extLst>
          </c:dPt>
          <c:dPt>
            <c:idx val="1"/>
            <c:bubble3D val="0"/>
            <c:spPr>
              <a:noFill/>
              <a:ln w="19050">
                <a:solidFill>
                  <a:schemeClr val="lt1"/>
                </a:solidFill>
              </a:ln>
              <a:effectLst/>
            </c:spPr>
            <c:extLst>
              <c:ext xmlns:c16="http://schemas.microsoft.com/office/drawing/2014/chart" uri="{C3380CC4-5D6E-409C-BE32-E72D297353CC}">
                <c16:uniqueId val="{0000002C-E490-4520-9FD7-B0120B00B0E0}"/>
              </c:ext>
            </c:extLst>
          </c:dPt>
          <c:val>
            <c:numRef>
              <c:f>'Tablero Oct'!$B$87:$C$87</c:f>
              <c:numCache>
                <c:formatCode>0%</c:formatCode>
                <c:ptCount val="2"/>
                <c:pt idx="0">
                  <c:v>0.79</c:v>
                </c:pt>
                <c:pt idx="1">
                  <c:v>0.21</c:v>
                </c:pt>
              </c:numCache>
            </c:numRef>
          </c:val>
          <c:extLst>
            <c:ext xmlns:c16="http://schemas.microsoft.com/office/drawing/2014/chart" uri="{C3380CC4-5D6E-409C-BE32-E72D297353CC}">
              <c16:uniqueId val="{0000002D-E490-4520-9FD7-B0120B00B0E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222-47B8-A64A-29D9DA86C29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222-47B8-A64A-29D9DA86C29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222-47B8-A64A-29D9DA86C29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222-47B8-A64A-29D9DA86C29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222-47B8-A64A-29D9DA86C29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222-47B8-A64A-29D9DA86C29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222-47B8-A64A-29D9DA86C29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222-47B8-A64A-29D9DA86C29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222-47B8-A64A-29D9DA86C29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222-47B8-A64A-29D9DA86C29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222-47B8-A64A-29D9DA86C29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222-47B8-A64A-29D9DA86C29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222-47B8-A64A-29D9DA86C29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222-47B8-A64A-29D9DA86C29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222-47B8-A64A-29D9DA86C29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222-47B8-A64A-29D9DA86C29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222-47B8-A64A-29D9DA86C29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222-47B8-A64A-29D9DA86C29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222-47B8-A64A-29D9DA86C29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222-47B8-A64A-29D9DA86C29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222-47B8-A64A-29D9DA86C29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Oct'!$A$81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222-47B8-A64A-29D9DA86C29F}"/>
              </c:ext>
            </c:extLst>
          </c:dPt>
          <c:dPt>
            <c:idx val="1"/>
            <c:bubble3D val="0"/>
            <c:spPr>
              <a:noFill/>
              <a:ln w="19050">
                <a:solidFill>
                  <a:schemeClr val="lt1"/>
                </a:solidFill>
              </a:ln>
              <a:effectLst/>
            </c:spPr>
            <c:extLst>
              <c:ext xmlns:c16="http://schemas.microsoft.com/office/drawing/2014/chart" uri="{C3380CC4-5D6E-409C-BE32-E72D297353CC}">
                <c16:uniqueId val="{0000002C-8222-47B8-A64A-29D9DA86C29F}"/>
              </c:ext>
            </c:extLst>
          </c:dPt>
          <c:val>
            <c:numRef>
              <c:f>'Tablero Oct'!$B$81:$C$81</c:f>
              <c:numCache>
                <c:formatCode>0%</c:formatCode>
                <c:ptCount val="2"/>
                <c:pt idx="0">
                  <c:v>0.4</c:v>
                </c:pt>
                <c:pt idx="1">
                  <c:v>0.6</c:v>
                </c:pt>
              </c:numCache>
            </c:numRef>
          </c:val>
          <c:extLst>
            <c:ext xmlns:c16="http://schemas.microsoft.com/office/drawing/2014/chart" uri="{C3380CC4-5D6E-409C-BE32-E72D297353CC}">
              <c16:uniqueId val="{0000002D-8222-47B8-A64A-29D9DA86C29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BA76-4418-B3CF-AA57F046751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A76-4418-B3CF-AA57F046751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BA76-4418-B3CF-AA57F046751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BA76-4418-B3CF-AA57F046751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BA76-4418-B3CF-AA57F046751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BA76-4418-B3CF-AA57F046751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BA76-4418-B3CF-AA57F046751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BA76-4418-B3CF-AA57F046751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BA76-4418-B3CF-AA57F046751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BA76-4418-B3CF-AA57F046751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BA76-4418-B3CF-AA57F046751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BA76-4418-B3CF-AA57F046751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BA76-4418-B3CF-AA57F046751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BA76-4418-B3CF-AA57F046751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BA76-4418-B3CF-AA57F046751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BA76-4418-B3CF-AA57F046751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BA76-4418-B3CF-AA57F046751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BA76-4418-B3CF-AA57F046751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BA76-4418-B3CF-AA57F046751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BA76-4418-B3CF-AA57F046751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A76-4418-B3CF-AA57F046751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Oct'!$A$93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A76-4418-B3CF-AA57F0467512}"/>
              </c:ext>
            </c:extLst>
          </c:dPt>
          <c:dPt>
            <c:idx val="1"/>
            <c:bubble3D val="0"/>
            <c:spPr>
              <a:noFill/>
              <a:ln w="19050">
                <a:solidFill>
                  <a:schemeClr val="lt1"/>
                </a:solidFill>
              </a:ln>
              <a:effectLst/>
            </c:spPr>
            <c:extLst>
              <c:ext xmlns:c16="http://schemas.microsoft.com/office/drawing/2014/chart" uri="{C3380CC4-5D6E-409C-BE32-E72D297353CC}">
                <c16:uniqueId val="{0000002C-BA76-4418-B3CF-AA57F0467512}"/>
              </c:ext>
            </c:extLst>
          </c:dPt>
          <c:val>
            <c:numRef>
              <c:f>'Tablero Oct'!$B$93:$C$93</c:f>
              <c:numCache>
                <c:formatCode>0%</c:formatCode>
                <c:ptCount val="2"/>
                <c:pt idx="0">
                  <c:v>0.6</c:v>
                </c:pt>
                <c:pt idx="1">
                  <c:v>0.4</c:v>
                </c:pt>
              </c:numCache>
            </c:numRef>
          </c:val>
          <c:extLst>
            <c:ext xmlns:c16="http://schemas.microsoft.com/office/drawing/2014/chart" uri="{C3380CC4-5D6E-409C-BE32-E72D297353CC}">
              <c16:uniqueId val="{0000002D-BA76-4418-B3CF-AA57F046751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7EA-4B94-A085-080C1CE477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EA-4B94-A085-080C1CE4776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7EA-4B94-A085-080C1CE4776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7EA-4B94-A085-080C1CE4776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7EA-4B94-A085-080C1CE4776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57EA-4B94-A085-080C1CE4776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57EA-4B94-A085-080C1CE4776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57EA-4B94-A085-080C1CE4776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57EA-4B94-A085-080C1CE4776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57EA-4B94-A085-080C1CE4776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57EA-4B94-A085-080C1CE4776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57EA-4B94-A085-080C1CE4776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57EA-4B94-A085-080C1CE4776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57EA-4B94-A085-080C1CE4776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57EA-4B94-A085-080C1CE4776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57EA-4B94-A085-080C1CE4776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57EA-4B94-A085-080C1CE4776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57EA-4B94-A085-080C1CE4776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57EA-4B94-A085-080C1CE4776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57EA-4B94-A085-080C1CE4776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7EA-4B94-A085-080C1CE4776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Oct'!$A$99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7EA-4B94-A085-080C1CE47763}"/>
              </c:ext>
            </c:extLst>
          </c:dPt>
          <c:dPt>
            <c:idx val="1"/>
            <c:bubble3D val="0"/>
            <c:spPr>
              <a:noFill/>
              <a:ln w="19050">
                <a:solidFill>
                  <a:schemeClr val="lt1"/>
                </a:solidFill>
              </a:ln>
              <a:effectLst/>
            </c:spPr>
            <c:extLst>
              <c:ext xmlns:c16="http://schemas.microsoft.com/office/drawing/2014/chart" uri="{C3380CC4-5D6E-409C-BE32-E72D297353CC}">
                <c16:uniqueId val="{0000002C-57EA-4B94-A085-080C1CE47763}"/>
              </c:ext>
            </c:extLst>
          </c:dPt>
          <c:val>
            <c:numRef>
              <c:f>'Tablero Oct'!$B$99:$C$99</c:f>
              <c:numCache>
                <c:formatCode>0%</c:formatCode>
                <c:ptCount val="2"/>
                <c:pt idx="0">
                  <c:v>0.74</c:v>
                </c:pt>
                <c:pt idx="1">
                  <c:v>0.26</c:v>
                </c:pt>
              </c:numCache>
            </c:numRef>
          </c:val>
          <c:extLst>
            <c:ext xmlns:c16="http://schemas.microsoft.com/office/drawing/2014/chart" uri="{C3380CC4-5D6E-409C-BE32-E72D297353CC}">
              <c16:uniqueId val="{0000002D-57EA-4B94-A085-080C1CE4776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85E-4EE4-9389-14B76242AE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5E-4EE4-9389-14B76242AEB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85E-4EE4-9389-14B76242AEB8}"/>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85E-4EE4-9389-14B76242AEB8}"/>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785E-4EE4-9389-14B76242AEB8}"/>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785E-4EE4-9389-14B76242AEB8}"/>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785E-4EE4-9389-14B76242AEB8}"/>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785E-4EE4-9389-14B76242AEB8}"/>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785E-4EE4-9389-14B76242AEB8}"/>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785E-4EE4-9389-14B76242AEB8}"/>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785E-4EE4-9389-14B76242AEB8}"/>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785E-4EE4-9389-14B76242AEB8}"/>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785E-4EE4-9389-14B76242AEB8}"/>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785E-4EE4-9389-14B76242AEB8}"/>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785E-4EE4-9389-14B76242AEB8}"/>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785E-4EE4-9389-14B76242AEB8}"/>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785E-4EE4-9389-14B76242AEB8}"/>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785E-4EE4-9389-14B76242AEB8}"/>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785E-4EE4-9389-14B76242AEB8}"/>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785E-4EE4-9389-14B76242AEB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85E-4EE4-9389-14B76242AEB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Oct'!$A$100</c:f>
              <c:strCache>
                <c:ptCount val="1"/>
                <c:pt idx="0">
                  <c:v>Relaciones y Servicio</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85E-4EE4-9389-14B76242AEB8}"/>
              </c:ext>
            </c:extLst>
          </c:dPt>
          <c:dPt>
            <c:idx val="1"/>
            <c:bubble3D val="0"/>
            <c:spPr>
              <a:noFill/>
              <a:ln w="19050">
                <a:solidFill>
                  <a:schemeClr val="lt1"/>
                </a:solidFill>
              </a:ln>
              <a:effectLst/>
            </c:spPr>
            <c:extLst>
              <c:ext xmlns:c16="http://schemas.microsoft.com/office/drawing/2014/chart" uri="{C3380CC4-5D6E-409C-BE32-E72D297353CC}">
                <c16:uniqueId val="{0000002C-785E-4EE4-9389-14B76242AEB8}"/>
              </c:ext>
            </c:extLst>
          </c:dPt>
          <c:val>
            <c:numRef>
              <c:f>'Tablero Oct'!$B$100:$C$100</c:f>
              <c:numCache>
                <c:formatCode>0%</c:formatCode>
                <c:ptCount val="2"/>
                <c:pt idx="0">
                  <c:v>0</c:v>
                </c:pt>
                <c:pt idx="1">
                  <c:v>0</c:v>
                </c:pt>
              </c:numCache>
            </c:numRef>
          </c:val>
          <c:extLst>
            <c:ext xmlns:c16="http://schemas.microsoft.com/office/drawing/2014/chart" uri="{C3380CC4-5D6E-409C-BE32-E72D297353CC}">
              <c16:uniqueId val="{0000002D-785E-4EE4-9389-14B76242AEB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9DB-4ABF-ADEE-A7FE58D1FE3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9DB-4ABF-ADEE-A7FE58D1FE3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79DB-4ABF-ADEE-A7FE58D1FE3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79DB-4ABF-ADEE-A7FE58D1FE3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9DB-4ABF-ADEE-A7FE58D1FE3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79DB-4ABF-ADEE-A7FE58D1FE3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79DB-4ABF-ADEE-A7FE58D1FE3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79DB-4ABF-ADEE-A7FE58D1FE3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79DB-4ABF-ADEE-A7FE58D1FE3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79DB-4ABF-ADEE-A7FE58D1FE3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79DB-4ABF-ADEE-A7FE58D1FE3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79DB-4ABF-ADEE-A7FE58D1FE3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79DB-4ABF-ADEE-A7FE58D1FE3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9DB-4ABF-ADEE-A7FE58D1FE3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9DB-4ABF-ADEE-A7FE58D1FE3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79DB-4ABF-ADEE-A7FE58D1FE3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79DB-4ABF-ADEE-A7FE58D1FE3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79DB-4ABF-ADEE-A7FE58D1FE3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79DB-4ABF-ADEE-A7FE58D1FE3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79DB-4ABF-ADEE-A7FE58D1FE3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9DB-4ABF-ADEE-A7FE58D1FE3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Oct'!$A$94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9DB-4ABF-ADEE-A7FE58D1FE30}"/>
              </c:ext>
            </c:extLst>
          </c:dPt>
          <c:dPt>
            <c:idx val="1"/>
            <c:bubble3D val="0"/>
            <c:spPr>
              <a:noFill/>
              <a:ln w="19050">
                <a:solidFill>
                  <a:schemeClr val="lt1"/>
                </a:solidFill>
              </a:ln>
              <a:effectLst/>
            </c:spPr>
            <c:extLst>
              <c:ext xmlns:c16="http://schemas.microsoft.com/office/drawing/2014/chart" uri="{C3380CC4-5D6E-409C-BE32-E72D297353CC}">
                <c16:uniqueId val="{0000002C-79DB-4ABF-ADEE-A7FE58D1FE30}"/>
              </c:ext>
            </c:extLst>
          </c:dPt>
          <c:val>
            <c:numRef>
              <c:f>'Tablero Oct'!$B$94:$C$94</c:f>
              <c:numCache>
                <c:formatCode>0%</c:formatCode>
                <c:ptCount val="2"/>
                <c:pt idx="0">
                  <c:v>0</c:v>
                </c:pt>
                <c:pt idx="1">
                  <c:v>0</c:v>
                </c:pt>
              </c:numCache>
            </c:numRef>
          </c:val>
          <c:extLst>
            <c:ext xmlns:c16="http://schemas.microsoft.com/office/drawing/2014/chart" uri="{C3380CC4-5D6E-409C-BE32-E72D297353CC}">
              <c16:uniqueId val="{0000002D-79DB-4ABF-ADEE-A7FE58D1FE3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E8F-4BEB-872B-413FD2AF81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8F-4BEB-872B-413FD2AF810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BE8F-4BEB-872B-413FD2AF810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BE8F-4BEB-872B-413FD2AF8100}"/>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BE8F-4BEB-872B-413FD2AF8100}"/>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BE8F-4BEB-872B-413FD2AF8100}"/>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BE8F-4BEB-872B-413FD2AF8100}"/>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BE8F-4BEB-872B-413FD2AF8100}"/>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BE8F-4BEB-872B-413FD2AF8100}"/>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BE8F-4BEB-872B-413FD2AF8100}"/>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BE8F-4BEB-872B-413FD2AF8100}"/>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BE8F-4BEB-872B-413FD2AF8100}"/>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BE8F-4BEB-872B-413FD2AF8100}"/>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BE8F-4BEB-872B-413FD2AF8100}"/>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BE8F-4BEB-872B-413FD2AF8100}"/>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BE8F-4BEB-872B-413FD2AF8100}"/>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BE8F-4BEB-872B-413FD2AF8100}"/>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BE8F-4BEB-872B-413FD2AF8100}"/>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BE8F-4BEB-872B-413FD2AF8100}"/>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BE8F-4BEB-872B-413FD2AF810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E8F-4BEB-872B-413FD2AF810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E8F-4BEB-872B-413FD2AF8100}"/>
              </c:ext>
            </c:extLst>
          </c:dPt>
          <c:dPt>
            <c:idx val="1"/>
            <c:bubble3D val="0"/>
            <c:spPr>
              <a:noFill/>
              <a:ln w="19050">
                <a:solidFill>
                  <a:schemeClr val="lt1"/>
                </a:solidFill>
              </a:ln>
              <a:effectLst/>
            </c:spPr>
            <c:extLst>
              <c:ext xmlns:c16="http://schemas.microsoft.com/office/drawing/2014/chart" uri="{C3380CC4-5D6E-409C-BE32-E72D297353CC}">
                <c16:uniqueId val="{0000002C-BE8F-4BEB-872B-413FD2AF8100}"/>
              </c:ext>
            </c:extLst>
          </c:dPt>
          <c:val>
            <c:numRef>
              <c:f>'Tablero Oct'!$B$101:$C$101</c:f>
              <c:numCache>
                <c:formatCode>0%</c:formatCode>
                <c:ptCount val="2"/>
                <c:pt idx="0">
                  <c:v>0.75</c:v>
                </c:pt>
                <c:pt idx="1">
                  <c:v>0.25</c:v>
                </c:pt>
              </c:numCache>
            </c:numRef>
          </c:val>
          <c:extLst>
            <c:ext xmlns:c16="http://schemas.microsoft.com/office/drawing/2014/chart" uri="{C3380CC4-5D6E-409C-BE32-E72D297353CC}">
              <c16:uniqueId val="{0000002D-BE8F-4BEB-872B-413FD2AF810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C6A-4AAA-BCE5-8296CADC7FA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C6A-4AAA-BCE5-8296CADC7FA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C6A-4AAA-BCE5-8296CADC7FA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C6A-4AAA-BCE5-8296CADC7FA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C6A-4AAA-BCE5-8296CADC7FA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C6A-4AAA-BCE5-8296CADC7FA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C6A-4AAA-BCE5-8296CADC7FA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C6A-4AAA-BCE5-8296CADC7FA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C6A-4AAA-BCE5-8296CADC7FA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C6A-4AAA-BCE5-8296CADC7FA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C6A-4AAA-BCE5-8296CADC7FA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C6A-4AAA-BCE5-8296CADC7FA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C6A-4AAA-BCE5-8296CADC7FA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C6A-4AAA-BCE5-8296CADC7FA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C6A-4AAA-BCE5-8296CADC7FA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C6A-4AAA-BCE5-8296CADC7FA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C6A-4AAA-BCE5-8296CADC7FA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C6A-4AAA-BCE5-8296CADC7FA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C6A-4AAA-BCE5-8296CADC7FA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C6A-4AAA-BCE5-8296CADC7FA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C6A-4AAA-BCE5-8296CADC7FA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Oct'!$A$95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C6A-4AAA-BCE5-8296CADC7FAB}"/>
              </c:ext>
            </c:extLst>
          </c:dPt>
          <c:dPt>
            <c:idx val="1"/>
            <c:bubble3D val="0"/>
            <c:spPr>
              <a:noFill/>
              <a:ln w="19050">
                <a:solidFill>
                  <a:schemeClr val="lt1"/>
                </a:solidFill>
              </a:ln>
              <a:effectLst/>
            </c:spPr>
            <c:extLst>
              <c:ext xmlns:c16="http://schemas.microsoft.com/office/drawing/2014/chart" uri="{C3380CC4-5D6E-409C-BE32-E72D297353CC}">
                <c16:uniqueId val="{0000002C-CC6A-4AAA-BCE5-8296CADC7FAB}"/>
              </c:ext>
            </c:extLst>
          </c:dPt>
          <c:val>
            <c:numRef>
              <c:f>'Tablero Oct'!$B$95:$C$95</c:f>
              <c:numCache>
                <c:formatCode>0%</c:formatCode>
                <c:ptCount val="2"/>
                <c:pt idx="0">
                  <c:v>0.4</c:v>
                </c:pt>
                <c:pt idx="1">
                  <c:v>0.6</c:v>
                </c:pt>
              </c:numCache>
            </c:numRef>
          </c:val>
          <c:extLst>
            <c:ext xmlns:c16="http://schemas.microsoft.com/office/drawing/2014/chart" uri="{C3380CC4-5D6E-409C-BE32-E72D297353CC}">
              <c16:uniqueId val="{0000002D-CC6A-4AAA-BCE5-8296CADC7FA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F41-4F09-B344-3DD0FE06F8C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F41-4F09-B344-3DD0FE06F8C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F41-4F09-B344-3DD0FE06F8C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F41-4F09-B344-3DD0FE06F8C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F41-4F09-B344-3DD0FE06F8C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F41-4F09-B344-3DD0FE06F8C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F41-4F09-B344-3DD0FE06F8C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F41-4F09-B344-3DD0FE06F8C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F41-4F09-B344-3DD0FE06F8C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F41-4F09-B344-3DD0FE06F8C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F41-4F09-B344-3DD0FE06F8C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F41-4F09-B344-3DD0FE06F8C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F41-4F09-B344-3DD0FE06F8C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F41-4F09-B344-3DD0FE06F8C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F41-4F09-B344-3DD0FE06F8C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F41-4F09-B344-3DD0FE06F8C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F41-4F09-B344-3DD0FE06F8C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F41-4F09-B344-3DD0FE06F8C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F41-4F09-B344-3DD0FE06F8C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F41-4F09-B344-3DD0FE06F8C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F41-4F09-B344-3DD0FE06F8C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Oct'!$A$107</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F41-4F09-B344-3DD0FE06F8C8}"/>
              </c:ext>
            </c:extLst>
          </c:dPt>
          <c:dPt>
            <c:idx val="1"/>
            <c:bubble3D val="0"/>
            <c:spPr>
              <a:noFill/>
              <a:ln w="19050">
                <a:solidFill>
                  <a:schemeClr val="lt1"/>
                </a:solidFill>
              </a:ln>
              <a:effectLst/>
            </c:spPr>
            <c:extLst>
              <c:ext xmlns:c16="http://schemas.microsoft.com/office/drawing/2014/chart" uri="{C3380CC4-5D6E-409C-BE32-E72D297353CC}">
                <c16:uniqueId val="{0000002C-8F41-4F09-B344-3DD0FE06F8C8}"/>
              </c:ext>
            </c:extLst>
          </c:dPt>
          <c:val>
            <c:numRef>
              <c:f>'Tablero Oct'!$B$107:$C$107</c:f>
              <c:numCache>
                <c:formatCode>0%</c:formatCode>
                <c:ptCount val="2"/>
                <c:pt idx="0">
                  <c:v>0.6</c:v>
                </c:pt>
                <c:pt idx="1">
                  <c:v>0.4</c:v>
                </c:pt>
              </c:numCache>
            </c:numRef>
          </c:val>
          <c:extLst>
            <c:ext xmlns:c16="http://schemas.microsoft.com/office/drawing/2014/chart" uri="{C3380CC4-5D6E-409C-BE32-E72D297353CC}">
              <c16:uniqueId val="{0000002D-8F41-4F09-B344-3DD0FE06F8C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B15-4BB3-BF74-8A9C268200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5-4BB3-BF74-8A9C2682009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B15-4BB3-BF74-8A9C2682009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B15-4BB3-BF74-8A9C2682009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B15-4BB3-BF74-8A9C2682009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B15-4BB3-BF74-8A9C2682009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B15-4BB3-BF74-8A9C2682009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B15-4BB3-BF74-8A9C2682009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B15-4BB3-BF74-8A9C2682009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B15-4BB3-BF74-8A9C2682009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B15-4BB3-BF74-8A9C2682009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B15-4BB3-BF74-8A9C2682009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B15-4BB3-BF74-8A9C2682009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B15-4BB3-BF74-8A9C2682009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B15-4BB3-BF74-8A9C2682009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B15-4BB3-BF74-8A9C2682009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B15-4BB3-BF74-8A9C2682009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B15-4BB3-BF74-8A9C2682009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B15-4BB3-BF74-8A9C2682009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B15-4BB3-BF74-8A9C2682009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B15-4BB3-BF74-8A9C2682009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Oct'!$A$113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B15-4BB3-BF74-8A9C26820092}"/>
              </c:ext>
            </c:extLst>
          </c:dPt>
          <c:dPt>
            <c:idx val="1"/>
            <c:bubble3D val="0"/>
            <c:spPr>
              <a:noFill/>
              <a:ln w="19050">
                <a:solidFill>
                  <a:schemeClr val="lt1"/>
                </a:solidFill>
              </a:ln>
              <a:effectLst/>
            </c:spPr>
            <c:extLst>
              <c:ext xmlns:c16="http://schemas.microsoft.com/office/drawing/2014/chart" uri="{C3380CC4-5D6E-409C-BE32-E72D297353CC}">
                <c16:uniqueId val="{0000002C-1B15-4BB3-BF74-8A9C26820092}"/>
              </c:ext>
            </c:extLst>
          </c:dPt>
          <c:val>
            <c:numRef>
              <c:f>'Tablero Oct'!$B$113:$C$113</c:f>
              <c:numCache>
                <c:formatCode>0%</c:formatCode>
                <c:ptCount val="2"/>
                <c:pt idx="0">
                  <c:v>0.61</c:v>
                </c:pt>
                <c:pt idx="1">
                  <c:v>0.39</c:v>
                </c:pt>
              </c:numCache>
            </c:numRef>
          </c:val>
          <c:extLst>
            <c:ext xmlns:c16="http://schemas.microsoft.com/office/drawing/2014/chart" uri="{C3380CC4-5D6E-409C-BE32-E72D297353CC}">
              <c16:uniqueId val="{0000002D-1B15-4BB3-BF74-8A9C2682009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A76-4E0D-8507-4099D139095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A76-4E0D-8507-4099D139095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A76-4E0D-8507-4099D139095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A76-4E0D-8507-4099D139095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A76-4E0D-8507-4099D139095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A76-4E0D-8507-4099D139095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A76-4E0D-8507-4099D139095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A76-4E0D-8507-4099D139095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A76-4E0D-8507-4099D139095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A76-4E0D-8507-4099D139095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A76-4E0D-8507-4099D139095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A76-4E0D-8507-4099D139095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A76-4E0D-8507-4099D139095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A76-4E0D-8507-4099D139095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A76-4E0D-8507-4099D139095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A76-4E0D-8507-4099D139095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A76-4E0D-8507-4099D139095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A76-4E0D-8507-4099D139095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A76-4E0D-8507-4099D139095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A76-4E0D-8507-4099D139095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A76-4E0D-8507-4099D139095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Oct'!$A$108</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A76-4E0D-8507-4099D1390952}"/>
              </c:ext>
            </c:extLst>
          </c:dPt>
          <c:dPt>
            <c:idx val="1"/>
            <c:bubble3D val="0"/>
            <c:spPr>
              <a:noFill/>
              <a:ln w="19050">
                <a:solidFill>
                  <a:schemeClr val="lt1"/>
                </a:solidFill>
              </a:ln>
              <a:effectLst/>
            </c:spPr>
            <c:extLst>
              <c:ext xmlns:c16="http://schemas.microsoft.com/office/drawing/2014/chart" uri="{C3380CC4-5D6E-409C-BE32-E72D297353CC}">
                <c16:uniqueId val="{0000002C-5A76-4E0D-8507-4099D1390952}"/>
              </c:ext>
            </c:extLst>
          </c:dPt>
          <c:val>
            <c:numRef>
              <c:f>'Tablero Oct'!$B$108:$C$108</c:f>
              <c:numCache>
                <c:formatCode>0%</c:formatCode>
                <c:ptCount val="2"/>
                <c:pt idx="0">
                  <c:v>0</c:v>
                </c:pt>
                <c:pt idx="1">
                  <c:v>0</c:v>
                </c:pt>
              </c:numCache>
            </c:numRef>
          </c:val>
          <c:extLst>
            <c:ext xmlns:c16="http://schemas.microsoft.com/office/drawing/2014/chart" uri="{C3380CC4-5D6E-409C-BE32-E72D297353CC}">
              <c16:uniqueId val="{0000002D-5A76-4E0D-8507-4099D139095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Oct'!$A$65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80D-4996-84CE-F3E7F130B2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0D-4996-84CE-F3E7F130B2F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80D-4996-84CE-F3E7F130B2FB}"/>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080D-4996-84CE-F3E7F130B2FB}"/>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80D-4996-84CE-F3E7F130B2FB}"/>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080D-4996-84CE-F3E7F130B2FB}"/>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080D-4996-84CE-F3E7F130B2FB}"/>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080D-4996-84CE-F3E7F130B2FB}"/>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080D-4996-84CE-F3E7F130B2FB}"/>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080D-4996-84CE-F3E7F130B2FB}"/>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080D-4996-84CE-F3E7F130B2FB}"/>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080D-4996-84CE-F3E7F130B2FB}"/>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080D-4996-84CE-F3E7F130B2FB}"/>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080D-4996-84CE-F3E7F130B2FB}"/>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080D-4996-84CE-F3E7F130B2FB}"/>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080D-4996-84CE-F3E7F130B2FB}"/>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080D-4996-84CE-F3E7F130B2FB}"/>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080D-4996-84CE-F3E7F130B2FB}"/>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080D-4996-84CE-F3E7F130B2FB}"/>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080D-4996-84CE-F3E7F130B2F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80D-4996-84CE-F3E7F130B2F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Oct'!$A$115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80D-4996-84CE-F3E7F130B2FB}"/>
              </c:ext>
            </c:extLst>
          </c:dPt>
          <c:dPt>
            <c:idx val="1"/>
            <c:bubble3D val="0"/>
            <c:spPr>
              <a:noFill/>
              <a:ln w="19050">
                <a:solidFill>
                  <a:schemeClr val="lt1"/>
                </a:solidFill>
              </a:ln>
              <a:effectLst/>
            </c:spPr>
            <c:extLst>
              <c:ext xmlns:c16="http://schemas.microsoft.com/office/drawing/2014/chart" uri="{C3380CC4-5D6E-409C-BE32-E72D297353CC}">
                <c16:uniqueId val="{0000002C-080D-4996-84CE-F3E7F130B2FB}"/>
              </c:ext>
            </c:extLst>
          </c:dPt>
          <c:val>
            <c:numRef>
              <c:f>'Tablero Oct'!$B$115:$C$115</c:f>
              <c:numCache>
                <c:formatCode>0%</c:formatCode>
                <c:ptCount val="2"/>
                <c:pt idx="0">
                  <c:v>0.52</c:v>
                </c:pt>
                <c:pt idx="1">
                  <c:v>0.48</c:v>
                </c:pt>
              </c:numCache>
            </c:numRef>
          </c:val>
          <c:extLst>
            <c:ext xmlns:c16="http://schemas.microsoft.com/office/drawing/2014/chart" uri="{C3380CC4-5D6E-409C-BE32-E72D297353CC}">
              <c16:uniqueId val="{0000002D-080D-4996-84CE-F3E7F130B2F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863-488B-831A-79463865985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863-488B-831A-794638659855}"/>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863-488B-831A-79463865985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863-488B-831A-794638659855}"/>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863-488B-831A-794638659855}"/>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863-488B-831A-794638659855}"/>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863-488B-831A-794638659855}"/>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863-488B-831A-794638659855}"/>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863-488B-831A-794638659855}"/>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863-488B-831A-794638659855}"/>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863-488B-831A-794638659855}"/>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863-488B-831A-794638659855}"/>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863-488B-831A-794638659855}"/>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863-488B-831A-794638659855}"/>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863-488B-831A-794638659855}"/>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863-488B-831A-794638659855}"/>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863-488B-831A-794638659855}"/>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863-488B-831A-794638659855}"/>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863-488B-831A-794638659855}"/>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863-488B-831A-79463865985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863-488B-831A-79463865985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Oct'!$A$109</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863-488B-831A-794638659855}"/>
              </c:ext>
            </c:extLst>
          </c:dPt>
          <c:dPt>
            <c:idx val="1"/>
            <c:bubble3D val="0"/>
            <c:spPr>
              <a:noFill/>
              <a:ln w="19050">
                <a:solidFill>
                  <a:schemeClr val="lt1"/>
                </a:solidFill>
              </a:ln>
              <a:effectLst/>
            </c:spPr>
            <c:extLst>
              <c:ext xmlns:c16="http://schemas.microsoft.com/office/drawing/2014/chart" uri="{C3380CC4-5D6E-409C-BE32-E72D297353CC}">
                <c16:uniqueId val="{0000002C-C863-488B-831A-794638659855}"/>
              </c:ext>
            </c:extLst>
          </c:dPt>
          <c:val>
            <c:numRef>
              <c:f>'Tablero Oct'!$B$109:$C$109</c:f>
              <c:numCache>
                <c:formatCode>0%</c:formatCode>
                <c:ptCount val="2"/>
                <c:pt idx="0">
                  <c:v>0.4</c:v>
                </c:pt>
                <c:pt idx="1">
                  <c:v>0.6</c:v>
                </c:pt>
              </c:numCache>
            </c:numRef>
          </c:val>
          <c:extLst>
            <c:ext xmlns:c16="http://schemas.microsoft.com/office/drawing/2014/chart" uri="{C3380CC4-5D6E-409C-BE32-E72D297353CC}">
              <c16:uniqueId val="{0000002D-C863-488B-831A-79463865985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Oct'!$A$65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58F-464C-BD40-6EF9082B62A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58F-464C-BD40-6EF9082B62A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58F-464C-BD40-6EF9082B62A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58F-464C-BD40-6EF9082B62A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58F-464C-BD40-6EF9082B62A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58F-464C-BD40-6EF9082B62A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58F-464C-BD40-6EF9082B62A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58F-464C-BD40-6EF9082B62A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58F-464C-BD40-6EF9082B62A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58F-464C-BD40-6EF9082B62A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58F-464C-BD40-6EF9082B62A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58F-464C-BD40-6EF9082B62A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58F-464C-BD40-6EF9082B62A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58F-464C-BD40-6EF9082B62A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58F-464C-BD40-6EF9082B62A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58F-464C-BD40-6EF9082B62A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58F-464C-BD40-6EF9082B62A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58F-464C-BD40-6EF9082B62A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58F-464C-BD40-6EF9082B62A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58F-464C-BD40-6EF9082B62A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58F-464C-BD40-6EF9082B62A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Tablero!#REF!</c:f>
              <c:strCache>
                <c:ptCount val="1"/>
                <c:pt idx="0">
                  <c:v>#REF!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058F-464C-BD40-6EF9082B62AF}"/>
              </c:ext>
            </c:extLst>
          </c:dPt>
          <c:val>
            <c:numRef>
              <c:f>Tablero!#REF!</c:f>
              <c:numCache>
                <c:formatCode>General</c:formatCode>
                <c:ptCount val="1"/>
                <c:pt idx="0">
                  <c:v>1</c:v>
                </c:pt>
              </c:numCache>
            </c:numRef>
          </c:val>
          <c:extLst>
            <c:ext xmlns:c16="http://schemas.microsoft.com/office/drawing/2014/chart" uri="{C3380CC4-5D6E-409C-BE32-E72D297353CC}">
              <c16:uniqueId val="{0000002D-058F-464C-BD40-6EF9082B62A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F8F9-4CDE-B3C5-D89D4005A3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F9-4CDE-B3C5-D89D4005A33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F8F9-4CDE-B3C5-D89D4005A330}"/>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F8F9-4CDE-B3C5-D89D4005A330}"/>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F8F9-4CDE-B3C5-D89D4005A330}"/>
              </c:ext>
            </c:extLst>
          </c:dPt>
          <c:dPt>
            <c:idx val="5"/>
            <c:bubble3D val="0"/>
            <c:spPr>
              <a:noFill/>
              <a:ln w="19050">
                <a:solidFill>
                  <a:schemeClr val="lt1"/>
                </a:solidFill>
              </a:ln>
              <a:effectLst/>
            </c:spPr>
            <c:extLst>
              <c:ext xmlns:c16="http://schemas.microsoft.com/office/drawing/2014/chart" uri="{C3380CC4-5D6E-409C-BE32-E72D297353CC}">
                <c16:uniqueId val="{0000000B-F8F9-4CDE-B3C5-D89D4005A330}"/>
              </c:ext>
            </c:extLst>
          </c:dPt>
          <c:val>
            <c:numRef>
              <c:f>'Tablero Oct'!$F$64:$F$69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F8F9-4CDE-B3C5-D89D4005A330}"/>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F8F9-4CDE-B3C5-D89D4005A33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F8F9-4CDE-B3C5-D89D4005A330}"/>
              </c:ext>
            </c:extLst>
          </c:dPt>
          <c:dPt>
            <c:idx val="2"/>
            <c:bubble3D val="0"/>
            <c:spPr>
              <a:noFill/>
              <a:ln w="19050">
                <a:solidFill>
                  <a:schemeClr val="lt1"/>
                </a:solidFill>
              </a:ln>
              <a:effectLst/>
            </c:spPr>
            <c:extLst>
              <c:ext xmlns:c16="http://schemas.microsoft.com/office/drawing/2014/chart" uri="{C3380CC4-5D6E-409C-BE32-E72D297353CC}">
                <c16:uniqueId val="{00000012-F8F9-4CDE-B3C5-D89D4005A330}"/>
              </c:ext>
            </c:extLst>
          </c:dPt>
          <c:val>
            <c:numRef>
              <c:f>'Tablero Oct'!$F$87:$F$89</c:f>
              <c:numCache>
                <c:formatCode>General</c:formatCode>
                <c:ptCount val="3"/>
                <c:pt idx="0">
                  <c:v>66.5</c:v>
                </c:pt>
                <c:pt idx="1">
                  <c:v>3</c:v>
                </c:pt>
                <c:pt idx="2">
                  <c:v>130.5</c:v>
                </c:pt>
              </c:numCache>
            </c:numRef>
          </c:val>
          <c:extLst>
            <c:ext xmlns:c16="http://schemas.microsoft.com/office/drawing/2014/chart" uri="{C3380CC4-5D6E-409C-BE32-E72D297353CC}">
              <c16:uniqueId val="{00000013-F8F9-4CDE-B3C5-D89D4005A3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FE6A-4514-87E7-BD3AAF7FA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6A-4514-87E7-BD3AAF7FAA7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FE6A-4514-87E7-BD3AAF7FAA73}"/>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FE6A-4514-87E7-BD3AAF7FAA73}"/>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FE6A-4514-87E7-BD3AAF7FAA73}"/>
              </c:ext>
            </c:extLst>
          </c:dPt>
          <c:dPt>
            <c:idx val="5"/>
            <c:bubble3D val="0"/>
            <c:spPr>
              <a:noFill/>
              <a:ln w="19050">
                <a:solidFill>
                  <a:schemeClr val="lt1"/>
                </a:solidFill>
              </a:ln>
              <a:effectLst/>
            </c:spPr>
            <c:extLst>
              <c:ext xmlns:c16="http://schemas.microsoft.com/office/drawing/2014/chart" uri="{C3380CC4-5D6E-409C-BE32-E72D297353CC}">
                <c16:uniqueId val="{0000000B-FE6A-4514-87E7-BD3AAF7FAA73}"/>
              </c:ext>
            </c:extLst>
          </c:dPt>
          <c:val>
            <c:numRef>
              <c:f>'Tablero Oct'!$F$64:$F$69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FE6A-4514-87E7-BD3AAF7FAA73}"/>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FE6A-4514-87E7-BD3AAF7FAA7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FE6A-4514-87E7-BD3AAF7FAA73}"/>
              </c:ext>
            </c:extLst>
          </c:dPt>
          <c:dPt>
            <c:idx val="2"/>
            <c:bubble3D val="0"/>
            <c:spPr>
              <a:noFill/>
              <a:ln w="19050">
                <a:solidFill>
                  <a:schemeClr val="lt1"/>
                </a:solidFill>
              </a:ln>
              <a:effectLst/>
            </c:spPr>
            <c:extLst>
              <c:ext xmlns:c16="http://schemas.microsoft.com/office/drawing/2014/chart" uri="{C3380CC4-5D6E-409C-BE32-E72D297353CC}">
                <c16:uniqueId val="{00000012-FE6A-4514-87E7-BD3AAF7FAA73}"/>
              </c:ext>
            </c:extLst>
          </c:dPt>
          <c:val>
            <c:numRef>
              <c:f>'Tablero Oct'!$F$101:$F$103</c:f>
              <c:numCache>
                <c:formatCode>General</c:formatCode>
                <c:ptCount val="3"/>
                <c:pt idx="0">
                  <c:v>72.5</c:v>
                </c:pt>
                <c:pt idx="1">
                  <c:v>3</c:v>
                </c:pt>
                <c:pt idx="2">
                  <c:v>124.5</c:v>
                </c:pt>
              </c:numCache>
            </c:numRef>
          </c:val>
          <c:extLst>
            <c:ext xmlns:c16="http://schemas.microsoft.com/office/drawing/2014/chart" uri="{C3380CC4-5D6E-409C-BE32-E72D297353CC}">
              <c16:uniqueId val="{00000013-FE6A-4514-87E7-BD3AAF7FAA7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E323-4D5F-A337-4BA1370350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3-4D5F-A337-4BA1370350E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E323-4D5F-A337-4BA1370350E0}"/>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E323-4D5F-A337-4BA1370350E0}"/>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E323-4D5F-A337-4BA1370350E0}"/>
              </c:ext>
            </c:extLst>
          </c:dPt>
          <c:dPt>
            <c:idx val="5"/>
            <c:bubble3D val="0"/>
            <c:spPr>
              <a:noFill/>
              <a:ln w="19050">
                <a:solidFill>
                  <a:schemeClr val="lt1"/>
                </a:solidFill>
              </a:ln>
              <a:effectLst/>
            </c:spPr>
            <c:extLst>
              <c:ext xmlns:c16="http://schemas.microsoft.com/office/drawing/2014/chart" uri="{C3380CC4-5D6E-409C-BE32-E72D297353CC}">
                <c16:uniqueId val="{0000000B-E323-4D5F-A337-4BA1370350E0}"/>
              </c:ext>
            </c:extLst>
          </c:dPt>
          <c:val>
            <c:numRef>
              <c:f>'Tablero Oct'!$F$64:$F$69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E323-4D5F-A337-4BA1370350E0}"/>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E323-4D5F-A337-4BA1370350E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E323-4D5F-A337-4BA1370350E0}"/>
              </c:ext>
            </c:extLst>
          </c:dPt>
          <c:dPt>
            <c:idx val="2"/>
            <c:bubble3D val="0"/>
            <c:spPr>
              <a:noFill/>
              <a:ln w="19050">
                <a:solidFill>
                  <a:schemeClr val="lt1"/>
                </a:solidFill>
              </a:ln>
              <a:effectLst/>
            </c:spPr>
            <c:extLst>
              <c:ext xmlns:c16="http://schemas.microsoft.com/office/drawing/2014/chart" uri="{C3380CC4-5D6E-409C-BE32-E72D297353CC}">
                <c16:uniqueId val="{00000012-E323-4D5F-A337-4BA1370350E0}"/>
              </c:ext>
            </c:extLst>
          </c:dPt>
          <c:val>
            <c:numRef>
              <c:f>'Tablero Oct'!$F$115:$F$117</c:f>
              <c:numCache>
                <c:formatCode>General</c:formatCode>
                <c:ptCount val="3"/>
                <c:pt idx="0">
                  <c:v>55.5</c:v>
                </c:pt>
                <c:pt idx="1">
                  <c:v>3</c:v>
                </c:pt>
                <c:pt idx="2">
                  <c:v>141.5</c:v>
                </c:pt>
              </c:numCache>
            </c:numRef>
          </c:val>
          <c:extLst>
            <c:ext xmlns:c16="http://schemas.microsoft.com/office/drawing/2014/chart" uri="{C3380CC4-5D6E-409C-BE32-E72D297353CC}">
              <c16:uniqueId val="{00000013-E323-4D5F-A337-4BA1370350E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Oct!TablaDinámica1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'Tablero Oct'!$AK$17</c:f>
              <c:strCache>
                <c:ptCount val="1"/>
                <c:pt idx="0">
                  <c:v>Suma de INCIDENCIA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'Tablero Oct'!$AJ$18:$AJ$34</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Oct'!$AK$18:$AK$34</c:f>
              <c:numCache>
                <c:formatCode>0%</c:formatCode>
                <c:ptCount val="13"/>
                <c:pt idx="0">
                  <c:v>0.6</c:v>
                </c:pt>
                <c:pt idx="1">
                  <c:v>0.4</c:v>
                </c:pt>
                <c:pt idx="2">
                  <c:v>0</c:v>
                </c:pt>
                <c:pt idx="3">
                  <c:v>0.6</c:v>
                </c:pt>
                <c:pt idx="4">
                  <c:v>0.4</c:v>
                </c:pt>
                <c:pt idx="5">
                  <c:v>0</c:v>
                </c:pt>
                <c:pt idx="6">
                  <c:v>0.3</c:v>
                </c:pt>
                <c:pt idx="7">
                  <c:v>0.1</c:v>
                </c:pt>
                <c:pt idx="8">
                  <c:v>0.3</c:v>
                </c:pt>
                <c:pt idx="9">
                  <c:v>0.3</c:v>
                </c:pt>
                <c:pt idx="10">
                  <c:v>0.6</c:v>
                </c:pt>
                <c:pt idx="11">
                  <c:v>0.4</c:v>
                </c:pt>
                <c:pt idx="12">
                  <c:v>0</c:v>
                </c:pt>
              </c:numCache>
            </c:numRef>
          </c:val>
          <c:smooth val="0"/>
          <c:extLst>
            <c:ext xmlns:c16="http://schemas.microsoft.com/office/drawing/2014/chart" uri="{C3380CC4-5D6E-409C-BE32-E72D297353CC}">
              <c16:uniqueId val="{00000000-4A99-4CFD-B3E5-982119777EB5}"/>
            </c:ext>
          </c:extLst>
        </c:ser>
        <c:ser>
          <c:idx val="1"/>
          <c:order val="1"/>
          <c:tx>
            <c:strRef>
              <c:f>'Tablero Oct'!$AL$17</c:f>
              <c:strCache>
                <c:ptCount val="1"/>
                <c:pt idx="0">
                  <c:v>Suma de CALIFICACIÓN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'Tablero Oct'!$AJ$18:$AJ$34</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Oct'!$AL$18:$AL$34</c:f>
              <c:numCache>
                <c:formatCode>0%</c:formatCode>
                <c:ptCount val="13"/>
                <c:pt idx="0">
                  <c:v>0.45</c:v>
                </c:pt>
                <c:pt idx="1">
                  <c:v>0.3</c:v>
                </c:pt>
                <c:pt idx="2">
                  <c:v>0</c:v>
                </c:pt>
                <c:pt idx="3">
                  <c:v>0.36</c:v>
                </c:pt>
                <c:pt idx="4">
                  <c:v>0.21</c:v>
                </c:pt>
                <c:pt idx="5">
                  <c:v>0</c:v>
                </c:pt>
                <c:pt idx="6">
                  <c:v>0.02</c:v>
                </c:pt>
                <c:pt idx="7">
                  <c:v>0.09</c:v>
                </c:pt>
                <c:pt idx="8">
                  <c:v>0.25</c:v>
                </c:pt>
                <c:pt idx="9">
                  <c:v>0.23</c:v>
                </c:pt>
                <c:pt idx="10">
                  <c:v>0.36</c:v>
                </c:pt>
                <c:pt idx="11">
                  <c:v>0.32</c:v>
                </c:pt>
                <c:pt idx="12">
                  <c:v>0</c:v>
                </c:pt>
              </c:numCache>
            </c:numRef>
          </c:val>
          <c:smooth val="0"/>
          <c:extLst>
            <c:ext xmlns:c16="http://schemas.microsoft.com/office/drawing/2014/chart" uri="{C3380CC4-5D6E-409C-BE32-E72D297353CC}">
              <c16:uniqueId val="{00000001-4A99-4CFD-B3E5-982119777EB5}"/>
            </c:ext>
          </c:extLst>
        </c:ser>
        <c:dLbls>
          <c:showLegendKey val="0"/>
          <c:showVal val="0"/>
          <c:showCatName val="0"/>
          <c:showSerName val="0"/>
          <c:showPercent val="0"/>
          <c:showBubbleSize val="0"/>
        </c:dLbls>
        <c:marker val="1"/>
        <c:smooth val="0"/>
        <c:axId val="1194973232"/>
        <c:axId val="1194968432"/>
      </c:lineChart>
      <c:catAx>
        <c:axId val="11949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94968432"/>
        <c:crosses val="autoZero"/>
        <c:auto val="1"/>
        <c:lblAlgn val="ctr"/>
        <c:lblOffset val="100"/>
        <c:noMultiLvlLbl val="0"/>
      </c:catAx>
      <c:valAx>
        <c:axId val="1194968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949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Oct!TablaDinámica3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9.1363527996157646E-3"/>
              <c:y val="2.331934111660717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5.4818116797695398E-3"/>
              <c:y val="-2.331934111660717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1.2790893919462259E-2"/>
              <c:y val="-2.331934111660717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9.1363527996158999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96362335953908E-2"/>
              <c:y val="2.331934111660631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5.4818116797695398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'Tablero Oct'!$AK$40</c:f>
              <c:strCache>
                <c:ptCount val="1"/>
                <c:pt idx="0">
                  <c:v>Suma de Agosto</c:v>
                </c:pt>
              </c:strCache>
            </c:strRef>
          </c:tx>
          <c:spPr>
            <a:solidFill>
              <a:schemeClr val="accent1"/>
            </a:solidFill>
            <a:ln>
              <a:noFill/>
            </a:ln>
            <a:effectLst/>
            <a:sp3d/>
          </c:spPr>
          <c:invertIfNegative val="0"/>
          <c:dPt>
            <c:idx val="2"/>
            <c:invertIfNegative val="0"/>
            <c:bubble3D val="0"/>
            <c:spPr>
              <a:solidFill>
                <a:schemeClr val="accent1"/>
              </a:solidFill>
              <a:ln>
                <a:noFill/>
              </a:ln>
              <a:effectLst/>
              <a:sp3d/>
            </c:spPr>
            <c:extLst>
              <c:ext xmlns:c16="http://schemas.microsoft.com/office/drawing/2014/chart" uri="{C3380CC4-5D6E-409C-BE32-E72D297353CC}">
                <c16:uniqueId val="{00000008-850B-4E45-8D07-412BA6AC2720}"/>
              </c:ext>
            </c:extLst>
          </c:dPt>
          <c:dLbls>
            <c:dLbl>
              <c:idx val="2"/>
              <c:layout>
                <c:manualLayout>
                  <c:x val="1.096362335953908E-2"/>
                  <c:y val="2.33193411166063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0B-4E45-8D07-412BA6AC272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Oct'!$AJ$41:$AJ$44</c:f>
              <c:strCache>
                <c:ptCount val="4"/>
                <c:pt idx="0">
                  <c:v>ASESORA COMERCIAL</c:v>
                </c:pt>
                <c:pt idx="1">
                  <c:v>ASESORA COMERCIAL ADMIN</c:v>
                </c:pt>
                <c:pt idx="2">
                  <c:v>DIRECTORA COMERCIAL</c:v>
                </c:pt>
                <c:pt idx="3">
                  <c:v>LIDER SALA DE VENTAS</c:v>
                </c:pt>
              </c:strCache>
            </c:strRef>
          </c:cat>
          <c:val>
            <c:numRef>
              <c:f>'Tablero Oct'!$AK$41:$AK$44</c:f>
              <c:numCache>
                <c:formatCode>General</c:formatCode>
                <c:ptCount val="4"/>
                <c:pt idx="2">
                  <c:v>69</c:v>
                </c:pt>
              </c:numCache>
            </c:numRef>
          </c:val>
          <c:extLst>
            <c:ext xmlns:c16="http://schemas.microsoft.com/office/drawing/2014/chart" uri="{C3380CC4-5D6E-409C-BE32-E72D297353CC}">
              <c16:uniqueId val="{00000000-850B-4E45-8D07-412BA6AC2720}"/>
            </c:ext>
          </c:extLst>
        </c:ser>
        <c:ser>
          <c:idx val="1"/>
          <c:order val="1"/>
          <c:tx>
            <c:strRef>
              <c:f>'Tablero Oct'!$AL$40</c:f>
              <c:strCache>
                <c:ptCount val="1"/>
                <c:pt idx="0">
                  <c:v>Suma de Septiembre</c:v>
                </c:pt>
              </c:strCache>
            </c:strRef>
          </c:tx>
          <c:spPr>
            <a:solidFill>
              <a:schemeClr val="accent2"/>
            </a:solidFill>
            <a:ln>
              <a:noFill/>
            </a:ln>
            <a:effectLst/>
            <a:sp3d/>
          </c:spPr>
          <c:invertIfNegative val="0"/>
          <c:dPt>
            <c:idx val="2"/>
            <c:invertIfNegative val="0"/>
            <c:bubble3D val="0"/>
            <c:spPr>
              <a:solidFill>
                <a:schemeClr val="accent2"/>
              </a:solidFill>
              <a:ln>
                <a:noFill/>
              </a:ln>
              <a:effectLst/>
              <a:sp3d/>
            </c:spPr>
            <c:extLst>
              <c:ext xmlns:c16="http://schemas.microsoft.com/office/drawing/2014/chart" uri="{C3380CC4-5D6E-409C-BE32-E72D297353CC}">
                <c16:uniqueId val="{00000009-850B-4E45-8D07-412BA6AC2720}"/>
              </c:ext>
            </c:extLst>
          </c:dPt>
          <c:dLbls>
            <c:dLbl>
              <c:idx val="2"/>
              <c:layout>
                <c:manualLayout>
                  <c:x val="5.4818116797695398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50B-4E45-8D07-412BA6AC27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Oct'!$AJ$41:$AJ$44</c:f>
              <c:strCache>
                <c:ptCount val="4"/>
                <c:pt idx="0">
                  <c:v>ASESORA COMERCIAL</c:v>
                </c:pt>
                <c:pt idx="1">
                  <c:v>ASESORA COMERCIAL ADMIN</c:v>
                </c:pt>
                <c:pt idx="2">
                  <c:v>DIRECTORA COMERCIAL</c:v>
                </c:pt>
                <c:pt idx="3">
                  <c:v>LIDER SALA DE VENTAS</c:v>
                </c:pt>
              </c:strCache>
            </c:strRef>
          </c:cat>
          <c:val>
            <c:numRef>
              <c:f>'Tablero Oct'!$AL$41:$AL$44</c:f>
              <c:numCache>
                <c:formatCode>General</c:formatCode>
                <c:ptCount val="4"/>
                <c:pt idx="2">
                  <c:v>74</c:v>
                </c:pt>
              </c:numCache>
            </c:numRef>
          </c:val>
          <c:extLst>
            <c:ext xmlns:c16="http://schemas.microsoft.com/office/drawing/2014/chart" uri="{C3380CC4-5D6E-409C-BE32-E72D297353CC}">
              <c16:uniqueId val="{00000001-850B-4E45-8D07-412BA6AC2720}"/>
            </c:ext>
          </c:extLst>
        </c:ser>
        <c:ser>
          <c:idx val="2"/>
          <c:order val="2"/>
          <c:tx>
            <c:strRef>
              <c:f>'Tablero Oct'!$AM$40</c:f>
              <c:strCache>
                <c:ptCount val="1"/>
                <c:pt idx="0">
                  <c:v>Suma de Octubre</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6-850B-4E45-8D07-412BA6AC2720}"/>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7-850B-4E45-8D07-412BA6AC272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4-850B-4E45-8D07-412BA6AC2720}"/>
              </c:ext>
            </c:extLst>
          </c:dPt>
          <c:dPt>
            <c:idx val="3"/>
            <c:invertIfNegative val="0"/>
            <c:bubble3D val="0"/>
            <c:spPr>
              <a:solidFill>
                <a:schemeClr val="accent3"/>
              </a:solidFill>
              <a:ln>
                <a:noFill/>
              </a:ln>
              <a:effectLst/>
              <a:sp3d/>
            </c:spPr>
            <c:extLst>
              <c:ext xmlns:c16="http://schemas.microsoft.com/office/drawing/2014/chart" uri="{C3380CC4-5D6E-409C-BE32-E72D297353CC}">
                <c16:uniqueId val="{00000005-850B-4E45-8D07-412BA6AC2720}"/>
              </c:ext>
            </c:extLst>
          </c:dPt>
          <c:dLbls>
            <c:dLbl>
              <c:idx val="0"/>
              <c:layout>
                <c:manualLayout>
                  <c:x val="1.2790893919462259E-2"/>
                  <c:y val="-2.3319341116607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0B-4E45-8D07-412BA6AC2720}"/>
                </c:ext>
              </c:extLst>
            </c:dLbl>
            <c:dLbl>
              <c:idx val="1"/>
              <c:layout>
                <c:manualLayout>
                  <c:x val="9.136352799615899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0B-4E45-8D07-412BA6AC2720}"/>
                </c:ext>
              </c:extLst>
            </c:dLbl>
            <c:dLbl>
              <c:idx val="2"/>
              <c:layout>
                <c:manualLayout>
                  <c:x val="9.1363527996157646E-3"/>
                  <c:y val="2.3319341116607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0B-4E45-8D07-412BA6AC2720}"/>
                </c:ext>
              </c:extLst>
            </c:dLbl>
            <c:dLbl>
              <c:idx val="3"/>
              <c:layout>
                <c:manualLayout>
                  <c:x val="5.4818116797695398E-3"/>
                  <c:y val="-2.3319341116607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0B-4E45-8D07-412BA6AC272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Oct'!$AJ$41:$AJ$44</c:f>
              <c:strCache>
                <c:ptCount val="4"/>
                <c:pt idx="0">
                  <c:v>ASESORA COMERCIAL</c:v>
                </c:pt>
                <c:pt idx="1">
                  <c:v>ASESORA COMERCIAL ADMIN</c:v>
                </c:pt>
                <c:pt idx="2">
                  <c:v>DIRECTORA COMERCIAL</c:v>
                </c:pt>
                <c:pt idx="3">
                  <c:v>LIDER SALA DE VENTAS</c:v>
                </c:pt>
              </c:strCache>
            </c:strRef>
          </c:cat>
          <c:val>
            <c:numRef>
              <c:f>'Tablero Oct'!$AM$41:$AM$44</c:f>
              <c:numCache>
                <c:formatCode>0</c:formatCode>
                <c:ptCount val="4"/>
                <c:pt idx="0">
                  <c:v>74</c:v>
                </c:pt>
                <c:pt idx="1">
                  <c:v>57</c:v>
                </c:pt>
                <c:pt idx="2">
                  <c:v>80</c:v>
                </c:pt>
                <c:pt idx="3">
                  <c:v>68</c:v>
                </c:pt>
              </c:numCache>
            </c:numRef>
          </c:val>
          <c:extLst>
            <c:ext xmlns:c16="http://schemas.microsoft.com/office/drawing/2014/chart" uri="{C3380CC4-5D6E-409C-BE32-E72D297353CC}">
              <c16:uniqueId val="{00000002-850B-4E45-8D07-412BA6AC2720}"/>
            </c:ext>
          </c:extLst>
        </c:ser>
        <c:dLbls>
          <c:showLegendKey val="0"/>
          <c:showVal val="1"/>
          <c:showCatName val="0"/>
          <c:showSerName val="0"/>
          <c:showPercent val="0"/>
          <c:showBubbleSize val="0"/>
        </c:dLbls>
        <c:gapWidth val="150"/>
        <c:shape val="box"/>
        <c:axId val="1417894272"/>
        <c:axId val="1417890912"/>
        <c:axId val="0"/>
      </c:bar3DChart>
      <c:catAx>
        <c:axId val="141789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17890912"/>
        <c:crosses val="autoZero"/>
        <c:auto val="1"/>
        <c:lblAlgn val="ctr"/>
        <c:lblOffset val="100"/>
        <c:noMultiLvlLbl val="0"/>
      </c:catAx>
      <c:valAx>
        <c:axId val="141789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1789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926-4B76-A10F-CC6D88427A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6-4B76-A10F-CC6D88427A7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926-4B76-A10F-CC6D88427A7A}"/>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E926-4B76-A10F-CC6D88427A7A}"/>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E926-4B76-A10F-CC6D88427A7A}"/>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E926-4B76-A10F-CC6D88427A7A}"/>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E926-4B76-A10F-CC6D88427A7A}"/>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E926-4B76-A10F-CC6D88427A7A}"/>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E926-4B76-A10F-CC6D88427A7A}"/>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E926-4B76-A10F-CC6D88427A7A}"/>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E926-4B76-A10F-CC6D88427A7A}"/>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E926-4B76-A10F-CC6D88427A7A}"/>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E926-4B76-A10F-CC6D88427A7A}"/>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E926-4B76-A10F-CC6D88427A7A}"/>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E926-4B76-A10F-CC6D88427A7A}"/>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E926-4B76-A10F-CC6D88427A7A}"/>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E926-4B76-A10F-CC6D88427A7A}"/>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E926-4B76-A10F-CC6D88427A7A}"/>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E926-4B76-A10F-CC6D88427A7A}"/>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E926-4B76-A10F-CC6D88427A7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926-4B76-A10F-CC6D88427A7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Nov'!$A$88</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926-4B76-A10F-CC6D88427A7A}"/>
              </c:ext>
            </c:extLst>
          </c:dPt>
          <c:dPt>
            <c:idx val="1"/>
            <c:bubble3D val="0"/>
            <c:spPr>
              <a:noFill/>
              <a:ln w="19050">
                <a:solidFill>
                  <a:schemeClr val="lt1"/>
                </a:solidFill>
              </a:ln>
              <a:effectLst/>
            </c:spPr>
            <c:extLst>
              <c:ext xmlns:c16="http://schemas.microsoft.com/office/drawing/2014/chart" uri="{C3380CC4-5D6E-409C-BE32-E72D297353CC}">
                <c16:uniqueId val="{0000002C-E926-4B76-A10F-CC6D88427A7A}"/>
              </c:ext>
            </c:extLst>
          </c:dPt>
          <c:val>
            <c:numRef>
              <c:f>'Tablero Nov'!$B$88:$C$88</c:f>
              <c:numCache>
                <c:formatCode>0%</c:formatCode>
                <c:ptCount val="2"/>
              </c:numCache>
            </c:numRef>
          </c:val>
          <c:extLst>
            <c:ext xmlns:c16="http://schemas.microsoft.com/office/drawing/2014/chart" uri="{C3380CC4-5D6E-409C-BE32-E72D297353CC}">
              <c16:uniqueId val="{0000002D-E926-4B76-A10F-CC6D88427A7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34E-46AD-BF02-9AB6489B3AA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34E-46AD-BF02-9AB6489B3AA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34E-46AD-BF02-9AB6489B3AA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34E-46AD-BF02-9AB6489B3AA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34E-46AD-BF02-9AB6489B3AA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34E-46AD-BF02-9AB6489B3AA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34E-46AD-BF02-9AB6489B3AA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34E-46AD-BF02-9AB6489B3AA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34E-46AD-BF02-9AB6489B3AA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34E-46AD-BF02-9AB6489B3AA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34E-46AD-BF02-9AB6489B3AA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34E-46AD-BF02-9AB6489B3AA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34E-46AD-BF02-9AB6489B3AA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34E-46AD-BF02-9AB6489B3AA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34E-46AD-BF02-9AB6489B3AA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34E-46AD-BF02-9AB6489B3AA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34E-46AD-BF02-9AB6489B3AA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34E-46AD-BF02-9AB6489B3AA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34E-46AD-BF02-9AB6489B3AA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34E-46AD-BF02-9AB6489B3AA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34E-46AD-BF02-9AB6489B3AA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34E-46AD-BF02-9AB6489B3AA8}"/>
              </c:ext>
            </c:extLst>
          </c:dPt>
          <c:dPt>
            <c:idx val="1"/>
            <c:bubble3D val="0"/>
            <c:spPr>
              <a:noFill/>
              <a:ln w="19050">
                <a:solidFill>
                  <a:schemeClr val="lt1"/>
                </a:solidFill>
              </a:ln>
              <a:effectLst/>
            </c:spPr>
            <c:extLst>
              <c:ext xmlns:c16="http://schemas.microsoft.com/office/drawing/2014/chart" uri="{C3380CC4-5D6E-409C-BE32-E72D297353CC}">
                <c16:uniqueId val="{0000002C-034E-46AD-BF02-9AB6489B3AA8}"/>
              </c:ext>
            </c:extLst>
          </c:dPt>
          <c:val>
            <c:numRef>
              <c:f>'Tablero Nov'!$B$82:$C$82</c:f>
              <c:numCache>
                <c:formatCode>0%</c:formatCode>
                <c:ptCount val="2"/>
              </c:numCache>
            </c:numRef>
          </c:val>
          <c:extLst>
            <c:ext xmlns:c16="http://schemas.microsoft.com/office/drawing/2014/chart" uri="{C3380CC4-5D6E-409C-BE32-E72D297353CC}">
              <c16:uniqueId val="{0000002D-034E-46AD-BF02-9AB6489B3AA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0C7-405E-A85F-477F580CA2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C7-405E-A85F-477F580CA21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0C7-405E-A85F-477F580CA211}"/>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0C7-405E-A85F-477F580CA211}"/>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0C7-405E-A85F-477F580CA211}"/>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50C7-405E-A85F-477F580CA211}"/>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50C7-405E-A85F-477F580CA211}"/>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50C7-405E-A85F-477F580CA211}"/>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50C7-405E-A85F-477F580CA211}"/>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50C7-405E-A85F-477F580CA211}"/>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50C7-405E-A85F-477F580CA211}"/>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50C7-405E-A85F-477F580CA211}"/>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50C7-405E-A85F-477F580CA211}"/>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50C7-405E-A85F-477F580CA211}"/>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50C7-405E-A85F-477F580CA211}"/>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50C7-405E-A85F-477F580CA211}"/>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50C7-405E-A85F-477F580CA211}"/>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50C7-405E-A85F-477F580CA211}"/>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50C7-405E-A85F-477F580CA211}"/>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50C7-405E-A85F-477F580CA21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0C7-405E-A85F-477F580CA21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Nov'!$A$116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0C7-405E-A85F-477F580CA211}"/>
              </c:ext>
            </c:extLst>
          </c:dPt>
          <c:dPt>
            <c:idx val="1"/>
            <c:bubble3D val="0"/>
            <c:spPr>
              <a:noFill/>
              <a:ln w="19050">
                <a:solidFill>
                  <a:schemeClr val="lt1"/>
                </a:solidFill>
              </a:ln>
              <a:effectLst/>
            </c:spPr>
            <c:extLst>
              <c:ext xmlns:c16="http://schemas.microsoft.com/office/drawing/2014/chart" uri="{C3380CC4-5D6E-409C-BE32-E72D297353CC}">
                <c16:uniqueId val="{0000002C-50C7-405E-A85F-477F580CA211}"/>
              </c:ext>
            </c:extLst>
          </c:dPt>
          <c:val>
            <c:numRef>
              <c:f>'Tablero Nov'!$B$116:$C$116</c:f>
              <c:numCache>
                <c:formatCode>0%</c:formatCode>
                <c:ptCount val="2"/>
              </c:numCache>
            </c:numRef>
          </c:val>
          <c:extLst>
            <c:ext xmlns:c16="http://schemas.microsoft.com/office/drawing/2014/chart" uri="{C3380CC4-5D6E-409C-BE32-E72D297353CC}">
              <c16:uniqueId val="{0000002D-50C7-405E-A85F-477F580CA21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968-4228-B557-6A9358EC804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968-4228-B557-6A9358EC804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968-4228-B557-6A9358EC8049}"/>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968-4228-B557-6A9358EC8049}"/>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968-4228-B557-6A9358EC8049}"/>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968-4228-B557-6A9358EC8049}"/>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968-4228-B557-6A9358EC8049}"/>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968-4228-B557-6A9358EC8049}"/>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968-4228-B557-6A9358EC8049}"/>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968-4228-B557-6A9358EC8049}"/>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968-4228-B557-6A9358EC8049}"/>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968-4228-B557-6A9358EC8049}"/>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968-4228-B557-6A9358EC8049}"/>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968-4228-B557-6A9358EC8049}"/>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968-4228-B557-6A9358EC8049}"/>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968-4228-B557-6A9358EC8049}"/>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968-4228-B557-6A9358EC8049}"/>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968-4228-B557-6A9358EC8049}"/>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968-4228-B557-6A9358EC8049}"/>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968-4228-B557-6A9358EC804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968-4228-B557-6A9358EC804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Nov'!$A$110</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968-4228-B557-6A9358EC8049}"/>
              </c:ext>
            </c:extLst>
          </c:dPt>
          <c:dPt>
            <c:idx val="1"/>
            <c:bubble3D val="0"/>
            <c:spPr>
              <a:noFill/>
              <a:ln w="19050">
                <a:solidFill>
                  <a:schemeClr val="lt1"/>
                </a:solidFill>
              </a:ln>
              <a:effectLst/>
            </c:spPr>
            <c:extLst>
              <c:ext xmlns:c16="http://schemas.microsoft.com/office/drawing/2014/chart" uri="{C3380CC4-5D6E-409C-BE32-E72D297353CC}">
                <c16:uniqueId val="{0000002C-D968-4228-B557-6A9358EC8049}"/>
              </c:ext>
            </c:extLst>
          </c:dPt>
          <c:val>
            <c:numRef>
              <c:f>'Tablero Nov'!$B$110:$C$110</c:f>
              <c:numCache>
                <c:formatCode>0%</c:formatCode>
                <c:ptCount val="2"/>
              </c:numCache>
            </c:numRef>
          </c:val>
          <c:extLst>
            <c:ext xmlns:c16="http://schemas.microsoft.com/office/drawing/2014/chart" uri="{C3380CC4-5D6E-409C-BE32-E72D297353CC}">
              <c16:uniqueId val="{0000002D-D968-4228-B557-6A9358EC804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8B3-4919-BEA8-24863559F0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B3-4919-BEA8-24863559F0F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8B3-4919-BEA8-24863559F0F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8B3-4919-BEA8-24863559F0F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8B3-4919-BEA8-24863559F0F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8B3-4919-BEA8-24863559F0F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8B3-4919-BEA8-24863559F0F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8B3-4919-BEA8-24863559F0F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8B3-4919-BEA8-24863559F0F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8B3-4919-BEA8-24863559F0F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8B3-4919-BEA8-24863559F0F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8B3-4919-BEA8-24863559F0F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8B3-4919-BEA8-24863559F0F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8B3-4919-BEA8-24863559F0F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8B3-4919-BEA8-24863559F0F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8B3-4919-BEA8-24863559F0F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8B3-4919-BEA8-24863559F0F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8B3-4919-BEA8-24863559F0FF}"/>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8B3-4919-BEA8-24863559F0FF}"/>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8B3-4919-BEA8-24863559F0F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8B3-4919-BEA8-24863559F0F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Nov'!$A$114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8B3-4919-BEA8-24863559F0FF}"/>
              </c:ext>
            </c:extLst>
          </c:dPt>
          <c:dPt>
            <c:idx val="1"/>
            <c:bubble3D val="0"/>
            <c:spPr>
              <a:noFill/>
              <a:ln w="19050">
                <a:solidFill>
                  <a:schemeClr val="lt1"/>
                </a:solidFill>
              </a:ln>
              <a:effectLst/>
            </c:spPr>
            <c:extLst>
              <c:ext xmlns:c16="http://schemas.microsoft.com/office/drawing/2014/chart" uri="{C3380CC4-5D6E-409C-BE32-E72D297353CC}">
                <c16:uniqueId val="{0000002C-28B3-4919-BEA8-24863559F0FF}"/>
              </c:ext>
            </c:extLst>
          </c:dPt>
          <c:val>
            <c:numRef>
              <c:f>'Tablero Nov'!$B$114:$C$114</c:f>
              <c:numCache>
                <c:formatCode>0%</c:formatCode>
                <c:ptCount val="2"/>
                <c:pt idx="0">
                  <c:v>0.88</c:v>
                </c:pt>
                <c:pt idx="1">
                  <c:v>0.12</c:v>
                </c:pt>
              </c:numCache>
            </c:numRef>
          </c:val>
          <c:extLst>
            <c:ext xmlns:c16="http://schemas.microsoft.com/office/drawing/2014/chart" uri="{C3380CC4-5D6E-409C-BE32-E72D297353CC}">
              <c16:uniqueId val="{0000002D-28B3-4919-BEA8-24863559F0F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AF1-4AAC-83BC-6B0ACFB647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F1-4AAC-83BC-6B0ACFB6474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AF1-4AAC-83BC-6B0ACFB64745}"/>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3AF1-4AAC-83BC-6B0ACFB64745}"/>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3AF1-4AAC-83BC-6B0ACFB64745}"/>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3AF1-4AAC-83BC-6B0ACFB64745}"/>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3AF1-4AAC-83BC-6B0ACFB64745}"/>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3AF1-4AAC-83BC-6B0ACFB64745}"/>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3AF1-4AAC-83BC-6B0ACFB64745}"/>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3AF1-4AAC-83BC-6B0ACFB64745}"/>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3AF1-4AAC-83BC-6B0ACFB64745}"/>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3AF1-4AAC-83BC-6B0ACFB64745}"/>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3AF1-4AAC-83BC-6B0ACFB64745}"/>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3AF1-4AAC-83BC-6B0ACFB64745}"/>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3AF1-4AAC-83BC-6B0ACFB64745}"/>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3AF1-4AAC-83BC-6B0ACFB64745}"/>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3AF1-4AAC-83BC-6B0ACFB64745}"/>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3AF1-4AAC-83BC-6B0ACFB64745}"/>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3AF1-4AAC-83BC-6B0ACFB64745}"/>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3AF1-4AAC-83BC-6B0ACFB6474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AF1-4AAC-83BC-6B0ACFB6474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AF1-4AAC-83BC-6B0ACFB64745}"/>
              </c:ext>
            </c:extLst>
          </c:dPt>
          <c:dPt>
            <c:idx val="1"/>
            <c:bubble3D val="0"/>
            <c:spPr>
              <a:noFill/>
              <a:ln w="19050">
                <a:solidFill>
                  <a:schemeClr val="lt1"/>
                </a:solidFill>
              </a:ln>
              <a:effectLst/>
            </c:spPr>
            <c:extLst>
              <c:ext xmlns:c16="http://schemas.microsoft.com/office/drawing/2014/chart" uri="{C3380CC4-5D6E-409C-BE32-E72D297353CC}">
                <c16:uniqueId val="{0000002C-3AF1-4AAC-83BC-6B0ACFB64745}"/>
              </c:ext>
            </c:extLst>
          </c:dPt>
          <c:val>
            <c:numRef>
              <c:f>'Tablero Nov'!$B$102:$C$102</c:f>
              <c:numCache>
                <c:formatCode>0%</c:formatCode>
                <c:ptCount val="2"/>
                <c:pt idx="0">
                  <c:v>0</c:v>
                </c:pt>
                <c:pt idx="1">
                  <c:v>0</c:v>
                </c:pt>
              </c:numCache>
            </c:numRef>
          </c:val>
          <c:extLst>
            <c:ext xmlns:c16="http://schemas.microsoft.com/office/drawing/2014/chart" uri="{C3380CC4-5D6E-409C-BE32-E72D297353CC}">
              <c16:uniqueId val="{0000002D-3AF1-4AAC-83BC-6B0ACFB6474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368-468D-B285-1608E323FF5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368-468D-B285-1608E323FF5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368-468D-B285-1608E323FF5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368-468D-B285-1608E323FF57}"/>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368-468D-B285-1608E323FF57}"/>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368-468D-B285-1608E323FF57}"/>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368-468D-B285-1608E323FF57}"/>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368-468D-B285-1608E323FF57}"/>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368-468D-B285-1608E323FF57}"/>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368-468D-B285-1608E323FF57}"/>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368-468D-B285-1608E323FF57}"/>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368-468D-B285-1608E323FF57}"/>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368-468D-B285-1608E323FF57}"/>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368-468D-B285-1608E323FF57}"/>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368-468D-B285-1608E323FF57}"/>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368-468D-B285-1608E323FF57}"/>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368-468D-B285-1608E323FF57}"/>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368-468D-B285-1608E323FF57}"/>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368-468D-B285-1608E323FF57}"/>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368-468D-B285-1608E323FF5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368-468D-B285-1608E323FF5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Nov'!$A$96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368-468D-B285-1608E323FF57}"/>
              </c:ext>
            </c:extLst>
          </c:dPt>
          <c:dPt>
            <c:idx val="1"/>
            <c:bubble3D val="0"/>
            <c:spPr>
              <a:noFill/>
              <a:ln w="19050">
                <a:solidFill>
                  <a:schemeClr val="lt1"/>
                </a:solidFill>
              </a:ln>
              <a:effectLst/>
            </c:spPr>
            <c:extLst>
              <c:ext xmlns:c16="http://schemas.microsoft.com/office/drawing/2014/chart" uri="{C3380CC4-5D6E-409C-BE32-E72D297353CC}">
                <c16:uniqueId val="{0000002C-D368-468D-B285-1608E323FF57}"/>
              </c:ext>
            </c:extLst>
          </c:dPt>
          <c:val>
            <c:numRef>
              <c:f>'Tablero Nov'!$B$96:$C$96</c:f>
              <c:numCache>
                <c:formatCode>0%</c:formatCode>
                <c:ptCount val="2"/>
              </c:numCache>
            </c:numRef>
          </c:val>
          <c:extLst>
            <c:ext xmlns:c16="http://schemas.microsoft.com/office/drawing/2014/chart" uri="{C3380CC4-5D6E-409C-BE32-E72D297353CC}">
              <c16:uniqueId val="{0000002D-D368-468D-B285-1608E323FF5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1A5B-43A6-8599-4190E5E21EE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1A5B-43A6-8599-4190E5E21EE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1A5B-43A6-8599-4190E5E21EE9}"/>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1A5B-43A6-8599-4190E5E21EE9}"/>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1A5B-43A6-8599-4190E5E21EE9}"/>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1A5B-43A6-8599-4190E5E21EE9}"/>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1A5B-43A6-8599-4190E5E21EE9}"/>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1A5B-43A6-8599-4190E5E21EE9}"/>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1A5B-43A6-8599-4190E5E21EE9}"/>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1A5B-43A6-8599-4190E5E21EE9}"/>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1A5B-43A6-8599-4190E5E21EE9}"/>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1A5B-43A6-8599-4190E5E21EE9}"/>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1A5B-43A6-8599-4190E5E21EE9}"/>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1A5B-43A6-8599-4190E5E21EE9}"/>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1A5B-43A6-8599-4190E5E21EE9}"/>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1A5B-43A6-8599-4190E5E21EE9}"/>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1A5B-43A6-8599-4190E5E21EE9}"/>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1A5B-43A6-8599-4190E5E21EE9}"/>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1A5B-43A6-8599-4190E5E21EE9}"/>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1A5B-43A6-8599-4190E5E21EE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A5B-43A6-8599-4190E5E21EE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Nov'!$A$65</c:f>
              <c:strCache>
                <c:ptCount val="1"/>
                <c:pt idx="0">
                  <c:v>Estrategia y Planificación Comercial</c:v>
                </c:pt>
              </c:strCache>
            </c:strRef>
          </c:tx>
          <c:dPt>
            <c:idx val="0"/>
            <c:bubble3D val="0"/>
            <c:spPr>
              <a:solidFill>
                <a:schemeClr val="bg1">
                  <a:alpha val="58000"/>
                </a:schemeClr>
              </a:solidFill>
              <a:ln w="19050">
                <a:solidFill>
                  <a:schemeClr val="lt1"/>
                </a:solidFill>
              </a:ln>
              <a:effectLst/>
            </c:spPr>
            <c:extLst>
              <c:ext xmlns:c16="http://schemas.microsoft.com/office/drawing/2014/chart" uri="{C3380CC4-5D6E-409C-BE32-E72D297353CC}">
                <c16:uniqueId val="{0000002A-1A5B-43A6-8599-4190E5E21EE9}"/>
              </c:ext>
            </c:extLst>
          </c:dPt>
          <c:dPt>
            <c:idx val="1"/>
            <c:bubble3D val="0"/>
            <c:spPr>
              <a:noFill/>
              <a:ln w="19050">
                <a:solidFill>
                  <a:schemeClr val="lt1"/>
                </a:solidFill>
              </a:ln>
              <a:effectLst/>
            </c:spPr>
            <c:extLst>
              <c:ext xmlns:c16="http://schemas.microsoft.com/office/drawing/2014/chart" uri="{C3380CC4-5D6E-409C-BE32-E72D297353CC}">
                <c16:uniqueId val="{0000002C-1A5B-43A6-8599-4190E5E21EE9}"/>
              </c:ext>
            </c:extLst>
          </c:dPt>
          <c:val>
            <c:numRef>
              <c:f>'Tablero Nov'!$B$65:$C$65</c:f>
              <c:numCache>
                <c:formatCode>0%</c:formatCode>
                <c:ptCount val="2"/>
                <c:pt idx="0">
                  <c:v>0.3</c:v>
                </c:pt>
                <c:pt idx="1">
                  <c:v>0.7</c:v>
                </c:pt>
              </c:numCache>
            </c:numRef>
          </c:val>
          <c:extLst>
            <c:ext xmlns:c16="http://schemas.microsoft.com/office/drawing/2014/chart" uri="{C3380CC4-5D6E-409C-BE32-E72D297353CC}">
              <c16:uniqueId val="{0000002D-1A5B-43A6-8599-4190E5E21EE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B1-46DD-8360-98CCF1D19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B1-46DD-8360-98CCF1D1951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9B1-46DD-8360-98CCF1D1951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9B1-46DD-8360-98CCF1D1951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9B1-46DD-8360-98CCF1D1951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9B1-46DD-8360-98CCF1D1951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9B1-46DD-8360-98CCF1D1951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9B1-46DD-8360-98CCF1D1951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9B1-46DD-8360-98CCF1D1951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9B1-46DD-8360-98CCF1D1951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9B1-46DD-8360-98CCF1D1951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9B1-46DD-8360-98CCF1D1951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9B1-46DD-8360-98CCF1D1951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9B1-46DD-8360-98CCF1D1951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9B1-46DD-8360-98CCF1D1951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9B1-46DD-8360-98CCF1D1951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9B1-46DD-8360-98CCF1D1951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9B1-46DD-8360-98CCF1D1951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9B1-46DD-8360-98CCF1D1951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9B1-46DD-8360-98CCF1D1951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9B1-46DD-8360-98CCF1D1951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Nov'!$A$71</c:f>
              <c:strCache>
                <c:ptCount val="1"/>
                <c:pt idx="0">
                  <c:v>Estrategia y Planificación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9B1-46DD-8360-98CCF1D1951E}"/>
              </c:ext>
            </c:extLst>
          </c:dPt>
          <c:dPt>
            <c:idx val="1"/>
            <c:bubble3D val="0"/>
            <c:spPr>
              <a:noFill/>
              <a:ln w="19050">
                <a:solidFill>
                  <a:schemeClr val="lt1"/>
                </a:solidFill>
              </a:ln>
              <a:effectLst/>
            </c:spPr>
            <c:extLst>
              <c:ext xmlns:c16="http://schemas.microsoft.com/office/drawing/2014/chart" uri="{C3380CC4-5D6E-409C-BE32-E72D297353CC}">
                <c16:uniqueId val="{0000002C-D9B1-46DD-8360-98CCF1D1951E}"/>
              </c:ext>
            </c:extLst>
          </c:dPt>
          <c:val>
            <c:numRef>
              <c:f>'Tablero Nov'!$B$71:$C$71</c:f>
              <c:numCache>
                <c:formatCode>0%</c:formatCode>
                <c:ptCount val="2"/>
                <c:pt idx="0">
                  <c:v>0.76</c:v>
                </c:pt>
                <c:pt idx="1">
                  <c:v>0.24</c:v>
                </c:pt>
              </c:numCache>
            </c:numRef>
          </c:val>
          <c:extLst>
            <c:ext xmlns:c16="http://schemas.microsoft.com/office/drawing/2014/chart" uri="{C3380CC4-5D6E-409C-BE32-E72D297353CC}">
              <c16:uniqueId val="{0000002D-D9B1-46DD-8360-98CCF1D1951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284-46FF-BAAC-C0F6A8A1B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84-46FF-BAAC-C0F6A8A1BBC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284-46FF-BAAC-C0F6A8A1BBC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284-46FF-BAAC-C0F6A8A1BBC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284-46FF-BAAC-C0F6A8A1BBC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284-46FF-BAAC-C0F6A8A1BBC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8284-46FF-BAAC-C0F6A8A1BBC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8284-46FF-BAAC-C0F6A8A1BBC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8284-46FF-BAAC-C0F6A8A1BBC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8284-46FF-BAAC-C0F6A8A1BBC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8284-46FF-BAAC-C0F6A8A1BBC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8284-46FF-BAAC-C0F6A8A1BBC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8284-46FF-BAAC-C0F6A8A1BBC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8284-46FF-BAAC-C0F6A8A1BBC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8284-46FF-BAAC-C0F6A8A1BBC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8284-46FF-BAAC-C0F6A8A1BBC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8284-46FF-BAAC-C0F6A8A1BBC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8284-46FF-BAAC-C0F6A8A1BBCF}"/>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8284-46FF-BAAC-C0F6A8A1BBCF}"/>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8284-46FF-BAAC-C0F6A8A1BBC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284-46FF-BAAC-C0F6A8A1BBC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Nov'!$A$72</c:f>
              <c:strCache>
                <c:ptCount val="1"/>
                <c:pt idx="0">
                  <c:v>Liderazgo y Gestión del Equipo Comercial</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284-46FF-BAAC-C0F6A8A1BBCF}"/>
              </c:ext>
            </c:extLst>
          </c:dPt>
          <c:dPt>
            <c:idx val="1"/>
            <c:bubble3D val="0"/>
            <c:spPr>
              <a:noFill/>
              <a:ln w="19050">
                <a:solidFill>
                  <a:schemeClr val="lt1"/>
                </a:solidFill>
              </a:ln>
              <a:effectLst/>
            </c:spPr>
            <c:extLst>
              <c:ext xmlns:c16="http://schemas.microsoft.com/office/drawing/2014/chart" uri="{C3380CC4-5D6E-409C-BE32-E72D297353CC}">
                <c16:uniqueId val="{0000002C-8284-46FF-BAAC-C0F6A8A1BBCF}"/>
              </c:ext>
            </c:extLst>
          </c:dPt>
          <c:val>
            <c:numRef>
              <c:f>'Tablero Nov'!$B$72:$C$72</c:f>
              <c:numCache>
                <c:formatCode>0%</c:formatCode>
                <c:ptCount val="2"/>
                <c:pt idx="0">
                  <c:v>0.85</c:v>
                </c:pt>
                <c:pt idx="1">
                  <c:v>0.15</c:v>
                </c:pt>
              </c:numCache>
            </c:numRef>
          </c:val>
          <c:extLst>
            <c:ext xmlns:c16="http://schemas.microsoft.com/office/drawing/2014/chart" uri="{C3380CC4-5D6E-409C-BE32-E72D297353CC}">
              <c16:uniqueId val="{0000002D-8284-46FF-BAAC-C0F6A8A1BBC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8BF-401D-B0A6-44D6E86D42D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8BF-401D-B0A6-44D6E86D42D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8BF-401D-B0A6-44D6E86D42D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8BF-401D-B0A6-44D6E86D42D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8BF-401D-B0A6-44D6E86D42D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8BF-401D-B0A6-44D6E86D42D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8BF-401D-B0A6-44D6E86D42D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8BF-401D-B0A6-44D6E86D42D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8BF-401D-B0A6-44D6E86D42D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8BF-401D-B0A6-44D6E86D42D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8BF-401D-B0A6-44D6E86D42D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8BF-401D-B0A6-44D6E86D42D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8BF-401D-B0A6-44D6E86D42D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8BF-401D-B0A6-44D6E86D42D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8BF-401D-B0A6-44D6E86D42D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8BF-401D-B0A6-44D6E86D42D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8BF-401D-B0A6-44D6E86D42D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8BF-401D-B0A6-44D6E86D42D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8BF-401D-B0A6-44D6E86D42D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8BF-401D-B0A6-44D6E86D42D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8BF-401D-B0A6-44D6E86D42D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Nov'!$A$66</c:f>
              <c:strCache>
                <c:ptCount val="1"/>
                <c:pt idx="0">
                  <c:v>Liderazgo y Gestión del Equipo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8BF-401D-B0A6-44D6E86D42DB}"/>
              </c:ext>
            </c:extLst>
          </c:dPt>
          <c:dPt>
            <c:idx val="1"/>
            <c:bubble3D val="0"/>
            <c:spPr>
              <a:noFill/>
              <a:ln w="19050">
                <a:solidFill>
                  <a:schemeClr val="lt1"/>
                </a:solidFill>
              </a:ln>
              <a:effectLst/>
            </c:spPr>
            <c:extLst>
              <c:ext xmlns:c16="http://schemas.microsoft.com/office/drawing/2014/chart" uri="{C3380CC4-5D6E-409C-BE32-E72D297353CC}">
                <c16:uniqueId val="{0000002C-E8BF-401D-B0A6-44D6E86D42DB}"/>
              </c:ext>
            </c:extLst>
          </c:dPt>
          <c:val>
            <c:numRef>
              <c:f>'Tablero Nov'!$B$66:$C$66</c:f>
              <c:numCache>
                <c:formatCode>0%</c:formatCode>
                <c:ptCount val="2"/>
                <c:pt idx="0">
                  <c:v>0.3</c:v>
                </c:pt>
                <c:pt idx="1">
                  <c:v>0.7</c:v>
                </c:pt>
              </c:numCache>
            </c:numRef>
          </c:val>
          <c:extLst>
            <c:ext xmlns:c16="http://schemas.microsoft.com/office/drawing/2014/chart" uri="{C3380CC4-5D6E-409C-BE32-E72D297353CC}">
              <c16:uniqueId val="{0000002D-E8BF-401D-B0A6-44D6E86D42D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498212813795549"/>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D3FD-4BEE-AF5F-E782890DAE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FD-4BEE-AF5F-E782890DAEC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D3FD-4BEE-AF5F-E782890DAEC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D3FD-4BEE-AF5F-E782890DAEC2}"/>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D3FD-4BEE-AF5F-E782890DAEC2}"/>
              </c:ext>
            </c:extLst>
          </c:dPt>
          <c:dPt>
            <c:idx val="5"/>
            <c:bubble3D val="0"/>
            <c:spPr>
              <a:noFill/>
              <a:ln w="19050">
                <a:solidFill>
                  <a:schemeClr val="lt1"/>
                </a:solidFill>
              </a:ln>
              <a:effectLst/>
            </c:spPr>
            <c:extLst>
              <c:ext xmlns:c16="http://schemas.microsoft.com/office/drawing/2014/chart" uri="{C3380CC4-5D6E-409C-BE32-E72D297353CC}">
                <c16:uniqueId val="{0000000B-D3FD-4BEE-AF5F-E782890DAEC2}"/>
              </c:ext>
            </c:extLst>
          </c:dPt>
          <c:val>
            <c:numRef>
              <c:f>'Tablero Nov'!$F$64:$F$69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D3FD-4BEE-AF5F-E782890DAEC2}"/>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D3FD-4BEE-AF5F-E782890DAEC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D3FD-4BEE-AF5F-E782890DAEC2}"/>
              </c:ext>
            </c:extLst>
          </c:dPt>
          <c:dPt>
            <c:idx val="2"/>
            <c:bubble3D val="0"/>
            <c:spPr>
              <a:noFill/>
              <a:ln w="19050">
                <a:solidFill>
                  <a:schemeClr val="lt1"/>
                </a:solidFill>
              </a:ln>
              <a:effectLst/>
            </c:spPr>
            <c:extLst>
              <c:ext xmlns:c16="http://schemas.microsoft.com/office/drawing/2014/chart" uri="{C3380CC4-5D6E-409C-BE32-E72D297353CC}">
                <c16:uniqueId val="{00000012-D3FD-4BEE-AF5F-E782890DAEC2}"/>
              </c:ext>
            </c:extLst>
          </c:dPt>
          <c:val>
            <c:numRef>
              <c:f>'Tablero Nov'!$F$73:$F$75</c:f>
              <c:numCache>
                <c:formatCode>General</c:formatCode>
                <c:ptCount val="3"/>
                <c:pt idx="0">
                  <c:v>80.5</c:v>
                </c:pt>
                <c:pt idx="1">
                  <c:v>3</c:v>
                </c:pt>
                <c:pt idx="2">
                  <c:v>116.5</c:v>
                </c:pt>
              </c:numCache>
            </c:numRef>
          </c:val>
          <c:extLst>
            <c:ext xmlns:c16="http://schemas.microsoft.com/office/drawing/2014/chart" uri="{C3380CC4-5D6E-409C-BE32-E72D297353CC}">
              <c16:uniqueId val="{00000013-D3FD-4BEE-AF5F-E782890DAEC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3CC-4526-B9B2-B70B963B1A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C-4526-B9B2-B70B963B1A7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3CC-4526-B9B2-B70B963B1A74}"/>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3CC-4526-B9B2-B70B963B1A74}"/>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3CC-4526-B9B2-B70B963B1A74}"/>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3CC-4526-B9B2-B70B963B1A7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3CC-4526-B9B2-B70B963B1A74}"/>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3CC-4526-B9B2-B70B963B1A74}"/>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3CC-4526-B9B2-B70B963B1A74}"/>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3CC-4526-B9B2-B70B963B1A74}"/>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3CC-4526-B9B2-B70B963B1A74}"/>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3CC-4526-B9B2-B70B963B1A74}"/>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3CC-4526-B9B2-B70B963B1A74}"/>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3CC-4526-B9B2-B70B963B1A74}"/>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3CC-4526-B9B2-B70B963B1A74}"/>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3CC-4526-B9B2-B70B963B1A74}"/>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3CC-4526-B9B2-B70B963B1A74}"/>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3CC-4526-B9B2-B70B963B1A74}"/>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3CC-4526-B9B2-B70B963B1A74}"/>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3CC-4526-B9B2-B70B963B1A7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3CC-4526-B9B2-B70B963B1A7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Nov'!$A$73</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3CC-4526-B9B2-B70B963B1A74}"/>
              </c:ext>
            </c:extLst>
          </c:dPt>
          <c:dPt>
            <c:idx val="1"/>
            <c:bubble3D val="0"/>
            <c:spPr>
              <a:noFill/>
              <a:ln w="19050">
                <a:solidFill>
                  <a:schemeClr val="lt1"/>
                </a:solidFill>
              </a:ln>
              <a:effectLst/>
            </c:spPr>
            <c:extLst>
              <c:ext xmlns:c16="http://schemas.microsoft.com/office/drawing/2014/chart" uri="{C3380CC4-5D6E-409C-BE32-E72D297353CC}">
                <c16:uniqueId val="{0000002C-23CC-4526-B9B2-B70B963B1A74}"/>
              </c:ext>
            </c:extLst>
          </c:dPt>
          <c:val>
            <c:numRef>
              <c:f>'Tablero Nov'!$B$73:$C$73</c:f>
              <c:numCache>
                <c:formatCode>0%</c:formatCode>
                <c:ptCount val="2"/>
                <c:pt idx="0">
                  <c:v>0.83</c:v>
                </c:pt>
                <c:pt idx="1">
                  <c:v>0.17</c:v>
                </c:pt>
              </c:numCache>
            </c:numRef>
          </c:val>
          <c:extLst>
            <c:ext xmlns:c16="http://schemas.microsoft.com/office/drawing/2014/chart" uri="{C3380CC4-5D6E-409C-BE32-E72D297353CC}">
              <c16:uniqueId val="{0000002D-23CC-4526-B9B2-B70B963B1A7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E9E-4901-B6E8-0FCF1807DAD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E9E-4901-B6E8-0FCF1807DAD5}"/>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E9E-4901-B6E8-0FCF1807DAD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E9E-4901-B6E8-0FCF1807DAD5}"/>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E9E-4901-B6E8-0FCF1807DAD5}"/>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E9E-4901-B6E8-0FCF1807DAD5}"/>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E9E-4901-B6E8-0FCF1807DAD5}"/>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E9E-4901-B6E8-0FCF1807DAD5}"/>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E9E-4901-B6E8-0FCF1807DAD5}"/>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E9E-4901-B6E8-0FCF1807DAD5}"/>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E9E-4901-B6E8-0FCF1807DAD5}"/>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E9E-4901-B6E8-0FCF1807DAD5}"/>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E9E-4901-B6E8-0FCF1807DAD5}"/>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E9E-4901-B6E8-0FCF1807DAD5}"/>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E9E-4901-B6E8-0FCF1807DAD5}"/>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E9E-4901-B6E8-0FCF1807DAD5}"/>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E9E-4901-B6E8-0FCF1807DAD5}"/>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E9E-4901-B6E8-0FCF1807DAD5}"/>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E9E-4901-B6E8-0FCF1807DAD5}"/>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E9E-4901-B6E8-0FCF1807DAD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E9E-4901-B6E8-0FCF1807DAD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Nov'!$A$67</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E9E-4901-B6E8-0FCF1807DAD5}"/>
              </c:ext>
            </c:extLst>
          </c:dPt>
          <c:dPt>
            <c:idx val="1"/>
            <c:bubble3D val="0"/>
            <c:spPr>
              <a:noFill/>
              <a:ln w="19050">
                <a:solidFill>
                  <a:schemeClr val="lt1"/>
                </a:solidFill>
              </a:ln>
              <a:effectLst/>
            </c:spPr>
            <c:extLst>
              <c:ext xmlns:c16="http://schemas.microsoft.com/office/drawing/2014/chart" uri="{C3380CC4-5D6E-409C-BE32-E72D297353CC}">
                <c16:uniqueId val="{0000002C-EE9E-4901-B6E8-0FCF1807DAD5}"/>
              </c:ext>
            </c:extLst>
          </c:dPt>
          <c:val>
            <c:numRef>
              <c:f>'Tablero Nov'!$B$67:$C$67</c:f>
              <c:numCache>
                <c:formatCode>0%</c:formatCode>
                <c:ptCount val="2"/>
                <c:pt idx="0">
                  <c:v>0.3</c:v>
                </c:pt>
                <c:pt idx="1">
                  <c:v>0.7</c:v>
                </c:pt>
              </c:numCache>
            </c:numRef>
          </c:val>
          <c:extLst>
            <c:ext xmlns:c16="http://schemas.microsoft.com/office/drawing/2014/chart" uri="{C3380CC4-5D6E-409C-BE32-E72D297353CC}">
              <c16:uniqueId val="{0000002D-EE9E-4901-B6E8-0FCF1807DAD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B356-4B22-8977-517137635C6C}"/>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356-4B22-8977-517137635C6C}"/>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B356-4B22-8977-517137635C6C}"/>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B356-4B22-8977-517137635C6C}"/>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B356-4B22-8977-517137635C6C}"/>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B356-4B22-8977-517137635C6C}"/>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B356-4B22-8977-517137635C6C}"/>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B356-4B22-8977-517137635C6C}"/>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B356-4B22-8977-517137635C6C}"/>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B356-4B22-8977-517137635C6C}"/>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B356-4B22-8977-517137635C6C}"/>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B356-4B22-8977-517137635C6C}"/>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B356-4B22-8977-517137635C6C}"/>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B356-4B22-8977-517137635C6C}"/>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B356-4B22-8977-517137635C6C}"/>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B356-4B22-8977-517137635C6C}"/>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B356-4B22-8977-517137635C6C}"/>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B356-4B22-8977-517137635C6C}"/>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B356-4B22-8977-517137635C6C}"/>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B356-4B22-8977-517137635C6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356-4B22-8977-517137635C6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Nov'!$A$68</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356-4B22-8977-517137635C6C}"/>
              </c:ext>
            </c:extLst>
          </c:dPt>
          <c:dPt>
            <c:idx val="1"/>
            <c:bubble3D val="0"/>
            <c:spPr>
              <a:noFill/>
              <a:ln w="19050">
                <a:solidFill>
                  <a:schemeClr val="lt1"/>
                </a:solidFill>
              </a:ln>
              <a:effectLst/>
            </c:spPr>
            <c:extLst>
              <c:ext xmlns:c16="http://schemas.microsoft.com/office/drawing/2014/chart" uri="{C3380CC4-5D6E-409C-BE32-E72D297353CC}">
                <c16:uniqueId val="{0000002C-B356-4B22-8977-517137635C6C}"/>
              </c:ext>
            </c:extLst>
          </c:dPt>
          <c:val>
            <c:numRef>
              <c:f>'Tablero Nov'!$B$68:$C$68</c:f>
              <c:numCache>
                <c:formatCode>0%</c:formatCode>
                <c:ptCount val="2"/>
                <c:pt idx="0">
                  <c:v>0.1</c:v>
                </c:pt>
                <c:pt idx="1">
                  <c:v>0.9</c:v>
                </c:pt>
              </c:numCache>
            </c:numRef>
          </c:val>
          <c:extLst>
            <c:ext xmlns:c16="http://schemas.microsoft.com/office/drawing/2014/chart" uri="{C3380CC4-5D6E-409C-BE32-E72D297353CC}">
              <c16:uniqueId val="{0000002D-B356-4B22-8977-517137635C6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773-4D28-8F48-0C0C9CBDF6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73-4D28-8F48-0C0C9CBDF66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773-4D28-8F48-0C0C9CBDF667}"/>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773-4D28-8F48-0C0C9CBDF667}"/>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773-4D28-8F48-0C0C9CBDF667}"/>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F773-4D28-8F48-0C0C9CBDF667}"/>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F773-4D28-8F48-0C0C9CBDF667}"/>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F773-4D28-8F48-0C0C9CBDF667}"/>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F773-4D28-8F48-0C0C9CBDF667}"/>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F773-4D28-8F48-0C0C9CBDF667}"/>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F773-4D28-8F48-0C0C9CBDF667}"/>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F773-4D28-8F48-0C0C9CBDF667}"/>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773-4D28-8F48-0C0C9CBDF667}"/>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F773-4D28-8F48-0C0C9CBDF667}"/>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F773-4D28-8F48-0C0C9CBDF667}"/>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F773-4D28-8F48-0C0C9CBDF667}"/>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F773-4D28-8F48-0C0C9CBDF667}"/>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F773-4D28-8F48-0C0C9CBDF667}"/>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F773-4D28-8F48-0C0C9CBDF667}"/>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F773-4D28-8F48-0C0C9CBDF66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773-4D28-8F48-0C0C9CBDF66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Nov'!$A$74</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773-4D28-8F48-0C0C9CBDF667}"/>
              </c:ext>
            </c:extLst>
          </c:dPt>
          <c:dPt>
            <c:idx val="1"/>
            <c:bubble3D val="0"/>
            <c:spPr>
              <a:noFill/>
              <a:ln w="19050">
                <a:solidFill>
                  <a:schemeClr val="lt1"/>
                </a:solidFill>
              </a:ln>
              <a:effectLst/>
            </c:spPr>
            <c:extLst>
              <c:ext xmlns:c16="http://schemas.microsoft.com/office/drawing/2014/chart" uri="{C3380CC4-5D6E-409C-BE32-E72D297353CC}">
                <c16:uniqueId val="{0000002C-F773-4D28-8F48-0C0C9CBDF667}"/>
              </c:ext>
            </c:extLst>
          </c:dPt>
          <c:val>
            <c:numRef>
              <c:f>'Tablero Nov'!$B$74:$C$74</c:f>
              <c:numCache>
                <c:formatCode>0%</c:formatCode>
                <c:ptCount val="2"/>
                <c:pt idx="0">
                  <c:v>0.92</c:v>
                </c:pt>
                <c:pt idx="1">
                  <c:v>0.08</c:v>
                </c:pt>
              </c:numCache>
            </c:numRef>
          </c:val>
          <c:extLst>
            <c:ext xmlns:c16="http://schemas.microsoft.com/office/drawing/2014/chart" uri="{C3380CC4-5D6E-409C-BE32-E72D297353CC}">
              <c16:uniqueId val="{0000002D-F773-4D28-8F48-0C0C9CBDF66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2B6-46E5-ABFA-FAE16B2C836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2B6-46E5-ABFA-FAE16B2C836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2B6-46E5-ABFA-FAE16B2C836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2B6-46E5-ABFA-FAE16B2C836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2B6-46E5-ABFA-FAE16B2C836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2B6-46E5-ABFA-FAE16B2C836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2B6-46E5-ABFA-FAE16B2C836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2B6-46E5-ABFA-FAE16B2C836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2B6-46E5-ABFA-FAE16B2C836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2B6-46E5-ABFA-FAE16B2C836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2B6-46E5-ABFA-FAE16B2C836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2B6-46E5-ABFA-FAE16B2C836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2B6-46E5-ABFA-FAE16B2C836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2B6-46E5-ABFA-FAE16B2C836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2B6-46E5-ABFA-FAE16B2C836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2B6-46E5-ABFA-FAE16B2C836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2B6-46E5-ABFA-FAE16B2C836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2B6-46E5-ABFA-FAE16B2C836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2B6-46E5-ABFA-FAE16B2C836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2B6-46E5-ABFA-FAE16B2C836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2B6-46E5-ABFA-FAE16B2C836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Nov'!$A$79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2B6-46E5-ABFA-FAE16B2C8360}"/>
              </c:ext>
            </c:extLst>
          </c:dPt>
          <c:dPt>
            <c:idx val="1"/>
            <c:bubble3D val="0"/>
            <c:spPr>
              <a:noFill/>
              <a:ln w="19050">
                <a:solidFill>
                  <a:schemeClr val="lt1"/>
                </a:solidFill>
              </a:ln>
              <a:effectLst/>
            </c:spPr>
            <c:extLst>
              <c:ext xmlns:c16="http://schemas.microsoft.com/office/drawing/2014/chart" uri="{C3380CC4-5D6E-409C-BE32-E72D297353CC}">
                <c16:uniqueId val="{0000002C-22B6-46E5-ABFA-FAE16B2C8360}"/>
              </c:ext>
            </c:extLst>
          </c:dPt>
          <c:val>
            <c:numRef>
              <c:f>'Tablero Nov'!$B$79:$C$79</c:f>
              <c:numCache>
                <c:formatCode>0%</c:formatCode>
                <c:ptCount val="2"/>
                <c:pt idx="0">
                  <c:v>0.7</c:v>
                </c:pt>
                <c:pt idx="1">
                  <c:v>0.3</c:v>
                </c:pt>
              </c:numCache>
            </c:numRef>
          </c:val>
          <c:extLst>
            <c:ext xmlns:c16="http://schemas.microsoft.com/office/drawing/2014/chart" uri="{C3380CC4-5D6E-409C-BE32-E72D297353CC}">
              <c16:uniqueId val="{0000002D-22B6-46E5-ABFA-FAE16B2C836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EDC-4594-802E-B77752AD59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DC-4594-802E-B77752AD59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EDC-4594-802E-B77752AD5907}"/>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EDC-4594-802E-B77752AD5907}"/>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EDC-4594-802E-B77752AD5907}"/>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EDC-4594-802E-B77752AD5907}"/>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EDC-4594-802E-B77752AD5907}"/>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EDC-4594-802E-B77752AD5907}"/>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EDC-4594-802E-B77752AD5907}"/>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EDC-4594-802E-B77752AD5907}"/>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EDC-4594-802E-B77752AD5907}"/>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EDC-4594-802E-B77752AD5907}"/>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EDC-4594-802E-B77752AD5907}"/>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EDC-4594-802E-B77752AD5907}"/>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EDC-4594-802E-B77752AD5907}"/>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EDC-4594-802E-B77752AD5907}"/>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EDC-4594-802E-B77752AD5907}"/>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EDC-4594-802E-B77752AD5907}"/>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EDC-4594-802E-B77752AD5907}"/>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EDC-4594-802E-B77752AD590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EDC-4594-802E-B77752AD590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Nov'!$A$85</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EDC-4594-802E-B77752AD5907}"/>
              </c:ext>
            </c:extLst>
          </c:dPt>
          <c:dPt>
            <c:idx val="1"/>
            <c:bubble3D val="0"/>
            <c:spPr>
              <a:noFill/>
              <a:ln w="19050">
                <a:solidFill>
                  <a:schemeClr val="lt1"/>
                </a:solidFill>
              </a:ln>
              <a:effectLst/>
            </c:spPr>
            <c:extLst>
              <c:ext xmlns:c16="http://schemas.microsoft.com/office/drawing/2014/chart" uri="{C3380CC4-5D6E-409C-BE32-E72D297353CC}">
                <c16:uniqueId val="{0000002C-2EDC-4594-802E-B77752AD5907}"/>
              </c:ext>
            </c:extLst>
          </c:dPt>
          <c:val>
            <c:numRef>
              <c:f>'Tablero Nov'!$B$85:$C$85</c:f>
              <c:numCache>
                <c:formatCode>0%</c:formatCode>
                <c:ptCount val="2"/>
                <c:pt idx="0">
                  <c:v>0.72</c:v>
                </c:pt>
                <c:pt idx="1">
                  <c:v>0.28000000000000003</c:v>
                </c:pt>
              </c:numCache>
            </c:numRef>
          </c:val>
          <c:extLst>
            <c:ext xmlns:c16="http://schemas.microsoft.com/office/drawing/2014/chart" uri="{C3380CC4-5D6E-409C-BE32-E72D297353CC}">
              <c16:uniqueId val="{0000002D-2EDC-4594-802E-B77752AD590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6DA-47C6-902C-90817EF232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DA-47C6-902C-90817EF2327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6DA-47C6-902C-90817EF2327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6DA-47C6-902C-90817EF2327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6DA-47C6-902C-90817EF2327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6DA-47C6-902C-90817EF2327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6DA-47C6-902C-90817EF2327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6DA-47C6-902C-90817EF2327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6DA-47C6-902C-90817EF2327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6DA-47C6-902C-90817EF2327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6DA-47C6-902C-90817EF2327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6DA-47C6-902C-90817EF2327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6DA-47C6-902C-90817EF2327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6DA-47C6-902C-90817EF2327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6DA-47C6-902C-90817EF2327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6DA-47C6-902C-90817EF2327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6DA-47C6-902C-90817EF2327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6DA-47C6-902C-90817EF2327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6DA-47C6-902C-90817EF2327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6DA-47C6-902C-90817EF2327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6DA-47C6-902C-90817EF2327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Nov'!$A$86</c:f>
              <c:strCache>
                <c:ptCount val="1"/>
                <c:pt idx="0">
                  <c:v>Formalización Post-Cierre</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6DA-47C6-902C-90817EF23279}"/>
              </c:ext>
            </c:extLst>
          </c:dPt>
          <c:dPt>
            <c:idx val="1"/>
            <c:bubble3D val="0"/>
            <c:spPr>
              <a:noFill/>
              <a:ln w="19050">
                <a:solidFill>
                  <a:schemeClr val="lt1"/>
                </a:solidFill>
              </a:ln>
              <a:effectLst/>
            </c:spPr>
            <c:extLst>
              <c:ext xmlns:c16="http://schemas.microsoft.com/office/drawing/2014/chart" uri="{C3380CC4-5D6E-409C-BE32-E72D297353CC}">
                <c16:uniqueId val="{0000002C-C6DA-47C6-902C-90817EF23279}"/>
              </c:ext>
            </c:extLst>
          </c:dPt>
          <c:val>
            <c:numRef>
              <c:f>'Tablero Nov'!$B$86:$C$86</c:f>
              <c:numCache>
                <c:formatCode>0%</c:formatCode>
                <c:ptCount val="2"/>
                <c:pt idx="0">
                  <c:v>0.92</c:v>
                </c:pt>
                <c:pt idx="1">
                  <c:v>0.08</c:v>
                </c:pt>
              </c:numCache>
            </c:numRef>
          </c:val>
          <c:extLst>
            <c:ext xmlns:c16="http://schemas.microsoft.com/office/drawing/2014/chart" uri="{C3380CC4-5D6E-409C-BE32-E72D297353CC}">
              <c16:uniqueId val="{0000002D-C6DA-47C6-902C-90817EF2327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3EFA-4DAA-9ADB-8AEF1CE1B39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3EFA-4DAA-9ADB-8AEF1CE1B39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3EFA-4DAA-9ADB-8AEF1CE1B39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3EFA-4DAA-9ADB-8AEF1CE1B39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3EFA-4DAA-9ADB-8AEF1CE1B39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3EFA-4DAA-9ADB-8AEF1CE1B39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3EFA-4DAA-9ADB-8AEF1CE1B39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3EFA-4DAA-9ADB-8AEF1CE1B39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3EFA-4DAA-9ADB-8AEF1CE1B39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3EFA-4DAA-9ADB-8AEF1CE1B39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3EFA-4DAA-9ADB-8AEF1CE1B39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3EFA-4DAA-9ADB-8AEF1CE1B39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3EFA-4DAA-9ADB-8AEF1CE1B39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3EFA-4DAA-9ADB-8AEF1CE1B39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3EFA-4DAA-9ADB-8AEF1CE1B39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3EFA-4DAA-9ADB-8AEF1CE1B39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3EFA-4DAA-9ADB-8AEF1CE1B39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3EFA-4DAA-9ADB-8AEF1CE1B39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3EFA-4DAA-9ADB-8AEF1CE1B39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3EFA-4DAA-9ADB-8AEF1CE1B39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EFA-4DAA-9ADB-8AEF1CE1B39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Nov'!$A$80</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EFA-4DAA-9ADB-8AEF1CE1B392}"/>
              </c:ext>
            </c:extLst>
          </c:dPt>
          <c:dPt>
            <c:idx val="1"/>
            <c:bubble3D val="0"/>
            <c:spPr>
              <a:noFill/>
              <a:ln w="19050">
                <a:solidFill>
                  <a:schemeClr val="lt1"/>
                </a:solidFill>
              </a:ln>
              <a:effectLst/>
            </c:spPr>
            <c:extLst>
              <c:ext xmlns:c16="http://schemas.microsoft.com/office/drawing/2014/chart" uri="{C3380CC4-5D6E-409C-BE32-E72D297353CC}">
                <c16:uniqueId val="{0000002C-3EFA-4DAA-9ADB-8AEF1CE1B392}"/>
              </c:ext>
            </c:extLst>
          </c:dPt>
          <c:val>
            <c:numRef>
              <c:f>'Tablero Nov'!$B$80:$C$80</c:f>
              <c:numCache>
                <c:formatCode>0%</c:formatCode>
                <c:ptCount val="2"/>
                <c:pt idx="0">
                  <c:v>0.05</c:v>
                </c:pt>
                <c:pt idx="1">
                  <c:v>0.95</c:v>
                </c:pt>
              </c:numCache>
            </c:numRef>
          </c:val>
          <c:extLst>
            <c:ext xmlns:c16="http://schemas.microsoft.com/office/drawing/2014/chart" uri="{C3380CC4-5D6E-409C-BE32-E72D297353CC}">
              <c16:uniqueId val="{0000002D-3EFA-4DAA-9ADB-8AEF1CE1B39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0E5-4E28-A1EE-458EEE404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E5-4E28-A1EE-458EEE404AF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0E5-4E28-A1EE-458EEE404AF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0E5-4E28-A1EE-458EEE404AF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0E5-4E28-A1EE-458EEE404AF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0E5-4E28-A1EE-458EEE404AF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0E5-4E28-A1EE-458EEE404AF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0E5-4E28-A1EE-458EEE404AF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0E5-4E28-A1EE-458EEE404AF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0E5-4E28-A1EE-458EEE404AF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0E5-4E28-A1EE-458EEE404AF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0E5-4E28-A1EE-458EEE404AF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0E5-4E28-A1EE-458EEE404AF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0E5-4E28-A1EE-458EEE404AF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0E5-4E28-A1EE-458EEE404AF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0E5-4E28-A1EE-458EEE404AF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0E5-4E28-A1EE-458EEE404AF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0E5-4E28-A1EE-458EEE404AF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0E5-4E28-A1EE-458EEE404AF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0E5-4E28-A1EE-458EEE404AF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0E5-4E28-A1EE-458EEE404AF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Nov'!$A$87</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0E5-4E28-A1EE-458EEE404AF6}"/>
              </c:ext>
            </c:extLst>
          </c:dPt>
          <c:dPt>
            <c:idx val="1"/>
            <c:bubble3D val="0"/>
            <c:spPr>
              <a:noFill/>
              <a:ln w="19050">
                <a:solidFill>
                  <a:schemeClr val="lt1"/>
                </a:solidFill>
              </a:ln>
              <a:effectLst/>
            </c:spPr>
            <c:extLst>
              <c:ext xmlns:c16="http://schemas.microsoft.com/office/drawing/2014/chart" uri="{C3380CC4-5D6E-409C-BE32-E72D297353CC}">
                <c16:uniqueId val="{0000002C-D0E5-4E28-A1EE-458EEE404AF6}"/>
              </c:ext>
            </c:extLst>
          </c:dPt>
          <c:val>
            <c:numRef>
              <c:f>'Tablero Nov'!$B$87:$C$87</c:f>
              <c:numCache>
                <c:formatCode>0%</c:formatCode>
                <c:ptCount val="2"/>
                <c:pt idx="0">
                  <c:v>0.87</c:v>
                </c:pt>
                <c:pt idx="1">
                  <c:v>0.13</c:v>
                </c:pt>
              </c:numCache>
            </c:numRef>
          </c:val>
          <c:extLst>
            <c:ext xmlns:c16="http://schemas.microsoft.com/office/drawing/2014/chart" uri="{C3380CC4-5D6E-409C-BE32-E72D297353CC}">
              <c16:uniqueId val="{0000002D-D0E5-4E28-A1EE-458EEE404AF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465-43BE-9188-90E079F04DB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465-43BE-9188-90E079F04DB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465-43BE-9188-90E079F04DB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465-43BE-9188-90E079F04DB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465-43BE-9188-90E079F04DB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465-43BE-9188-90E079F04DB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465-43BE-9188-90E079F04DB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465-43BE-9188-90E079F04DB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465-43BE-9188-90E079F04DB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465-43BE-9188-90E079F04DB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465-43BE-9188-90E079F04DB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465-43BE-9188-90E079F04DB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465-43BE-9188-90E079F04DB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465-43BE-9188-90E079F04DB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465-43BE-9188-90E079F04DB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465-43BE-9188-90E079F04DB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465-43BE-9188-90E079F04DB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465-43BE-9188-90E079F04DB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465-43BE-9188-90E079F04DB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465-43BE-9188-90E079F04DB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465-43BE-9188-90E079F04DB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Nov'!$A$81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465-43BE-9188-90E079F04DB0}"/>
              </c:ext>
            </c:extLst>
          </c:dPt>
          <c:dPt>
            <c:idx val="1"/>
            <c:bubble3D val="0"/>
            <c:spPr>
              <a:noFill/>
              <a:ln w="19050">
                <a:solidFill>
                  <a:schemeClr val="lt1"/>
                </a:solidFill>
              </a:ln>
              <a:effectLst/>
            </c:spPr>
            <c:extLst>
              <c:ext xmlns:c16="http://schemas.microsoft.com/office/drawing/2014/chart" uri="{C3380CC4-5D6E-409C-BE32-E72D297353CC}">
                <c16:uniqueId val="{0000002C-4465-43BE-9188-90E079F04DB0}"/>
              </c:ext>
            </c:extLst>
          </c:dPt>
          <c:val>
            <c:numRef>
              <c:f>'Tablero Nov'!$B$81:$C$81</c:f>
              <c:numCache>
                <c:formatCode>0%</c:formatCode>
                <c:ptCount val="2"/>
                <c:pt idx="0">
                  <c:v>0.25</c:v>
                </c:pt>
                <c:pt idx="1">
                  <c:v>0.75</c:v>
                </c:pt>
              </c:numCache>
            </c:numRef>
          </c:val>
          <c:extLst>
            <c:ext xmlns:c16="http://schemas.microsoft.com/office/drawing/2014/chart" uri="{C3380CC4-5D6E-409C-BE32-E72D297353CC}">
              <c16:uniqueId val="{0000002D-4465-43BE-9188-90E079F04DB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AA65-48A3-8F62-A48BDFCE92D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AA65-48A3-8F62-A48BDFCE92D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AA65-48A3-8F62-A48BDFCE92D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AA65-48A3-8F62-A48BDFCE92D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AA65-48A3-8F62-A48BDFCE92D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AA65-48A3-8F62-A48BDFCE92D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AA65-48A3-8F62-A48BDFCE92D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AA65-48A3-8F62-A48BDFCE92D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AA65-48A3-8F62-A48BDFCE92D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AA65-48A3-8F62-A48BDFCE92D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AA65-48A3-8F62-A48BDFCE92D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AA65-48A3-8F62-A48BDFCE92D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AA65-48A3-8F62-A48BDFCE92D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AA65-48A3-8F62-A48BDFCE92D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AA65-48A3-8F62-A48BDFCE92D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AA65-48A3-8F62-A48BDFCE92D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AA65-48A3-8F62-A48BDFCE92D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AA65-48A3-8F62-A48BDFCE92D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AA65-48A3-8F62-A48BDFCE92D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AA65-48A3-8F62-A48BDFCE92D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A65-48A3-8F62-A48BDFCE92D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Nov'!$A$93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A65-48A3-8F62-A48BDFCE92D6}"/>
              </c:ext>
            </c:extLst>
          </c:dPt>
          <c:dPt>
            <c:idx val="1"/>
            <c:bubble3D val="0"/>
            <c:spPr>
              <a:noFill/>
              <a:ln w="19050">
                <a:solidFill>
                  <a:schemeClr val="lt1"/>
                </a:solidFill>
              </a:ln>
              <a:effectLst/>
            </c:spPr>
            <c:extLst>
              <c:ext xmlns:c16="http://schemas.microsoft.com/office/drawing/2014/chart" uri="{C3380CC4-5D6E-409C-BE32-E72D297353CC}">
                <c16:uniqueId val="{0000002C-AA65-48A3-8F62-A48BDFCE92D6}"/>
              </c:ext>
            </c:extLst>
          </c:dPt>
          <c:val>
            <c:numRef>
              <c:f>'Tablero Nov'!$B$93:$C$93</c:f>
              <c:numCache>
                <c:formatCode>0%</c:formatCode>
                <c:ptCount val="2"/>
                <c:pt idx="0">
                  <c:v>0.7</c:v>
                </c:pt>
                <c:pt idx="1">
                  <c:v>0.3</c:v>
                </c:pt>
              </c:numCache>
            </c:numRef>
          </c:val>
          <c:extLst>
            <c:ext xmlns:c16="http://schemas.microsoft.com/office/drawing/2014/chart" uri="{C3380CC4-5D6E-409C-BE32-E72D297353CC}">
              <c16:uniqueId val="{0000002D-AA65-48A3-8F62-A48BDFCE92D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AC2-4723-8EF4-7B26455A71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C2-4723-8EF4-7B26455A71B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AAC2-4723-8EF4-7B26455A71B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AAC2-4723-8EF4-7B26455A71B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AAC2-4723-8EF4-7B26455A71B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AAC2-4723-8EF4-7B26455A71B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AC2-4723-8EF4-7B26455A71B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AAC2-4723-8EF4-7B26455A71B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AAC2-4723-8EF4-7B26455A71B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AAC2-4723-8EF4-7B26455A71B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AAC2-4723-8EF4-7B26455A71B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AAC2-4723-8EF4-7B26455A71B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AAC2-4723-8EF4-7B26455A71B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AAC2-4723-8EF4-7B26455A71B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AAC2-4723-8EF4-7B26455A71B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AAC2-4723-8EF4-7B26455A71B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AAC2-4723-8EF4-7B26455A71B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AAC2-4723-8EF4-7B26455A71B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AAC2-4723-8EF4-7B26455A71B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AAC2-4723-8EF4-7B26455A71B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AC2-4723-8EF4-7B26455A71B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Nov'!$A$99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AC2-4723-8EF4-7B26455A71BD}"/>
              </c:ext>
            </c:extLst>
          </c:dPt>
          <c:dPt>
            <c:idx val="1"/>
            <c:bubble3D val="0"/>
            <c:spPr>
              <a:noFill/>
              <a:ln w="19050">
                <a:solidFill>
                  <a:schemeClr val="lt1"/>
                </a:solidFill>
              </a:ln>
              <a:effectLst/>
            </c:spPr>
            <c:extLst>
              <c:ext xmlns:c16="http://schemas.microsoft.com/office/drawing/2014/chart" uri="{C3380CC4-5D6E-409C-BE32-E72D297353CC}">
                <c16:uniqueId val="{0000002C-AAC2-4723-8EF4-7B26455A71BD}"/>
              </c:ext>
            </c:extLst>
          </c:dPt>
          <c:val>
            <c:numRef>
              <c:f>'Tablero Nov'!$B$99:$C$99</c:f>
              <c:numCache>
                <c:formatCode>0%</c:formatCode>
                <c:ptCount val="2"/>
                <c:pt idx="0">
                  <c:v>0.66</c:v>
                </c:pt>
                <c:pt idx="1">
                  <c:v>0.34</c:v>
                </c:pt>
              </c:numCache>
            </c:numRef>
          </c:val>
          <c:extLst>
            <c:ext xmlns:c16="http://schemas.microsoft.com/office/drawing/2014/chart" uri="{C3380CC4-5D6E-409C-BE32-E72D297353CC}">
              <c16:uniqueId val="{0000002D-AAC2-4723-8EF4-7B26455A71B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A3A-4339-9CE8-595BF4464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3A-4339-9CE8-595BF44641B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A3A-4339-9CE8-595BF44641BB}"/>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A3A-4339-9CE8-595BF44641BB}"/>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A3A-4339-9CE8-595BF44641BB}"/>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A3A-4339-9CE8-595BF44641BB}"/>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A3A-4339-9CE8-595BF44641BB}"/>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A3A-4339-9CE8-595BF44641BB}"/>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A3A-4339-9CE8-595BF44641BB}"/>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A3A-4339-9CE8-595BF44641BB}"/>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A3A-4339-9CE8-595BF44641BB}"/>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A3A-4339-9CE8-595BF44641BB}"/>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A3A-4339-9CE8-595BF44641BB}"/>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A3A-4339-9CE8-595BF44641BB}"/>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A3A-4339-9CE8-595BF44641BB}"/>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A3A-4339-9CE8-595BF44641BB}"/>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A3A-4339-9CE8-595BF44641BB}"/>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A3A-4339-9CE8-595BF44641BB}"/>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A3A-4339-9CE8-595BF44641BB}"/>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A3A-4339-9CE8-595BF44641B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A3A-4339-9CE8-595BF44641B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Nov'!$A$100</c:f>
              <c:strCache>
                <c:ptCount val="1"/>
                <c:pt idx="0">
                  <c:v>Relaciones y Servicio</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A3A-4339-9CE8-595BF44641BB}"/>
              </c:ext>
            </c:extLst>
          </c:dPt>
          <c:dPt>
            <c:idx val="1"/>
            <c:bubble3D val="0"/>
            <c:spPr>
              <a:noFill/>
              <a:ln w="19050">
                <a:solidFill>
                  <a:schemeClr val="lt1"/>
                </a:solidFill>
              </a:ln>
              <a:effectLst/>
            </c:spPr>
            <c:extLst>
              <c:ext xmlns:c16="http://schemas.microsoft.com/office/drawing/2014/chart" uri="{C3380CC4-5D6E-409C-BE32-E72D297353CC}">
                <c16:uniqueId val="{0000002C-1A3A-4339-9CE8-595BF44641BB}"/>
              </c:ext>
            </c:extLst>
          </c:dPt>
          <c:val>
            <c:numRef>
              <c:f>'Tablero Nov'!$B$100:$C$100</c:f>
              <c:numCache>
                <c:formatCode>0%</c:formatCode>
                <c:ptCount val="2"/>
                <c:pt idx="0">
                  <c:v>0.91</c:v>
                </c:pt>
                <c:pt idx="1">
                  <c:v>0.09</c:v>
                </c:pt>
              </c:numCache>
            </c:numRef>
          </c:val>
          <c:extLst>
            <c:ext xmlns:c16="http://schemas.microsoft.com/office/drawing/2014/chart" uri="{C3380CC4-5D6E-409C-BE32-E72D297353CC}">
              <c16:uniqueId val="{0000002D-1A3A-4339-9CE8-595BF44641B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909-49AF-A49C-84C90E714EB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909-49AF-A49C-84C90E714EB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909-49AF-A49C-84C90E714EB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909-49AF-A49C-84C90E714EB7}"/>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909-49AF-A49C-84C90E714EB7}"/>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909-49AF-A49C-84C90E714EB7}"/>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909-49AF-A49C-84C90E714EB7}"/>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909-49AF-A49C-84C90E714EB7}"/>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909-49AF-A49C-84C90E714EB7}"/>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909-49AF-A49C-84C90E714EB7}"/>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909-49AF-A49C-84C90E714EB7}"/>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909-49AF-A49C-84C90E714EB7}"/>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909-49AF-A49C-84C90E714EB7}"/>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909-49AF-A49C-84C90E714EB7}"/>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909-49AF-A49C-84C90E714EB7}"/>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909-49AF-A49C-84C90E714EB7}"/>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909-49AF-A49C-84C90E714EB7}"/>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909-49AF-A49C-84C90E714EB7}"/>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909-49AF-A49C-84C90E714EB7}"/>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909-49AF-A49C-84C90E714EB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909-49AF-A49C-84C90E714EB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Nov'!$A$94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909-49AF-A49C-84C90E714EB7}"/>
              </c:ext>
            </c:extLst>
          </c:dPt>
          <c:dPt>
            <c:idx val="1"/>
            <c:bubble3D val="0"/>
            <c:spPr>
              <a:noFill/>
              <a:ln w="19050">
                <a:solidFill>
                  <a:schemeClr val="lt1"/>
                </a:solidFill>
              </a:ln>
              <a:effectLst/>
            </c:spPr>
            <c:extLst>
              <c:ext xmlns:c16="http://schemas.microsoft.com/office/drawing/2014/chart" uri="{C3380CC4-5D6E-409C-BE32-E72D297353CC}">
                <c16:uniqueId val="{0000002C-5909-49AF-A49C-84C90E714EB7}"/>
              </c:ext>
            </c:extLst>
          </c:dPt>
          <c:val>
            <c:numRef>
              <c:f>'Tablero Nov'!$B$94:$C$94</c:f>
              <c:numCache>
                <c:formatCode>0%</c:formatCode>
                <c:ptCount val="2"/>
                <c:pt idx="0">
                  <c:v>0.05</c:v>
                </c:pt>
                <c:pt idx="1">
                  <c:v>0.95</c:v>
                </c:pt>
              </c:numCache>
            </c:numRef>
          </c:val>
          <c:extLst>
            <c:ext xmlns:c16="http://schemas.microsoft.com/office/drawing/2014/chart" uri="{C3380CC4-5D6E-409C-BE32-E72D297353CC}">
              <c16:uniqueId val="{0000002D-5909-49AF-A49C-84C90E714EB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F64-4263-BE98-D69F07412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64-4263-BE98-D69F07412E6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F64-4263-BE98-D69F07412E6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0F64-4263-BE98-D69F07412E6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F64-4263-BE98-D69F07412E6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0F64-4263-BE98-D69F07412E6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0F64-4263-BE98-D69F07412E6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0F64-4263-BE98-D69F07412E6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0F64-4263-BE98-D69F07412E6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0F64-4263-BE98-D69F07412E6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0F64-4263-BE98-D69F07412E6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0F64-4263-BE98-D69F07412E6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0F64-4263-BE98-D69F07412E6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0F64-4263-BE98-D69F07412E6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0F64-4263-BE98-D69F07412E6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0F64-4263-BE98-D69F07412E6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0F64-4263-BE98-D69F07412E6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0F64-4263-BE98-D69F07412E6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0F64-4263-BE98-D69F07412E6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0F64-4263-BE98-D69F07412E6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F64-4263-BE98-D69F07412E6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F64-4263-BE98-D69F07412E63}"/>
              </c:ext>
            </c:extLst>
          </c:dPt>
          <c:dPt>
            <c:idx val="1"/>
            <c:bubble3D val="0"/>
            <c:spPr>
              <a:noFill/>
              <a:ln w="19050">
                <a:solidFill>
                  <a:schemeClr val="lt1"/>
                </a:solidFill>
              </a:ln>
              <a:effectLst/>
            </c:spPr>
            <c:extLst>
              <c:ext xmlns:c16="http://schemas.microsoft.com/office/drawing/2014/chart" uri="{C3380CC4-5D6E-409C-BE32-E72D297353CC}">
                <c16:uniqueId val="{0000002C-0F64-4263-BE98-D69F07412E63}"/>
              </c:ext>
            </c:extLst>
          </c:dPt>
          <c:val>
            <c:numRef>
              <c:f>'Tablero Nov'!$B$101:$C$101</c:f>
              <c:numCache>
                <c:formatCode>0%</c:formatCode>
                <c:ptCount val="2"/>
                <c:pt idx="0">
                  <c:v>0.72</c:v>
                </c:pt>
                <c:pt idx="1">
                  <c:v>0.28000000000000003</c:v>
                </c:pt>
              </c:numCache>
            </c:numRef>
          </c:val>
          <c:extLst>
            <c:ext xmlns:c16="http://schemas.microsoft.com/office/drawing/2014/chart" uri="{C3380CC4-5D6E-409C-BE32-E72D297353CC}">
              <c16:uniqueId val="{0000002D-0F64-4263-BE98-D69F07412E6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042-479B-837F-FD2EBF4C89D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042-479B-837F-FD2EBF4C89D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042-479B-837F-FD2EBF4C89D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042-479B-837F-FD2EBF4C89D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042-479B-837F-FD2EBF4C89D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042-479B-837F-FD2EBF4C89D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042-479B-837F-FD2EBF4C89D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042-479B-837F-FD2EBF4C89D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042-479B-837F-FD2EBF4C89D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042-479B-837F-FD2EBF4C89D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042-479B-837F-FD2EBF4C89D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042-479B-837F-FD2EBF4C89D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042-479B-837F-FD2EBF4C89D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042-479B-837F-FD2EBF4C89D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042-479B-837F-FD2EBF4C89D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042-479B-837F-FD2EBF4C89D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042-479B-837F-FD2EBF4C89D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042-479B-837F-FD2EBF4C89D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042-479B-837F-FD2EBF4C89D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042-479B-837F-FD2EBF4C89D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042-479B-837F-FD2EBF4C89D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Nov'!$A$95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042-479B-837F-FD2EBF4C89D6}"/>
              </c:ext>
            </c:extLst>
          </c:dPt>
          <c:dPt>
            <c:idx val="1"/>
            <c:bubble3D val="0"/>
            <c:spPr>
              <a:noFill/>
              <a:ln w="19050">
                <a:solidFill>
                  <a:schemeClr val="lt1"/>
                </a:solidFill>
              </a:ln>
              <a:effectLst/>
            </c:spPr>
            <c:extLst>
              <c:ext xmlns:c16="http://schemas.microsoft.com/office/drawing/2014/chart" uri="{C3380CC4-5D6E-409C-BE32-E72D297353CC}">
                <c16:uniqueId val="{0000002C-8042-479B-837F-FD2EBF4C89D6}"/>
              </c:ext>
            </c:extLst>
          </c:dPt>
          <c:val>
            <c:numRef>
              <c:f>'Tablero Nov'!$B$95:$C$95</c:f>
              <c:numCache>
                <c:formatCode>0%</c:formatCode>
                <c:ptCount val="2"/>
                <c:pt idx="0">
                  <c:v>0.25</c:v>
                </c:pt>
                <c:pt idx="1">
                  <c:v>0.75</c:v>
                </c:pt>
              </c:numCache>
            </c:numRef>
          </c:val>
          <c:extLst>
            <c:ext xmlns:c16="http://schemas.microsoft.com/office/drawing/2014/chart" uri="{C3380CC4-5D6E-409C-BE32-E72D297353CC}">
              <c16:uniqueId val="{0000002D-8042-479B-837F-FD2EBF4C89D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F72-45FB-A3A3-D3634322D51E}"/>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F72-45FB-A3A3-D3634322D51E}"/>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F72-45FB-A3A3-D3634322D51E}"/>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F72-45FB-A3A3-D3634322D51E}"/>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F72-45FB-A3A3-D3634322D51E}"/>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F72-45FB-A3A3-D3634322D51E}"/>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F72-45FB-A3A3-D3634322D51E}"/>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F72-45FB-A3A3-D3634322D51E}"/>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F72-45FB-A3A3-D3634322D51E}"/>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F72-45FB-A3A3-D3634322D51E}"/>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F72-45FB-A3A3-D3634322D51E}"/>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F72-45FB-A3A3-D3634322D51E}"/>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F72-45FB-A3A3-D3634322D51E}"/>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F72-45FB-A3A3-D3634322D51E}"/>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F72-45FB-A3A3-D3634322D51E}"/>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F72-45FB-A3A3-D3634322D51E}"/>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F72-45FB-A3A3-D3634322D51E}"/>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F72-45FB-A3A3-D3634322D51E}"/>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F72-45FB-A3A3-D3634322D51E}"/>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F72-45FB-A3A3-D3634322D51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F72-45FB-A3A3-D3634322D51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Nov'!$A$107</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F72-45FB-A3A3-D3634322D51E}"/>
              </c:ext>
            </c:extLst>
          </c:dPt>
          <c:dPt>
            <c:idx val="1"/>
            <c:bubble3D val="0"/>
            <c:spPr>
              <a:noFill/>
              <a:ln w="19050">
                <a:solidFill>
                  <a:schemeClr val="lt1"/>
                </a:solidFill>
              </a:ln>
              <a:effectLst/>
            </c:spPr>
            <c:extLst>
              <c:ext xmlns:c16="http://schemas.microsoft.com/office/drawing/2014/chart" uri="{C3380CC4-5D6E-409C-BE32-E72D297353CC}">
                <c16:uniqueId val="{0000002C-0F72-45FB-A3A3-D3634322D51E}"/>
              </c:ext>
            </c:extLst>
          </c:dPt>
          <c:val>
            <c:numRef>
              <c:f>'Tablero Nov'!$B$107:$C$107</c:f>
              <c:numCache>
                <c:formatCode>0%</c:formatCode>
                <c:ptCount val="2"/>
                <c:pt idx="0">
                  <c:v>0.7</c:v>
                </c:pt>
                <c:pt idx="1">
                  <c:v>0.3</c:v>
                </c:pt>
              </c:numCache>
            </c:numRef>
          </c:val>
          <c:extLst>
            <c:ext xmlns:c16="http://schemas.microsoft.com/office/drawing/2014/chart" uri="{C3380CC4-5D6E-409C-BE32-E72D297353CC}">
              <c16:uniqueId val="{0000002D-0F72-45FB-A3A3-D3634322D51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EC9-4C61-9F92-47124C6CF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9-4C61-9F92-47124C6CF6A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4EC9-4C61-9F92-47124C6CF6AA}"/>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4EC9-4C61-9F92-47124C6CF6AA}"/>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4EC9-4C61-9F92-47124C6CF6AA}"/>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4EC9-4C61-9F92-47124C6CF6AA}"/>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4EC9-4C61-9F92-47124C6CF6AA}"/>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4EC9-4C61-9F92-47124C6CF6AA}"/>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4EC9-4C61-9F92-47124C6CF6AA}"/>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4EC9-4C61-9F92-47124C6CF6AA}"/>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4EC9-4C61-9F92-47124C6CF6AA}"/>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4EC9-4C61-9F92-47124C6CF6AA}"/>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4EC9-4C61-9F92-47124C6CF6AA}"/>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4EC9-4C61-9F92-47124C6CF6AA}"/>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4EC9-4C61-9F92-47124C6CF6AA}"/>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4EC9-4C61-9F92-47124C6CF6AA}"/>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4EC9-4C61-9F92-47124C6CF6AA}"/>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4EC9-4C61-9F92-47124C6CF6AA}"/>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4EC9-4C61-9F92-47124C6CF6AA}"/>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4EC9-4C61-9F92-47124C6CF6A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EC9-4C61-9F92-47124C6CF6A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Nov'!$A$113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EC9-4C61-9F92-47124C6CF6AA}"/>
              </c:ext>
            </c:extLst>
          </c:dPt>
          <c:dPt>
            <c:idx val="1"/>
            <c:bubble3D val="0"/>
            <c:spPr>
              <a:noFill/>
              <a:ln w="19050">
                <a:solidFill>
                  <a:schemeClr val="lt1"/>
                </a:solidFill>
              </a:ln>
              <a:effectLst/>
            </c:spPr>
            <c:extLst>
              <c:ext xmlns:c16="http://schemas.microsoft.com/office/drawing/2014/chart" uri="{C3380CC4-5D6E-409C-BE32-E72D297353CC}">
                <c16:uniqueId val="{0000002C-4EC9-4C61-9F92-47124C6CF6AA}"/>
              </c:ext>
            </c:extLst>
          </c:dPt>
          <c:val>
            <c:numRef>
              <c:f>'Tablero Nov'!$B$113:$C$113</c:f>
              <c:numCache>
                <c:formatCode>0%</c:formatCode>
                <c:ptCount val="2"/>
                <c:pt idx="0">
                  <c:v>0.9</c:v>
                </c:pt>
                <c:pt idx="1">
                  <c:v>0.1</c:v>
                </c:pt>
              </c:numCache>
            </c:numRef>
          </c:val>
          <c:extLst>
            <c:ext xmlns:c16="http://schemas.microsoft.com/office/drawing/2014/chart" uri="{C3380CC4-5D6E-409C-BE32-E72D297353CC}">
              <c16:uniqueId val="{0000002D-4EC9-4C61-9F92-47124C6CF6A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3DC-4D2E-80F2-53815396F02D}"/>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3DC-4D2E-80F2-53815396F02D}"/>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73DC-4D2E-80F2-53815396F02D}"/>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73DC-4D2E-80F2-53815396F02D}"/>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3DC-4D2E-80F2-53815396F02D}"/>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73DC-4D2E-80F2-53815396F02D}"/>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73DC-4D2E-80F2-53815396F02D}"/>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73DC-4D2E-80F2-53815396F02D}"/>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73DC-4D2E-80F2-53815396F02D}"/>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73DC-4D2E-80F2-53815396F02D}"/>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73DC-4D2E-80F2-53815396F02D}"/>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73DC-4D2E-80F2-53815396F02D}"/>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73DC-4D2E-80F2-53815396F02D}"/>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3DC-4D2E-80F2-53815396F02D}"/>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3DC-4D2E-80F2-53815396F02D}"/>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73DC-4D2E-80F2-53815396F02D}"/>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73DC-4D2E-80F2-53815396F02D}"/>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73DC-4D2E-80F2-53815396F02D}"/>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73DC-4D2E-80F2-53815396F02D}"/>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73DC-4D2E-80F2-53815396F02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3DC-4D2E-80F2-53815396F02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Nov'!$A$108</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3DC-4D2E-80F2-53815396F02D}"/>
              </c:ext>
            </c:extLst>
          </c:dPt>
          <c:dPt>
            <c:idx val="1"/>
            <c:bubble3D val="0"/>
            <c:spPr>
              <a:noFill/>
              <a:ln w="19050">
                <a:solidFill>
                  <a:schemeClr val="lt1"/>
                </a:solidFill>
              </a:ln>
              <a:effectLst/>
            </c:spPr>
            <c:extLst>
              <c:ext xmlns:c16="http://schemas.microsoft.com/office/drawing/2014/chart" uri="{C3380CC4-5D6E-409C-BE32-E72D297353CC}">
                <c16:uniqueId val="{0000002C-73DC-4D2E-80F2-53815396F02D}"/>
              </c:ext>
            </c:extLst>
          </c:dPt>
          <c:val>
            <c:numRef>
              <c:f>'Tablero Nov'!$B$108:$C$108</c:f>
              <c:numCache>
                <c:formatCode>0%</c:formatCode>
                <c:ptCount val="2"/>
                <c:pt idx="0">
                  <c:v>0.05</c:v>
                </c:pt>
                <c:pt idx="1">
                  <c:v>0.95</c:v>
                </c:pt>
              </c:numCache>
            </c:numRef>
          </c:val>
          <c:extLst>
            <c:ext xmlns:c16="http://schemas.microsoft.com/office/drawing/2014/chart" uri="{C3380CC4-5D6E-409C-BE32-E72D297353CC}">
              <c16:uniqueId val="{0000002D-73DC-4D2E-80F2-53815396F02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Nov'!$A$65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DC6-4B59-AD19-E7E9493AA2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C6-4B59-AD19-E7E9493AA2F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9DC6-4B59-AD19-E7E9493AA2F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9DC6-4B59-AD19-E7E9493AA2F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9DC6-4B59-AD19-E7E9493AA2F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9DC6-4B59-AD19-E7E9493AA2F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9DC6-4B59-AD19-E7E9493AA2F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9DC6-4B59-AD19-E7E9493AA2F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9DC6-4B59-AD19-E7E9493AA2F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9DC6-4B59-AD19-E7E9493AA2F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9DC6-4B59-AD19-E7E9493AA2F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9DC6-4B59-AD19-E7E9493AA2F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9DC6-4B59-AD19-E7E9493AA2F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9DC6-4B59-AD19-E7E9493AA2F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9DC6-4B59-AD19-E7E9493AA2F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9DC6-4B59-AD19-E7E9493AA2F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9DC6-4B59-AD19-E7E9493AA2F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9DC6-4B59-AD19-E7E9493AA2F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9DC6-4B59-AD19-E7E9493AA2F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9DC6-4B59-AD19-E7E9493AA2F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DC6-4B59-AD19-E7E9493AA2F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Nov'!$A$115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9DC6-4B59-AD19-E7E9493AA2F9}"/>
              </c:ext>
            </c:extLst>
          </c:dPt>
          <c:dPt>
            <c:idx val="1"/>
            <c:bubble3D val="0"/>
            <c:spPr>
              <a:noFill/>
              <a:ln w="19050">
                <a:solidFill>
                  <a:schemeClr val="lt1"/>
                </a:solidFill>
              </a:ln>
              <a:effectLst/>
            </c:spPr>
            <c:extLst>
              <c:ext xmlns:c16="http://schemas.microsoft.com/office/drawing/2014/chart" uri="{C3380CC4-5D6E-409C-BE32-E72D297353CC}">
                <c16:uniqueId val="{0000002C-9DC6-4B59-AD19-E7E9493AA2F9}"/>
              </c:ext>
            </c:extLst>
          </c:dPt>
          <c:val>
            <c:numRef>
              <c:f>'Tablero Nov'!$B$115:$C$115</c:f>
              <c:numCache>
                <c:formatCode>0%</c:formatCode>
                <c:ptCount val="2"/>
                <c:pt idx="0">
                  <c:v>0.83</c:v>
                </c:pt>
                <c:pt idx="1">
                  <c:v>0.17</c:v>
                </c:pt>
              </c:numCache>
            </c:numRef>
          </c:val>
          <c:extLst>
            <c:ext xmlns:c16="http://schemas.microsoft.com/office/drawing/2014/chart" uri="{C3380CC4-5D6E-409C-BE32-E72D297353CC}">
              <c16:uniqueId val="{0000002D-9DC6-4B59-AD19-E7E9493AA2F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1BCF-4E3B-8763-50C149D092E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1BCF-4E3B-8763-50C149D092E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1BCF-4E3B-8763-50C149D092E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1BCF-4E3B-8763-50C149D092E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1BCF-4E3B-8763-50C149D092E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1BCF-4E3B-8763-50C149D092E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1BCF-4E3B-8763-50C149D092E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1BCF-4E3B-8763-50C149D092E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1BCF-4E3B-8763-50C149D092E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1BCF-4E3B-8763-50C149D092E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1BCF-4E3B-8763-50C149D092E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1BCF-4E3B-8763-50C149D092E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1BCF-4E3B-8763-50C149D092E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1BCF-4E3B-8763-50C149D092E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1BCF-4E3B-8763-50C149D092E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1BCF-4E3B-8763-50C149D092E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1BCF-4E3B-8763-50C149D092E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1BCF-4E3B-8763-50C149D092E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1BCF-4E3B-8763-50C149D092E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1BCF-4E3B-8763-50C149D092E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BCF-4E3B-8763-50C149D092E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Nov'!$A$109</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BCF-4E3B-8763-50C149D092E6}"/>
              </c:ext>
            </c:extLst>
          </c:dPt>
          <c:dPt>
            <c:idx val="1"/>
            <c:bubble3D val="0"/>
            <c:spPr>
              <a:noFill/>
              <a:ln w="19050">
                <a:solidFill>
                  <a:schemeClr val="lt1"/>
                </a:solidFill>
              </a:ln>
              <a:effectLst/>
            </c:spPr>
            <c:extLst>
              <c:ext xmlns:c16="http://schemas.microsoft.com/office/drawing/2014/chart" uri="{C3380CC4-5D6E-409C-BE32-E72D297353CC}">
                <c16:uniqueId val="{0000002C-1BCF-4E3B-8763-50C149D092E6}"/>
              </c:ext>
            </c:extLst>
          </c:dPt>
          <c:val>
            <c:numRef>
              <c:f>'Tablero Nov'!$B$109:$C$109</c:f>
              <c:numCache>
                <c:formatCode>0%</c:formatCode>
                <c:ptCount val="2"/>
                <c:pt idx="0">
                  <c:v>0.25</c:v>
                </c:pt>
                <c:pt idx="1">
                  <c:v>0.75</c:v>
                </c:pt>
              </c:numCache>
            </c:numRef>
          </c:val>
          <c:extLst>
            <c:ext xmlns:c16="http://schemas.microsoft.com/office/drawing/2014/chart" uri="{C3380CC4-5D6E-409C-BE32-E72D297353CC}">
              <c16:uniqueId val="{0000002D-1BCF-4E3B-8763-50C149D092E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Nov'!$A$65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B42A-4387-B71B-C92B0DB2287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42A-4387-B71B-C92B0DB2287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B42A-4387-B71B-C92B0DB22879}"/>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B42A-4387-B71B-C92B0DB22879}"/>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B42A-4387-B71B-C92B0DB22879}"/>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B42A-4387-B71B-C92B0DB22879}"/>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B42A-4387-B71B-C92B0DB22879}"/>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B42A-4387-B71B-C92B0DB22879}"/>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B42A-4387-B71B-C92B0DB22879}"/>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B42A-4387-B71B-C92B0DB22879}"/>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B42A-4387-B71B-C92B0DB22879}"/>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B42A-4387-B71B-C92B0DB22879}"/>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B42A-4387-B71B-C92B0DB22879}"/>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B42A-4387-B71B-C92B0DB22879}"/>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B42A-4387-B71B-C92B0DB22879}"/>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B42A-4387-B71B-C92B0DB22879}"/>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B42A-4387-B71B-C92B0DB22879}"/>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B42A-4387-B71B-C92B0DB22879}"/>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B42A-4387-B71B-C92B0DB22879}"/>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B42A-4387-B71B-C92B0DB2287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42A-4387-B71B-C92B0DB2287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Tablero!#REF!</c:f>
              <c:strCache>
                <c:ptCount val="1"/>
                <c:pt idx="0">
                  <c:v>#REF!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B42A-4387-B71B-C92B0DB22879}"/>
              </c:ext>
            </c:extLst>
          </c:dPt>
          <c:val>
            <c:numRef>
              <c:f>Tablero!#REF!</c:f>
              <c:numCache>
                <c:formatCode>General</c:formatCode>
                <c:ptCount val="1"/>
                <c:pt idx="0">
                  <c:v>1</c:v>
                </c:pt>
              </c:numCache>
            </c:numRef>
          </c:val>
          <c:extLst>
            <c:ext xmlns:c16="http://schemas.microsoft.com/office/drawing/2014/chart" uri="{C3380CC4-5D6E-409C-BE32-E72D297353CC}">
              <c16:uniqueId val="{0000002B-B42A-4387-B71B-C92B0DB2287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2A1C-425F-AAA4-2A32DF400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1C-425F-AAA4-2A32DF40097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2A1C-425F-AAA4-2A32DF400970}"/>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2A1C-425F-AAA4-2A32DF400970}"/>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2A1C-425F-AAA4-2A32DF400970}"/>
              </c:ext>
            </c:extLst>
          </c:dPt>
          <c:dPt>
            <c:idx val="5"/>
            <c:bubble3D val="0"/>
            <c:spPr>
              <a:noFill/>
              <a:ln w="19050">
                <a:solidFill>
                  <a:schemeClr val="lt1"/>
                </a:solidFill>
              </a:ln>
              <a:effectLst/>
            </c:spPr>
            <c:extLst>
              <c:ext xmlns:c16="http://schemas.microsoft.com/office/drawing/2014/chart" uri="{C3380CC4-5D6E-409C-BE32-E72D297353CC}">
                <c16:uniqueId val="{0000000B-2A1C-425F-AAA4-2A32DF400970}"/>
              </c:ext>
            </c:extLst>
          </c:dPt>
          <c:val>
            <c:numRef>
              <c:f>'Tablero Nov'!$F$64:$F$69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2A1C-425F-AAA4-2A32DF400970}"/>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2A1C-425F-AAA4-2A32DF40097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2A1C-425F-AAA4-2A32DF400970}"/>
              </c:ext>
            </c:extLst>
          </c:dPt>
          <c:dPt>
            <c:idx val="2"/>
            <c:bubble3D val="0"/>
            <c:spPr>
              <a:noFill/>
              <a:ln w="19050">
                <a:solidFill>
                  <a:schemeClr val="lt1"/>
                </a:solidFill>
              </a:ln>
              <a:effectLst/>
            </c:spPr>
            <c:extLst>
              <c:ext xmlns:c16="http://schemas.microsoft.com/office/drawing/2014/chart" uri="{C3380CC4-5D6E-409C-BE32-E72D297353CC}">
                <c16:uniqueId val="{00000012-2A1C-425F-AAA4-2A32DF400970}"/>
              </c:ext>
            </c:extLst>
          </c:dPt>
          <c:val>
            <c:numRef>
              <c:f>'Tablero Nov'!$F$87:$F$89</c:f>
              <c:numCache>
                <c:formatCode>General</c:formatCode>
                <c:ptCount val="3"/>
                <c:pt idx="0">
                  <c:v>74.5</c:v>
                </c:pt>
                <c:pt idx="1">
                  <c:v>3</c:v>
                </c:pt>
                <c:pt idx="2">
                  <c:v>122.5</c:v>
                </c:pt>
              </c:numCache>
            </c:numRef>
          </c:val>
          <c:extLst>
            <c:ext xmlns:c16="http://schemas.microsoft.com/office/drawing/2014/chart" uri="{C3380CC4-5D6E-409C-BE32-E72D297353CC}">
              <c16:uniqueId val="{00000013-2A1C-425F-AAA4-2A32DF40097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1B3E-48E5-960B-988E3F0B92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3E-48E5-960B-988E3F0B92F1}"/>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1B3E-48E5-960B-988E3F0B92F1}"/>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1B3E-48E5-960B-988E3F0B92F1}"/>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1B3E-48E5-960B-988E3F0B92F1}"/>
              </c:ext>
            </c:extLst>
          </c:dPt>
          <c:dPt>
            <c:idx val="5"/>
            <c:bubble3D val="0"/>
            <c:spPr>
              <a:noFill/>
              <a:ln w="19050">
                <a:solidFill>
                  <a:schemeClr val="lt1"/>
                </a:solidFill>
              </a:ln>
              <a:effectLst/>
            </c:spPr>
            <c:extLst>
              <c:ext xmlns:c16="http://schemas.microsoft.com/office/drawing/2014/chart" uri="{C3380CC4-5D6E-409C-BE32-E72D297353CC}">
                <c16:uniqueId val="{0000000B-1B3E-48E5-960B-988E3F0B92F1}"/>
              </c:ext>
            </c:extLst>
          </c:dPt>
          <c:val>
            <c:numRef>
              <c:f>'Tablero Nov'!$F$64:$F$69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1B3E-48E5-960B-988E3F0B92F1}"/>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1B3E-48E5-960B-988E3F0B92F1}"/>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1B3E-48E5-960B-988E3F0B92F1}"/>
              </c:ext>
            </c:extLst>
          </c:dPt>
          <c:dPt>
            <c:idx val="2"/>
            <c:bubble3D val="0"/>
            <c:spPr>
              <a:noFill/>
              <a:ln w="19050">
                <a:solidFill>
                  <a:schemeClr val="lt1"/>
                </a:solidFill>
              </a:ln>
              <a:effectLst/>
            </c:spPr>
            <c:extLst>
              <c:ext xmlns:c16="http://schemas.microsoft.com/office/drawing/2014/chart" uri="{C3380CC4-5D6E-409C-BE32-E72D297353CC}">
                <c16:uniqueId val="{00000012-1B3E-48E5-960B-988E3F0B92F1}"/>
              </c:ext>
            </c:extLst>
          </c:dPt>
          <c:val>
            <c:numRef>
              <c:f>'Tablero Nov'!$F$101:$F$103</c:f>
              <c:numCache>
                <c:formatCode>General</c:formatCode>
                <c:ptCount val="3"/>
                <c:pt idx="0">
                  <c:v>67.5</c:v>
                </c:pt>
                <c:pt idx="1">
                  <c:v>3</c:v>
                </c:pt>
                <c:pt idx="2">
                  <c:v>129.5</c:v>
                </c:pt>
              </c:numCache>
            </c:numRef>
          </c:val>
          <c:extLst>
            <c:ext xmlns:c16="http://schemas.microsoft.com/office/drawing/2014/chart" uri="{C3380CC4-5D6E-409C-BE32-E72D297353CC}">
              <c16:uniqueId val="{00000013-1B3E-48E5-960B-988E3F0B92F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86D4-4F08-AF62-C623D41AAB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D4-4F08-AF62-C623D41AAB9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86D4-4F08-AF62-C623D41AAB93}"/>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86D4-4F08-AF62-C623D41AAB93}"/>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86D4-4F08-AF62-C623D41AAB93}"/>
              </c:ext>
            </c:extLst>
          </c:dPt>
          <c:dPt>
            <c:idx val="5"/>
            <c:bubble3D val="0"/>
            <c:spPr>
              <a:noFill/>
              <a:ln w="19050">
                <a:solidFill>
                  <a:schemeClr val="lt1"/>
                </a:solidFill>
              </a:ln>
              <a:effectLst/>
            </c:spPr>
            <c:extLst>
              <c:ext xmlns:c16="http://schemas.microsoft.com/office/drawing/2014/chart" uri="{C3380CC4-5D6E-409C-BE32-E72D297353CC}">
                <c16:uniqueId val="{0000000B-86D4-4F08-AF62-C623D41AAB93}"/>
              </c:ext>
            </c:extLst>
          </c:dPt>
          <c:val>
            <c:numRef>
              <c:f>'Tablero Nov'!$F$64:$F$69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86D4-4F08-AF62-C623D41AAB93}"/>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86D4-4F08-AF62-C623D41AAB9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86D4-4F08-AF62-C623D41AAB93}"/>
              </c:ext>
            </c:extLst>
          </c:dPt>
          <c:dPt>
            <c:idx val="2"/>
            <c:bubble3D val="0"/>
            <c:spPr>
              <a:noFill/>
              <a:ln w="19050">
                <a:solidFill>
                  <a:schemeClr val="lt1"/>
                </a:solidFill>
              </a:ln>
              <a:effectLst/>
            </c:spPr>
            <c:extLst>
              <c:ext xmlns:c16="http://schemas.microsoft.com/office/drawing/2014/chart" uri="{C3380CC4-5D6E-409C-BE32-E72D297353CC}">
                <c16:uniqueId val="{00000012-86D4-4F08-AF62-C623D41AAB93}"/>
              </c:ext>
            </c:extLst>
          </c:dPt>
          <c:val>
            <c:numRef>
              <c:f>'Tablero Nov'!$F$115:$F$117</c:f>
              <c:numCache>
                <c:formatCode>General</c:formatCode>
                <c:ptCount val="3"/>
                <c:pt idx="0">
                  <c:v>86.5</c:v>
                </c:pt>
                <c:pt idx="1">
                  <c:v>3</c:v>
                </c:pt>
                <c:pt idx="2">
                  <c:v>110.5</c:v>
                </c:pt>
              </c:numCache>
            </c:numRef>
          </c:val>
          <c:extLst>
            <c:ext xmlns:c16="http://schemas.microsoft.com/office/drawing/2014/chart" uri="{C3380CC4-5D6E-409C-BE32-E72D297353CC}">
              <c16:uniqueId val="{00000013-86D4-4F08-AF62-C623D41AAB9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Nov!TablaDinámica1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'Tablero Nov'!$AK$17</c:f>
              <c:strCache>
                <c:ptCount val="1"/>
                <c:pt idx="0">
                  <c:v>Suma de INCIDENCIA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'Tablero Nov'!$AJ$18:$AJ$34</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Nov'!$AK$18:$AK$34</c:f>
              <c:numCache>
                <c:formatCode>0%</c:formatCode>
                <c:ptCount val="13"/>
                <c:pt idx="0">
                  <c:v>0.7</c:v>
                </c:pt>
                <c:pt idx="1">
                  <c:v>0.25</c:v>
                </c:pt>
                <c:pt idx="2">
                  <c:v>0.05</c:v>
                </c:pt>
                <c:pt idx="3">
                  <c:v>0.7</c:v>
                </c:pt>
                <c:pt idx="4">
                  <c:v>0.25</c:v>
                </c:pt>
                <c:pt idx="5">
                  <c:v>0.05</c:v>
                </c:pt>
                <c:pt idx="6">
                  <c:v>0.3</c:v>
                </c:pt>
                <c:pt idx="7">
                  <c:v>0.1</c:v>
                </c:pt>
                <c:pt idx="8">
                  <c:v>0.3</c:v>
                </c:pt>
                <c:pt idx="9">
                  <c:v>0.3</c:v>
                </c:pt>
                <c:pt idx="10">
                  <c:v>0.7</c:v>
                </c:pt>
                <c:pt idx="11">
                  <c:v>0.25</c:v>
                </c:pt>
                <c:pt idx="12">
                  <c:v>0.05</c:v>
                </c:pt>
              </c:numCache>
            </c:numRef>
          </c:val>
          <c:smooth val="0"/>
          <c:extLst>
            <c:ext xmlns:c16="http://schemas.microsoft.com/office/drawing/2014/chart" uri="{C3380CC4-5D6E-409C-BE32-E72D297353CC}">
              <c16:uniqueId val="{00000000-433F-42CE-A7B5-40BCF1D2910C}"/>
            </c:ext>
          </c:extLst>
        </c:ser>
        <c:ser>
          <c:idx val="1"/>
          <c:order val="1"/>
          <c:tx>
            <c:strRef>
              <c:f>'Tablero Nov'!$AL$17</c:f>
              <c:strCache>
                <c:ptCount val="1"/>
                <c:pt idx="0">
                  <c:v>Suma de CALIFICACIÓN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'Tablero Nov'!$AJ$18:$AJ$34</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Nov'!$AL$18:$AL$34</c:f>
              <c:numCache>
                <c:formatCode>0%</c:formatCode>
                <c:ptCount val="13"/>
                <c:pt idx="0">
                  <c:v>0.46</c:v>
                </c:pt>
                <c:pt idx="1">
                  <c:v>0.18</c:v>
                </c:pt>
                <c:pt idx="2">
                  <c:v>0.05</c:v>
                </c:pt>
                <c:pt idx="3">
                  <c:v>0.63</c:v>
                </c:pt>
                <c:pt idx="4">
                  <c:v>0.21</c:v>
                </c:pt>
                <c:pt idx="5">
                  <c:v>0.04</c:v>
                </c:pt>
                <c:pt idx="6">
                  <c:v>0.23</c:v>
                </c:pt>
                <c:pt idx="7">
                  <c:v>0.09</c:v>
                </c:pt>
                <c:pt idx="8">
                  <c:v>0.25</c:v>
                </c:pt>
                <c:pt idx="9">
                  <c:v>0.25</c:v>
                </c:pt>
                <c:pt idx="10">
                  <c:v>0.5</c:v>
                </c:pt>
                <c:pt idx="11">
                  <c:v>0.22</c:v>
                </c:pt>
                <c:pt idx="12">
                  <c:v>0.05</c:v>
                </c:pt>
              </c:numCache>
            </c:numRef>
          </c:val>
          <c:smooth val="0"/>
          <c:extLst>
            <c:ext xmlns:c16="http://schemas.microsoft.com/office/drawing/2014/chart" uri="{C3380CC4-5D6E-409C-BE32-E72D297353CC}">
              <c16:uniqueId val="{00000001-433F-42CE-A7B5-40BCF1D2910C}"/>
            </c:ext>
          </c:extLst>
        </c:ser>
        <c:dLbls>
          <c:showLegendKey val="0"/>
          <c:showVal val="0"/>
          <c:showCatName val="0"/>
          <c:showSerName val="0"/>
          <c:showPercent val="0"/>
          <c:showBubbleSize val="0"/>
        </c:dLbls>
        <c:marker val="1"/>
        <c:smooth val="0"/>
        <c:axId val="1119991935"/>
        <c:axId val="1119983775"/>
      </c:lineChart>
      <c:catAx>
        <c:axId val="11199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9983775"/>
        <c:crosses val="autoZero"/>
        <c:auto val="1"/>
        <c:lblAlgn val="ctr"/>
        <c:lblOffset val="100"/>
        <c:noMultiLvlLbl val="0"/>
      </c:catAx>
      <c:valAx>
        <c:axId val="111998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99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Nov!TablaDinámica2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'Tablero Nov'!$AQ$17</c:f>
              <c:strCache>
                <c:ptCount val="1"/>
                <c:pt idx="0">
                  <c:v>Suma de Agosto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Nov'!$AP$18:$AP$21</c:f>
              <c:strCache>
                <c:ptCount val="4"/>
                <c:pt idx="0">
                  <c:v>ASESORA COMERCIAL</c:v>
                </c:pt>
                <c:pt idx="1">
                  <c:v>ASESORA COMERCIAL ADMIN</c:v>
                </c:pt>
                <c:pt idx="2">
                  <c:v>DIRECTORA COMERCIAL</c:v>
                </c:pt>
                <c:pt idx="3">
                  <c:v>LIDER SALA DE VENTAS</c:v>
                </c:pt>
              </c:strCache>
            </c:strRef>
          </c:cat>
          <c:val>
            <c:numRef>
              <c:f>'Tablero Nov'!$AQ$18:$AQ$21</c:f>
              <c:numCache>
                <c:formatCode>General</c:formatCode>
                <c:ptCount val="4"/>
                <c:pt idx="2">
                  <c:v>69</c:v>
                </c:pt>
              </c:numCache>
            </c:numRef>
          </c:val>
          <c:extLst>
            <c:ext xmlns:c16="http://schemas.microsoft.com/office/drawing/2014/chart" uri="{C3380CC4-5D6E-409C-BE32-E72D297353CC}">
              <c16:uniqueId val="{00000000-9A8B-4997-990F-3476985CF389}"/>
            </c:ext>
          </c:extLst>
        </c:ser>
        <c:ser>
          <c:idx val="1"/>
          <c:order val="1"/>
          <c:tx>
            <c:strRef>
              <c:f>'Tablero Nov'!$AR$17</c:f>
              <c:strCache>
                <c:ptCount val="1"/>
                <c:pt idx="0">
                  <c:v>Suma de Septiembre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Nov'!$AP$18:$AP$21</c:f>
              <c:strCache>
                <c:ptCount val="4"/>
                <c:pt idx="0">
                  <c:v>ASESORA COMERCIAL</c:v>
                </c:pt>
                <c:pt idx="1">
                  <c:v>ASESORA COMERCIAL ADMIN</c:v>
                </c:pt>
                <c:pt idx="2">
                  <c:v>DIRECTORA COMERCIAL</c:v>
                </c:pt>
                <c:pt idx="3">
                  <c:v>LIDER SALA DE VENTAS</c:v>
                </c:pt>
              </c:strCache>
            </c:strRef>
          </c:cat>
          <c:val>
            <c:numRef>
              <c:f>'Tablero Nov'!$AR$18:$AR$21</c:f>
              <c:numCache>
                <c:formatCode>General</c:formatCode>
                <c:ptCount val="4"/>
                <c:pt idx="2">
                  <c:v>74</c:v>
                </c:pt>
              </c:numCache>
            </c:numRef>
          </c:val>
          <c:extLst>
            <c:ext xmlns:c16="http://schemas.microsoft.com/office/drawing/2014/chart" uri="{C3380CC4-5D6E-409C-BE32-E72D297353CC}">
              <c16:uniqueId val="{00000001-9A8B-4997-990F-3476985CF389}"/>
            </c:ext>
          </c:extLst>
        </c:ser>
        <c:ser>
          <c:idx val="2"/>
          <c:order val="2"/>
          <c:tx>
            <c:strRef>
              <c:f>'Tablero Nov'!$AS$17</c:f>
              <c:strCache>
                <c:ptCount val="1"/>
                <c:pt idx="0">
                  <c:v>Suma de Octubre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Nov'!$AP$18:$AP$21</c:f>
              <c:strCache>
                <c:ptCount val="4"/>
                <c:pt idx="0">
                  <c:v>ASESORA COMERCIAL</c:v>
                </c:pt>
                <c:pt idx="1">
                  <c:v>ASESORA COMERCIAL ADMIN</c:v>
                </c:pt>
                <c:pt idx="2">
                  <c:v>DIRECTORA COMERCIAL</c:v>
                </c:pt>
                <c:pt idx="3">
                  <c:v>LIDER SALA DE VENTAS</c:v>
                </c:pt>
              </c:strCache>
            </c:strRef>
          </c:cat>
          <c:val>
            <c:numRef>
              <c:f>'Tablero Nov'!$AS$18:$AS$21</c:f>
              <c:numCache>
                <c:formatCode>0</c:formatCode>
                <c:ptCount val="4"/>
                <c:pt idx="0">
                  <c:v>74</c:v>
                </c:pt>
                <c:pt idx="1">
                  <c:v>57</c:v>
                </c:pt>
                <c:pt idx="2">
                  <c:v>80</c:v>
                </c:pt>
                <c:pt idx="3">
                  <c:v>68</c:v>
                </c:pt>
              </c:numCache>
            </c:numRef>
          </c:val>
          <c:extLst>
            <c:ext xmlns:c16="http://schemas.microsoft.com/office/drawing/2014/chart" uri="{C3380CC4-5D6E-409C-BE32-E72D297353CC}">
              <c16:uniqueId val="{00000002-9A8B-4997-990F-3476985CF389}"/>
            </c:ext>
          </c:extLst>
        </c:ser>
        <c:ser>
          <c:idx val="3"/>
          <c:order val="3"/>
          <c:tx>
            <c:strRef>
              <c:f>'Tablero Nov'!$AT$17</c:f>
              <c:strCache>
                <c:ptCount val="1"/>
                <c:pt idx="0">
                  <c:v>Suma de Noviembre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Nov'!$AP$18:$AP$21</c:f>
              <c:strCache>
                <c:ptCount val="4"/>
                <c:pt idx="0">
                  <c:v>ASESORA COMERCIAL</c:v>
                </c:pt>
                <c:pt idx="1">
                  <c:v>ASESORA COMERCIAL ADMIN</c:v>
                </c:pt>
                <c:pt idx="2">
                  <c:v>DIRECTORA COMERCIAL</c:v>
                </c:pt>
                <c:pt idx="3">
                  <c:v>LIDER SALA DE VENTAS</c:v>
                </c:pt>
              </c:strCache>
            </c:strRef>
          </c:cat>
          <c:val>
            <c:numRef>
              <c:f>'Tablero Nov'!$AT$18:$AT$21</c:f>
              <c:numCache>
                <c:formatCode>General</c:formatCode>
                <c:ptCount val="4"/>
                <c:pt idx="0">
                  <c:v>69</c:v>
                </c:pt>
                <c:pt idx="1">
                  <c:v>88</c:v>
                </c:pt>
                <c:pt idx="2">
                  <c:v>82</c:v>
                </c:pt>
                <c:pt idx="3">
                  <c:v>76</c:v>
                </c:pt>
              </c:numCache>
            </c:numRef>
          </c:val>
          <c:extLst>
            <c:ext xmlns:c16="http://schemas.microsoft.com/office/drawing/2014/chart" uri="{C3380CC4-5D6E-409C-BE32-E72D297353CC}">
              <c16:uniqueId val="{00000003-9A8B-4997-990F-3476985CF389}"/>
            </c:ext>
          </c:extLst>
        </c:ser>
        <c:dLbls>
          <c:showLegendKey val="0"/>
          <c:showVal val="1"/>
          <c:showCatName val="0"/>
          <c:showSerName val="0"/>
          <c:showPercent val="0"/>
          <c:showBubbleSize val="0"/>
        </c:dLbls>
        <c:gapWidth val="150"/>
        <c:shape val="box"/>
        <c:axId val="34587695"/>
        <c:axId val="34586735"/>
        <c:axId val="0"/>
      </c:bar3DChart>
      <c:catAx>
        <c:axId val="34587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4586735"/>
        <c:crosses val="autoZero"/>
        <c:auto val="1"/>
        <c:lblAlgn val="ctr"/>
        <c:lblOffset val="100"/>
        <c:noMultiLvlLbl val="0"/>
      </c:catAx>
      <c:valAx>
        <c:axId val="3458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45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D6-465C-8857-D8DFB8B9F3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6-465C-8857-D8DFB8B9F3E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8D6-465C-8857-D8DFB8B9F3E8}"/>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38D6-465C-8857-D8DFB8B9F3E8}"/>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38D6-465C-8857-D8DFB8B9F3E8}"/>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38D6-465C-8857-D8DFB8B9F3E8}"/>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38D6-465C-8857-D8DFB8B9F3E8}"/>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38D6-465C-8857-D8DFB8B9F3E8}"/>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38D6-465C-8857-D8DFB8B9F3E8}"/>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38D6-465C-8857-D8DFB8B9F3E8}"/>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38D6-465C-8857-D8DFB8B9F3E8}"/>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38D6-465C-8857-D8DFB8B9F3E8}"/>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38D6-465C-8857-D8DFB8B9F3E8}"/>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38D6-465C-8857-D8DFB8B9F3E8}"/>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38D6-465C-8857-D8DFB8B9F3E8}"/>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38D6-465C-8857-D8DFB8B9F3E8}"/>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38D6-465C-8857-D8DFB8B9F3E8}"/>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38D6-465C-8857-D8DFB8B9F3E8}"/>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38D6-465C-8857-D8DFB8B9F3E8}"/>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38D6-465C-8857-D8DFB8B9F3E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8D6-465C-8857-D8DFB8B9F3E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Dic25-Ene26'!$A$88</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8D6-465C-8857-D8DFB8B9F3E8}"/>
              </c:ext>
            </c:extLst>
          </c:dPt>
          <c:dPt>
            <c:idx val="1"/>
            <c:bubble3D val="0"/>
            <c:spPr>
              <a:noFill/>
              <a:ln w="19050">
                <a:solidFill>
                  <a:schemeClr val="lt1"/>
                </a:solidFill>
              </a:ln>
              <a:effectLst/>
            </c:spPr>
            <c:extLst>
              <c:ext xmlns:c16="http://schemas.microsoft.com/office/drawing/2014/chart" uri="{C3380CC4-5D6E-409C-BE32-E72D297353CC}">
                <c16:uniqueId val="{0000002C-38D6-465C-8857-D8DFB8B9F3E8}"/>
              </c:ext>
            </c:extLst>
          </c:dPt>
          <c:val>
            <c:numRef>
              <c:f>'Tablero Dic25-Ene26'!$B$88:$C$88</c:f>
              <c:numCache>
                <c:formatCode>0%</c:formatCode>
                <c:ptCount val="2"/>
              </c:numCache>
            </c:numRef>
          </c:val>
          <c:extLst>
            <c:ext xmlns:c16="http://schemas.microsoft.com/office/drawing/2014/chart" uri="{C3380CC4-5D6E-409C-BE32-E72D297353CC}">
              <c16:uniqueId val="{0000002D-38D6-465C-8857-D8DFB8B9F3E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B13-433B-B73E-7E71CF9895EA}"/>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B13-433B-B73E-7E71CF9895E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B13-433B-B73E-7E71CF9895EA}"/>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B13-433B-B73E-7E71CF9895EA}"/>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B13-433B-B73E-7E71CF9895EA}"/>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B13-433B-B73E-7E71CF9895EA}"/>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B13-433B-B73E-7E71CF9895EA}"/>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B13-433B-B73E-7E71CF9895EA}"/>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B13-433B-B73E-7E71CF9895EA}"/>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B13-433B-B73E-7E71CF9895EA}"/>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B13-433B-B73E-7E71CF9895EA}"/>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B13-433B-B73E-7E71CF9895EA}"/>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B13-433B-B73E-7E71CF9895EA}"/>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B13-433B-B73E-7E71CF9895EA}"/>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B13-433B-B73E-7E71CF9895EA}"/>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B13-433B-B73E-7E71CF9895EA}"/>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B13-433B-B73E-7E71CF9895EA}"/>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B13-433B-B73E-7E71CF9895EA}"/>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B13-433B-B73E-7E71CF9895EA}"/>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B13-433B-B73E-7E71CF9895E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B13-433B-B73E-7E71CF9895E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B13-433B-B73E-7E71CF9895EA}"/>
              </c:ext>
            </c:extLst>
          </c:dPt>
          <c:dPt>
            <c:idx val="1"/>
            <c:bubble3D val="0"/>
            <c:spPr>
              <a:noFill/>
              <a:ln w="19050">
                <a:solidFill>
                  <a:schemeClr val="lt1"/>
                </a:solidFill>
              </a:ln>
              <a:effectLst/>
            </c:spPr>
            <c:extLst>
              <c:ext xmlns:c16="http://schemas.microsoft.com/office/drawing/2014/chart" uri="{C3380CC4-5D6E-409C-BE32-E72D297353CC}">
                <c16:uniqueId val="{0000002C-2B13-433B-B73E-7E71CF9895EA}"/>
              </c:ext>
            </c:extLst>
          </c:dPt>
          <c:val>
            <c:numRef>
              <c:f>'Tablero Dic25-Ene26'!$B$82:$C$82</c:f>
              <c:numCache>
                <c:formatCode>0%</c:formatCode>
                <c:ptCount val="2"/>
              </c:numCache>
            </c:numRef>
          </c:val>
          <c:extLst>
            <c:ext xmlns:c16="http://schemas.microsoft.com/office/drawing/2014/chart" uri="{C3380CC4-5D6E-409C-BE32-E72D297353CC}">
              <c16:uniqueId val="{0000002D-2B13-433B-B73E-7E71CF9895E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2DD-482E-AD6E-E267D66EA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DD-482E-AD6E-E267D66EAC7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B2DD-482E-AD6E-E267D66EAC77}"/>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B2DD-482E-AD6E-E267D66EAC77}"/>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B2DD-482E-AD6E-E267D66EAC77}"/>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B2DD-482E-AD6E-E267D66EAC77}"/>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B2DD-482E-AD6E-E267D66EAC77}"/>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B2DD-482E-AD6E-E267D66EAC77}"/>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B2DD-482E-AD6E-E267D66EAC77}"/>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B2DD-482E-AD6E-E267D66EAC77}"/>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B2DD-482E-AD6E-E267D66EAC77}"/>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B2DD-482E-AD6E-E267D66EAC77}"/>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B2DD-482E-AD6E-E267D66EAC77}"/>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B2DD-482E-AD6E-E267D66EAC77}"/>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B2DD-482E-AD6E-E267D66EAC77}"/>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B2DD-482E-AD6E-E267D66EAC77}"/>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B2DD-482E-AD6E-E267D66EAC77}"/>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B2DD-482E-AD6E-E267D66EAC77}"/>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B2DD-482E-AD6E-E267D66EAC77}"/>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B2DD-482E-AD6E-E267D66EAC7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2DD-482E-AD6E-E267D66EAC7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Dic25-Ene26'!$A$116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2DD-482E-AD6E-E267D66EAC77}"/>
              </c:ext>
            </c:extLst>
          </c:dPt>
          <c:dPt>
            <c:idx val="1"/>
            <c:bubble3D val="0"/>
            <c:spPr>
              <a:noFill/>
              <a:ln w="19050">
                <a:solidFill>
                  <a:schemeClr val="lt1"/>
                </a:solidFill>
              </a:ln>
              <a:effectLst/>
            </c:spPr>
            <c:extLst>
              <c:ext xmlns:c16="http://schemas.microsoft.com/office/drawing/2014/chart" uri="{C3380CC4-5D6E-409C-BE32-E72D297353CC}">
                <c16:uniqueId val="{0000002C-B2DD-482E-AD6E-E267D66EAC77}"/>
              </c:ext>
            </c:extLst>
          </c:dPt>
          <c:val>
            <c:numRef>
              <c:f>'Tablero Dic25-Ene26'!$B$116:$C$116</c:f>
              <c:numCache>
                <c:formatCode>0%</c:formatCode>
                <c:ptCount val="2"/>
              </c:numCache>
            </c:numRef>
          </c:val>
          <c:extLst>
            <c:ext xmlns:c16="http://schemas.microsoft.com/office/drawing/2014/chart" uri="{C3380CC4-5D6E-409C-BE32-E72D297353CC}">
              <c16:uniqueId val="{0000002D-B2DD-482E-AD6E-E267D66EAC7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A9C-4CE1-9E82-D4C82FF16A4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A9C-4CE1-9E82-D4C82FF16A4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A9C-4CE1-9E82-D4C82FF16A4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A9C-4CE1-9E82-D4C82FF16A47}"/>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A9C-4CE1-9E82-D4C82FF16A47}"/>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A9C-4CE1-9E82-D4C82FF16A47}"/>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A9C-4CE1-9E82-D4C82FF16A47}"/>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A9C-4CE1-9E82-D4C82FF16A47}"/>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A9C-4CE1-9E82-D4C82FF16A47}"/>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A9C-4CE1-9E82-D4C82FF16A47}"/>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A9C-4CE1-9E82-D4C82FF16A47}"/>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A9C-4CE1-9E82-D4C82FF16A47}"/>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A9C-4CE1-9E82-D4C82FF16A47}"/>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A9C-4CE1-9E82-D4C82FF16A47}"/>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A9C-4CE1-9E82-D4C82FF16A47}"/>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A9C-4CE1-9E82-D4C82FF16A47}"/>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A9C-4CE1-9E82-D4C82FF16A47}"/>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A9C-4CE1-9E82-D4C82FF16A47}"/>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A9C-4CE1-9E82-D4C82FF16A47}"/>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A9C-4CE1-9E82-D4C82FF16A4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A9C-4CE1-9E82-D4C82FF16A4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Dic25-Ene26'!$A$110</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A9C-4CE1-9E82-D4C82FF16A47}"/>
              </c:ext>
            </c:extLst>
          </c:dPt>
          <c:dPt>
            <c:idx val="1"/>
            <c:bubble3D val="0"/>
            <c:spPr>
              <a:noFill/>
              <a:ln w="19050">
                <a:solidFill>
                  <a:schemeClr val="lt1"/>
                </a:solidFill>
              </a:ln>
              <a:effectLst/>
            </c:spPr>
            <c:extLst>
              <c:ext xmlns:c16="http://schemas.microsoft.com/office/drawing/2014/chart" uri="{C3380CC4-5D6E-409C-BE32-E72D297353CC}">
                <c16:uniqueId val="{0000002C-DA9C-4CE1-9E82-D4C82FF16A47}"/>
              </c:ext>
            </c:extLst>
          </c:dPt>
          <c:val>
            <c:numRef>
              <c:f>'Tablero Dic25-Ene26'!$B$110:$C$110</c:f>
              <c:numCache>
                <c:formatCode>0%</c:formatCode>
                <c:ptCount val="2"/>
              </c:numCache>
            </c:numRef>
          </c:val>
          <c:extLst>
            <c:ext xmlns:c16="http://schemas.microsoft.com/office/drawing/2014/chart" uri="{C3380CC4-5D6E-409C-BE32-E72D297353CC}">
              <c16:uniqueId val="{0000002D-DA9C-4CE1-9E82-D4C82FF16A4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1A4-4244-97D4-9FC7D79A72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A4-4244-97D4-9FC7D79A724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1A4-4244-97D4-9FC7D79A7248}"/>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1A4-4244-97D4-9FC7D79A7248}"/>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1A4-4244-97D4-9FC7D79A7248}"/>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1A4-4244-97D4-9FC7D79A7248}"/>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1A4-4244-97D4-9FC7D79A7248}"/>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1A4-4244-97D4-9FC7D79A7248}"/>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1A4-4244-97D4-9FC7D79A7248}"/>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1A4-4244-97D4-9FC7D79A7248}"/>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1A4-4244-97D4-9FC7D79A7248}"/>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1A4-4244-97D4-9FC7D79A7248}"/>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1A4-4244-97D4-9FC7D79A7248}"/>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1A4-4244-97D4-9FC7D79A7248}"/>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1A4-4244-97D4-9FC7D79A7248}"/>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1A4-4244-97D4-9FC7D79A7248}"/>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1A4-4244-97D4-9FC7D79A7248}"/>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1A4-4244-97D4-9FC7D79A7248}"/>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1A4-4244-97D4-9FC7D79A7248}"/>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1A4-4244-97D4-9FC7D79A724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1A4-4244-97D4-9FC7D79A724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Dic25-Ene26'!$A$114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1A4-4244-97D4-9FC7D79A7248}"/>
              </c:ext>
            </c:extLst>
          </c:dPt>
          <c:dPt>
            <c:idx val="1"/>
            <c:bubble3D val="0"/>
            <c:spPr>
              <a:noFill/>
              <a:ln w="19050">
                <a:solidFill>
                  <a:schemeClr val="lt1"/>
                </a:solidFill>
              </a:ln>
              <a:effectLst/>
            </c:spPr>
            <c:extLst>
              <c:ext xmlns:c16="http://schemas.microsoft.com/office/drawing/2014/chart" uri="{C3380CC4-5D6E-409C-BE32-E72D297353CC}">
                <c16:uniqueId val="{0000002C-11A4-4244-97D4-9FC7D79A7248}"/>
              </c:ext>
            </c:extLst>
          </c:dPt>
          <c:val>
            <c:numRef>
              <c:f>'Tablero Dic25-Ene26'!$B$114:$C$114</c:f>
              <c:numCache>
                <c:formatCode>0%</c:formatCode>
                <c:ptCount val="2"/>
                <c:pt idx="0">
                  <c:v>0.88</c:v>
                </c:pt>
                <c:pt idx="1">
                  <c:v>0.12</c:v>
                </c:pt>
              </c:numCache>
            </c:numRef>
          </c:val>
          <c:extLst>
            <c:ext xmlns:c16="http://schemas.microsoft.com/office/drawing/2014/chart" uri="{C3380CC4-5D6E-409C-BE32-E72D297353CC}">
              <c16:uniqueId val="{0000002D-11A4-4244-97D4-9FC7D79A724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0B6-48B3-84C5-F1507DCF06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B6-48B3-84C5-F1507DCF06CC}"/>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0B6-48B3-84C5-F1507DCF06C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0B6-48B3-84C5-F1507DCF06CC}"/>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0B6-48B3-84C5-F1507DCF06CC}"/>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0B6-48B3-84C5-F1507DCF06CC}"/>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0B6-48B3-84C5-F1507DCF06CC}"/>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0B6-48B3-84C5-F1507DCF06CC}"/>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0B6-48B3-84C5-F1507DCF06CC}"/>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0B6-48B3-84C5-F1507DCF06CC}"/>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0B6-48B3-84C5-F1507DCF06CC}"/>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0B6-48B3-84C5-F1507DCF06CC}"/>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0B6-48B3-84C5-F1507DCF06CC}"/>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0B6-48B3-84C5-F1507DCF06CC}"/>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0B6-48B3-84C5-F1507DCF06CC}"/>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0B6-48B3-84C5-F1507DCF06CC}"/>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0B6-48B3-84C5-F1507DCF06CC}"/>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0B6-48B3-84C5-F1507DCF06CC}"/>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0B6-48B3-84C5-F1507DCF06CC}"/>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0B6-48B3-84C5-F1507DCF06C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0B6-48B3-84C5-F1507DCF06C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0B6-48B3-84C5-F1507DCF06CC}"/>
              </c:ext>
            </c:extLst>
          </c:dPt>
          <c:dPt>
            <c:idx val="1"/>
            <c:bubble3D val="0"/>
            <c:spPr>
              <a:noFill/>
              <a:ln w="19050">
                <a:solidFill>
                  <a:schemeClr val="lt1"/>
                </a:solidFill>
              </a:ln>
              <a:effectLst/>
            </c:spPr>
            <c:extLst>
              <c:ext xmlns:c16="http://schemas.microsoft.com/office/drawing/2014/chart" uri="{C3380CC4-5D6E-409C-BE32-E72D297353CC}">
                <c16:uniqueId val="{0000002C-20B6-48B3-84C5-F1507DCF06CC}"/>
              </c:ext>
            </c:extLst>
          </c:dPt>
          <c:val>
            <c:numRef>
              <c:f>'Tablero Dic25-Ene26'!$B$102:$C$102</c:f>
              <c:numCache>
                <c:formatCode>0%</c:formatCode>
                <c:ptCount val="2"/>
                <c:pt idx="0">
                  <c:v>0</c:v>
                </c:pt>
                <c:pt idx="1">
                  <c:v>0</c:v>
                </c:pt>
              </c:numCache>
            </c:numRef>
          </c:val>
          <c:extLst>
            <c:ext xmlns:c16="http://schemas.microsoft.com/office/drawing/2014/chart" uri="{C3380CC4-5D6E-409C-BE32-E72D297353CC}">
              <c16:uniqueId val="{0000002D-20B6-48B3-84C5-F1507DCF06C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10B-4EF6-A9C8-ECF2DEF4F74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10B-4EF6-A9C8-ECF2DEF4F74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10B-4EF6-A9C8-ECF2DEF4F74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10B-4EF6-A9C8-ECF2DEF4F74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10B-4EF6-A9C8-ECF2DEF4F74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10B-4EF6-A9C8-ECF2DEF4F74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10B-4EF6-A9C8-ECF2DEF4F74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10B-4EF6-A9C8-ECF2DEF4F74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10B-4EF6-A9C8-ECF2DEF4F74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10B-4EF6-A9C8-ECF2DEF4F74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10B-4EF6-A9C8-ECF2DEF4F74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10B-4EF6-A9C8-ECF2DEF4F74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10B-4EF6-A9C8-ECF2DEF4F74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10B-4EF6-A9C8-ECF2DEF4F74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10B-4EF6-A9C8-ECF2DEF4F74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10B-4EF6-A9C8-ECF2DEF4F74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10B-4EF6-A9C8-ECF2DEF4F74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10B-4EF6-A9C8-ECF2DEF4F74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10B-4EF6-A9C8-ECF2DEF4F74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10B-4EF6-A9C8-ECF2DEF4F74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10B-4EF6-A9C8-ECF2DEF4F74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Dic25-Ene26'!$A$96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10B-4EF6-A9C8-ECF2DEF4F740}"/>
              </c:ext>
            </c:extLst>
          </c:dPt>
          <c:dPt>
            <c:idx val="1"/>
            <c:bubble3D val="0"/>
            <c:spPr>
              <a:noFill/>
              <a:ln w="19050">
                <a:solidFill>
                  <a:schemeClr val="lt1"/>
                </a:solidFill>
              </a:ln>
              <a:effectLst/>
            </c:spPr>
            <c:extLst>
              <c:ext xmlns:c16="http://schemas.microsoft.com/office/drawing/2014/chart" uri="{C3380CC4-5D6E-409C-BE32-E72D297353CC}">
                <c16:uniqueId val="{0000002C-010B-4EF6-A9C8-ECF2DEF4F740}"/>
              </c:ext>
            </c:extLst>
          </c:dPt>
          <c:val>
            <c:numRef>
              <c:f>'Tablero Dic25-Ene26'!$B$96:$C$96</c:f>
              <c:numCache>
                <c:formatCode>0%</c:formatCode>
                <c:ptCount val="2"/>
              </c:numCache>
            </c:numRef>
          </c:val>
          <c:extLst>
            <c:ext xmlns:c16="http://schemas.microsoft.com/office/drawing/2014/chart" uri="{C3380CC4-5D6E-409C-BE32-E72D297353CC}">
              <c16:uniqueId val="{0000002D-010B-4EF6-A9C8-ECF2DEF4F74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67B-472A-A46E-B85478DE13E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67B-472A-A46E-B85478DE13E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67B-472A-A46E-B85478DE13E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67B-472A-A46E-B85478DE13E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67B-472A-A46E-B85478DE13E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67B-472A-A46E-B85478DE13E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67B-472A-A46E-B85478DE13E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67B-472A-A46E-B85478DE13E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67B-472A-A46E-B85478DE13E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67B-472A-A46E-B85478DE13E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67B-472A-A46E-B85478DE13E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67B-472A-A46E-B85478DE13E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67B-472A-A46E-B85478DE13E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67B-472A-A46E-B85478DE13E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67B-472A-A46E-B85478DE13E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67B-472A-A46E-B85478DE13E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67B-472A-A46E-B85478DE13E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67B-472A-A46E-B85478DE13E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67B-472A-A46E-B85478DE13E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67B-472A-A46E-B85478DE13E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67B-472A-A46E-B85478DE13E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Dic25-Ene26'!$A$65</c:f>
              <c:strCache>
                <c:ptCount val="1"/>
                <c:pt idx="0">
                  <c:v>Estrategia y Planificación Comercial</c:v>
                </c:pt>
              </c:strCache>
            </c:strRef>
          </c:tx>
          <c:dPt>
            <c:idx val="0"/>
            <c:bubble3D val="0"/>
            <c:spPr>
              <a:solidFill>
                <a:schemeClr val="bg1">
                  <a:alpha val="58000"/>
                </a:schemeClr>
              </a:solidFill>
              <a:ln w="19050">
                <a:solidFill>
                  <a:schemeClr val="lt1"/>
                </a:solidFill>
              </a:ln>
              <a:effectLst/>
            </c:spPr>
            <c:extLst>
              <c:ext xmlns:c16="http://schemas.microsoft.com/office/drawing/2014/chart" uri="{C3380CC4-5D6E-409C-BE32-E72D297353CC}">
                <c16:uniqueId val="{0000002A-267B-472A-A46E-B85478DE13E2}"/>
              </c:ext>
            </c:extLst>
          </c:dPt>
          <c:dPt>
            <c:idx val="1"/>
            <c:bubble3D val="0"/>
            <c:spPr>
              <a:noFill/>
              <a:ln w="19050">
                <a:solidFill>
                  <a:schemeClr val="lt1"/>
                </a:solidFill>
              </a:ln>
              <a:effectLst/>
            </c:spPr>
            <c:extLst>
              <c:ext xmlns:c16="http://schemas.microsoft.com/office/drawing/2014/chart" uri="{C3380CC4-5D6E-409C-BE32-E72D297353CC}">
                <c16:uniqueId val="{0000002C-267B-472A-A46E-B85478DE13E2}"/>
              </c:ext>
            </c:extLst>
          </c:dPt>
          <c:val>
            <c:numRef>
              <c:f>'Tablero Dic25-Ene26'!$B$65:$C$65</c:f>
              <c:numCache>
                <c:formatCode>0%</c:formatCode>
                <c:ptCount val="2"/>
                <c:pt idx="0">
                  <c:v>0.3</c:v>
                </c:pt>
                <c:pt idx="1">
                  <c:v>0.7</c:v>
                </c:pt>
              </c:numCache>
            </c:numRef>
          </c:val>
          <c:extLst>
            <c:ext xmlns:c16="http://schemas.microsoft.com/office/drawing/2014/chart" uri="{C3380CC4-5D6E-409C-BE32-E72D297353CC}">
              <c16:uniqueId val="{0000002D-267B-472A-A46E-B85478DE13E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AE7-453E-A82B-657DA7BEA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E7-453E-A82B-657DA7BEA5D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AE7-453E-A82B-657DA7BEA5D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AE7-453E-A82B-657DA7BEA5D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AE7-453E-A82B-657DA7BEA5D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AE7-453E-A82B-657DA7BEA5D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AE7-453E-A82B-657DA7BEA5D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AE7-453E-A82B-657DA7BEA5D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AE7-453E-A82B-657DA7BEA5D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AE7-453E-A82B-657DA7BEA5D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AE7-453E-A82B-657DA7BEA5D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AE7-453E-A82B-657DA7BEA5D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AE7-453E-A82B-657DA7BEA5D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AE7-453E-A82B-657DA7BEA5D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AE7-453E-A82B-657DA7BEA5D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AE7-453E-A82B-657DA7BEA5D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AE7-453E-A82B-657DA7BEA5D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AE7-453E-A82B-657DA7BEA5D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AE7-453E-A82B-657DA7BEA5D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AE7-453E-A82B-657DA7BEA5D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AE7-453E-A82B-657DA7BEA5D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Dic25-Ene26'!$A$71</c:f>
              <c:strCache>
                <c:ptCount val="1"/>
                <c:pt idx="0">
                  <c:v>Estrategia y Planificación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AE7-453E-A82B-657DA7BEA5D3}"/>
              </c:ext>
            </c:extLst>
          </c:dPt>
          <c:dPt>
            <c:idx val="1"/>
            <c:bubble3D val="0"/>
            <c:spPr>
              <a:noFill/>
              <a:ln w="19050">
                <a:solidFill>
                  <a:schemeClr val="lt1"/>
                </a:solidFill>
              </a:ln>
              <a:effectLst/>
            </c:spPr>
            <c:extLst>
              <c:ext xmlns:c16="http://schemas.microsoft.com/office/drawing/2014/chart" uri="{C3380CC4-5D6E-409C-BE32-E72D297353CC}">
                <c16:uniqueId val="{0000002C-CAE7-453E-A82B-657DA7BEA5D3}"/>
              </c:ext>
            </c:extLst>
          </c:dPt>
          <c:val>
            <c:numRef>
              <c:f>'Tablero Dic25-Ene26'!$B$71:$C$71</c:f>
              <c:numCache>
                <c:formatCode>0%</c:formatCode>
                <c:ptCount val="2"/>
                <c:pt idx="0">
                  <c:v>0.65</c:v>
                </c:pt>
                <c:pt idx="1">
                  <c:v>0.35</c:v>
                </c:pt>
              </c:numCache>
            </c:numRef>
          </c:val>
          <c:extLst>
            <c:ext xmlns:c16="http://schemas.microsoft.com/office/drawing/2014/chart" uri="{C3380CC4-5D6E-409C-BE32-E72D297353CC}">
              <c16:uniqueId val="{0000002D-CAE7-453E-A82B-657DA7BEA5D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134-41C9-A8B9-65C8E1DC0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34-41C9-A8B9-65C8E1DC0A2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134-41C9-A8B9-65C8E1DC0A2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134-41C9-A8B9-65C8E1DC0A2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134-41C9-A8B9-65C8E1DC0A2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134-41C9-A8B9-65C8E1DC0A2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134-41C9-A8B9-65C8E1DC0A2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134-41C9-A8B9-65C8E1DC0A2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134-41C9-A8B9-65C8E1DC0A2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134-41C9-A8B9-65C8E1DC0A2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134-41C9-A8B9-65C8E1DC0A2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134-41C9-A8B9-65C8E1DC0A2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134-41C9-A8B9-65C8E1DC0A2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134-41C9-A8B9-65C8E1DC0A2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134-41C9-A8B9-65C8E1DC0A2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134-41C9-A8B9-65C8E1DC0A2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134-41C9-A8B9-65C8E1DC0A2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134-41C9-A8B9-65C8E1DC0A2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134-41C9-A8B9-65C8E1DC0A2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134-41C9-A8B9-65C8E1DC0A2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134-41C9-A8B9-65C8E1DC0A2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Dic25-Ene26'!$A$72</c:f>
              <c:strCache>
                <c:ptCount val="1"/>
                <c:pt idx="0">
                  <c:v>Liderazgo y Gestión del Equipo Comercial</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134-41C9-A8B9-65C8E1DC0A29}"/>
              </c:ext>
            </c:extLst>
          </c:dPt>
          <c:dPt>
            <c:idx val="1"/>
            <c:bubble3D val="0"/>
            <c:spPr>
              <a:noFill/>
              <a:ln w="19050">
                <a:solidFill>
                  <a:schemeClr val="lt1"/>
                </a:solidFill>
              </a:ln>
              <a:effectLst/>
            </c:spPr>
            <c:extLst>
              <c:ext xmlns:c16="http://schemas.microsoft.com/office/drawing/2014/chart" uri="{C3380CC4-5D6E-409C-BE32-E72D297353CC}">
                <c16:uniqueId val="{0000002C-C134-41C9-A8B9-65C8E1DC0A29}"/>
              </c:ext>
            </c:extLst>
          </c:dPt>
          <c:val>
            <c:numRef>
              <c:f>'Tablero Dic25-Ene26'!$B$72:$C$72</c:f>
              <c:numCache>
                <c:formatCode>0%</c:formatCode>
                <c:ptCount val="2"/>
                <c:pt idx="0">
                  <c:v>0.7</c:v>
                </c:pt>
                <c:pt idx="1">
                  <c:v>0.3</c:v>
                </c:pt>
              </c:numCache>
            </c:numRef>
          </c:val>
          <c:extLst>
            <c:ext xmlns:c16="http://schemas.microsoft.com/office/drawing/2014/chart" uri="{C3380CC4-5D6E-409C-BE32-E72D297353CC}">
              <c16:uniqueId val="{0000002D-C134-41C9-A8B9-65C8E1DC0A2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443-415E-86F7-A41BFD59D99E}"/>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443-415E-86F7-A41BFD59D99E}"/>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443-415E-86F7-A41BFD59D99E}"/>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443-415E-86F7-A41BFD59D99E}"/>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443-415E-86F7-A41BFD59D99E}"/>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443-415E-86F7-A41BFD59D99E}"/>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443-415E-86F7-A41BFD59D99E}"/>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443-415E-86F7-A41BFD59D99E}"/>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443-415E-86F7-A41BFD59D99E}"/>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443-415E-86F7-A41BFD59D99E}"/>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443-415E-86F7-A41BFD59D99E}"/>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443-415E-86F7-A41BFD59D99E}"/>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443-415E-86F7-A41BFD59D99E}"/>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443-415E-86F7-A41BFD59D99E}"/>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443-415E-86F7-A41BFD59D99E}"/>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443-415E-86F7-A41BFD59D99E}"/>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443-415E-86F7-A41BFD59D99E}"/>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443-415E-86F7-A41BFD59D99E}"/>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443-415E-86F7-A41BFD59D99E}"/>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443-415E-86F7-A41BFD59D99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443-415E-86F7-A41BFD59D99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Dic25-Ene26'!$A$66</c:f>
              <c:strCache>
                <c:ptCount val="1"/>
                <c:pt idx="0">
                  <c:v>Liderazgo y Gestión del Equipo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443-415E-86F7-A41BFD59D99E}"/>
              </c:ext>
            </c:extLst>
          </c:dPt>
          <c:dPt>
            <c:idx val="1"/>
            <c:bubble3D val="0"/>
            <c:spPr>
              <a:noFill/>
              <a:ln w="19050">
                <a:solidFill>
                  <a:schemeClr val="lt1"/>
                </a:solidFill>
              </a:ln>
              <a:effectLst/>
            </c:spPr>
            <c:extLst>
              <c:ext xmlns:c16="http://schemas.microsoft.com/office/drawing/2014/chart" uri="{C3380CC4-5D6E-409C-BE32-E72D297353CC}">
                <c16:uniqueId val="{0000002C-0443-415E-86F7-A41BFD59D99E}"/>
              </c:ext>
            </c:extLst>
          </c:dPt>
          <c:val>
            <c:numRef>
              <c:f>'Tablero Dic25-Ene26'!$B$66:$C$66</c:f>
              <c:numCache>
                <c:formatCode>0%</c:formatCode>
                <c:ptCount val="2"/>
                <c:pt idx="0">
                  <c:v>0.3</c:v>
                </c:pt>
                <c:pt idx="1">
                  <c:v>0.7</c:v>
                </c:pt>
              </c:numCache>
            </c:numRef>
          </c:val>
          <c:extLst>
            <c:ext xmlns:c16="http://schemas.microsoft.com/office/drawing/2014/chart" uri="{C3380CC4-5D6E-409C-BE32-E72D297353CC}">
              <c16:uniqueId val="{0000002D-0443-415E-86F7-A41BFD59D99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498212813795549"/>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4ED5-4549-AACB-C3386B62D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D5-4549-AACB-C3386B62DE4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4ED5-4549-AACB-C3386B62DE49}"/>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4ED5-4549-AACB-C3386B62DE49}"/>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4ED5-4549-AACB-C3386B62DE49}"/>
              </c:ext>
            </c:extLst>
          </c:dPt>
          <c:dPt>
            <c:idx val="5"/>
            <c:bubble3D val="0"/>
            <c:spPr>
              <a:noFill/>
              <a:ln w="19050">
                <a:solidFill>
                  <a:schemeClr val="lt1"/>
                </a:solidFill>
              </a:ln>
              <a:effectLst/>
            </c:spPr>
            <c:extLst>
              <c:ext xmlns:c16="http://schemas.microsoft.com/office/drawing/2014/chart" uri="{C3380CC4-5D6E-409C-BE32-E72D297353CC}">
                <c16:uniqueId val="{0000000B-4ED5-4549-AACB-C3386B62DE49}"/>
              </c:ext>
            </c:extLst>
          </c:dPt>
          <c:val>
            <c:numRef>
              <c:f>'Tablero Dic25-Ene26'!$F$64:$F$69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4ED5-4549-AACB-C3386B62DE49}"/>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4ED5-4549-AACB-C3386B62DE49}"/>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4ED5-4549-AACB-C3386B62DE49}"/>
              </c:ext>
            </c:extLst>
          </c:dPt>
          <c:dPt>
            <c:idx val="2"/>
            <c:bubble3D val="0"/>
            <c:spPr>
              <a:noFill/>
              <a:ln w="19050">
                <a:solidFill>
                  <a:schemeClr val="lt1"/>
                </a:solidFill>
              </a:ln>
              <a:effectLst/>
            </c:spPr>
            <c:extLst>
              <c:ext xmlns:c16="http://schemas.microsoft.com/office/drawing/2014/chart" uri="{C3380CC4-5D6E-409C-BE32-E72D297353CC}">
                <c16:uniqueId val="{00000012-4ED5-4549-AACB-C3386B62DE49}"/>
              </c:ext>
            </c:extLst>
          </c:dPt>
          <c:val>
            <c:numRef>
              <c:f>'Tablero Dic25-Ene26'!$F$73:$F$75</c:f>
              <c:numCache>
                <c:formatCode>General</c:formatCode>
                <c:ptCount val="3"/>
                <c:pt idx="0">
                  <c:v>70.5</c:v>
                </c:pt>
                <c:pt idx="1">
                  <c:v>3</c:v>
                </c:pt>
                <c:pt idx="2">
                  <c:v>126.5</c:v>
                </c:pt>
              </c:numCache>
            </c:numRef>
          </c:val>
          <c:extLst>
            <c:ext xmlns:c16="http://schemas.microsoft.com/office/drawing/2014/chart" uri="{C3380CC4-5D6E-409C-BE32-E72D297353CC}">
              <c16:uniqueId val="{00000013-4ED5-4549-AACB-C3386B62DE4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8D4-4EB9-976B-94BA6E48D2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D4-4EB9-976B-94BA6E48D2E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A8D4-4EB9-976B-94BA6E48D2E1}"/>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A8D4-4EB9-976B-94BA6E48D2E1}"/>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A8D4-4EB9-976B-94BA6E48D2E1}"/>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A8D4-4EB9-976B-94BA6E48D2E1}"/>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8D4-4EB9-976B-94BA6E48D2E1}"/>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A8D4-4EB9-976B-94BA6E48D2E1}"/>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A8D4-4EB9-976B-94BA6E48D2E1}"/>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A8D4-4EB9-976B-94BA6E48D2E1}"/>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A8D4-4EB9-976B-94BA6E48D2E1}"/>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A8D4-4EB9-976B-94BA6E48D2E1}"/>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A8D4-4EB9-976B-94BA6E48D2E1}"/>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A8D4-4EB9-976B-94BA6E48D2E1}"/>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A8D4-4EB9-976B-94BA6E48D2E1}"/>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A8D4-4EB9-976B-94BA6E48D2E1}"/>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A8D4-4EB9-976B-94BA6E48D2E1}"/>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A8D4-4EB9-976B-94BA6E48D2E1}"/>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A8D4-4EB9-976B-94BA6E48D2E1}"/>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A8D4-4EB9-976B-94BA6E48D2E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8D4-4EB9-976B-94BA6E48D2E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Dic25-Ene26'!$A$73</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8D4-4EB9-976B-94BA6E48D2E1}"/>
              </c:ext>
            </c:extLst>
          </c:dPt>
          <c:dPt>
            <c:idx val="1"/>
            <c:bubble3D val="0"/>
            <c:spPr>
              <a:noFill/>
              <a:ln w="19050">
                <a:solidFill>
                  <a:schemeClr val="lt1"/>
                </a:solidFill>
              </a:ln>
              <a:effectLst/>
            </c:spPr>
            <c:extLst>
              <c:ext xmlns:c16="http://schemas.microsoft.com/office/drawing/2014/chart" uri="{C3380CC4-5D6E-409C-BE32-E72D297353CC}">
                <c16:uniqueId val="{0000002C-A8D4-4EB9-976B-94BA6E48D2E1}"/>
              </c:ext>
            </c:extLst>
          </c:dPt>
          <c:val>
            <c:numRef>
              <c:f>'Tablero Dic25-Ene26'!$B$73:$C$73</c:f>
              <c:numCache>
                <c:formatCode>0%</c:formatCode>
                <c:ptCount val="2"/>
                <c:pt idx="0">
                  <c:v>0.75</c:v>
                </c:pt>
                <c:pt idx="1">
                  <c:v>0.25</c:v>
                </c:pt>
              </c:numCache>
            </c:numRef>
          </c:val>
          <c:extLst>
            <c:ext xmlns:c16="http://schemas.microsoft.com/office/drawing/2014/chart" uri="{C3380CC4-5D6E-409C-BE32-E72D297353CC}">
              <c16:uniqueId val="{0000002D-A8D4-4EB9-976B-94BA6E48D2E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C0C-48D2-BFFA-B45AC339CC7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C0C-48D2-BFFA-B45AC339CC75}"/>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7C0C-48D2-BFFA-B45AC339CC7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7C0C-48D2-BFFA-B45AC339CC75}"/>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C0C-48D2-BFFA-B45AC339CC75}"/>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7C0C-48D2-BFFA-B45AC339CC75}"/>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7C0C-48D2-BFFA-B45AC339CC75}"/>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7C0C-48D2-BFFA-B45AC339CC75}"/>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7C0C-48D2-BFFA-B45AC339CC75}"/>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7C0C-48D2-BFFA-B45AC339CC75}"/>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7C0C-48D2-BFFA-B45AC339CC75}"/>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7C0C-48D2-BFFA-B45AC339CC75}"/>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7C0C-48D2-BFFA-B45AC339CC75}"/>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C0C-48D2-BFFA-B45AC339CC75}"/>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C0C-48D2-BFFA-B45AC339CC75}"/>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7C0C-48D2-BFFA-B45AC339CC75}"/>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7C0C-48D2-BFFA-B45AC339CC75}"/>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7C0C-48D2-BFFA-B45AC339CC75}"/>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7C0C-48D2-BFFA-B45AC339CC75}"/>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7C0C-48D2-BFFA-B45AC339CC7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C0C-48D2-BFFA-B45AC339CC7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Dic25-Ene26'!$A$67</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C0C-48D2-BFFA-B45AC339CC75}"/>
              </c:ext>
            </c:extLst>
          </c:dPt>
          <c:dPt>
            <c:idx val="1"/>
            <c:bubble3D val="0"/>
            <c:spPr>
              <a:noFill/>
              <a:ln w="19050">
                <a:solidFill>
                  <a:schemeClr val="lt1"/>
                </a:solidFill>
              </a:ln>
              <a:effectLst/>
            </c:spPr>
            <c:extLst>
              <c:ext xmlns:c16="http://schemas.microsoft.com/office/drawing/2014/chart" uri="{C3380CC4-5D6E-409C-BE32-E72D297353CC}">
                <c16:uniqueId val="{0000002C-7C0C-48D2-BFFA-B45AC339CC75}"/>
              </c:ext>
            </c:extLst>
          </c:dPt>
          <c:val>
            <c:numRef>
              <c:f>'Tablero Dic25-Ene26'!$B$67:$C$67</c:f>
              <c:numCache>
                <c:formatCode>0%</c:formatCode>
                <c:ptCount val="2"/>
                <c:pt idx="0">
                  <c:v>0.3</c:v>
                </c:pt>
                <c:pt idx="1">
                  <c:v>0.7</c:v>
                </c:pt>
              </c:numCache>
            </c:numRef>
          </c:val>
          <c:extLst>
            <c:ext xmlns:c16="http://schemas.microsoft.com/office/drawing/2014/chart" uri="{C3380CC4-5D6E-409C-BE32-E72D297353CC}">
              <c16:uniqueId val="{0000002D-7C0C-48D2-BFFA-B45AC339CC7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3329-48D4-BA9C-FC0395080DA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3329-48D4-BA9C-FC0395080DA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3329-48D4-BA9C-FC0395080DA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3329-48D4-BA9C-FC0395080DA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3329-48D4-BA9C-FC0395080DA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3329-48D4-BA9C-FC0395080DA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3329-48D4-BA9C-FC0395080DA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3329-48D4-BA9C-FC0395080DA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3329-48D4-BA9C-FC0395080DA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3329-48D4-BA9C-FC0395080DA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3329-48D4-BA9C-FC0395080DA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3329-48D4-BA9C-FC0395080DA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3329-48D4-BA9C-FC0395080DA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3329-48D4-BA9C-FC0395080DA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3329-48D4-BA9C-FC0395080DA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3329-48D4-BA9C-FC0395080DA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3329-48D4-BA9C-FC0395080DA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3329-48D4-BA9C-FC0395080DA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3329-48D4-BA9C-FC0395080DA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3329-48D4-BA9C-FC0395080DA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329-48D4-BA9C-FC0395080DA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Dic25-Ene26'!$A$68</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329-48D4-BA9C-FC0395080DAF}"/>
              </c:ext>
            </c:extLst>
          </c:dPt>
          <c:dPt>
            <c:idx val="1"/>
            <c:bubble3D val="0"/>
            <c:spPr>
              <a:noFill/>
              <a:ln w="19050">
                <a:solidFill>
                  <a:schemeClr val="lt1"/>
                </a:solidFill>
              </a:ln>
              <a:effectLst/>
            </c:spPr>
            <c:extLst>
              <c:ext xmlns:c16="http://schemas.microsoft.com/office/drawing/2014/chart" uri="{C3380CC4-5D6E-409C-BE32-E72D297353CC}">
                <c16:uniqueId val="{0000002C-3329-48D4-BA9C-FC0395080DAF}"/>
              </c:ext>
            </c:extLst>
          </c:dPt>
          <c:val>
            <c:numRef>
              <c:f>'Tablero Dic25-Ene26'!$B$68:$C$68</c:f>
              <c:numCache>
                <c:formatCode>0%</c:formatCode>
                <c:ptCount val="2"/>
                <c:pt idx="0">
                  <c:v>0.1</c:v>
                </c:pt>
                <c:pt idx="1">
                  <c:v>0.9</c:v>
                </c:pt>
              </c:numCache>
            </c:numRef>
          </c:val>
          <c:extLst>
            <c:ext xmlns:c16="http://schemas.microsoft.com/office/drawing/2014/chart" uri="{C3380CC4-5D6E-409C-BE32-E72D297353CC}">
              <c16:uniqueId val="{0000002D-3329-48D4-BA9C-FC0395080DA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001-45F1-8E6C-1E2B08EDCA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01-45F1-8E6C-1E2B08EDCA6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001-45F1-8E6C-1E2B08EDCA61}"/>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001-45F1-8E6C-1E2B08EDCA61}"/>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7001-45F1-8E6C-1E2B08EDCA61}"/>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7001-45F1-8E6C-1E2B08EDCA61}"/>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7001-45F1-8E6C-1E2B08EDCA61}"/>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7001-45F1-8E6C-1E2B08EDCA61}"/>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7001-45F1-8E6C-1E2B08EDCA61}"/>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7001-45F1-8E6C-1E2B08EDCA61}"/>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7001-45F1-8E6C-1E2B08EDCA61}"/>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7001-45F1-8E6C-1E2B08EDCA61}"/>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7001-45F1-8E6C-1E2B08EDCA61}"/>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7001-45F1-8E6C-1E2B08EDCA61}"/>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7001-45F1-8E6C-1E2B08EDCA61}"/>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7001-45F1-8E6C-1E2B08EDCA61}"/>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7001-45F1-8E6C-1E2B08EDCA61}"/>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7001-45F1-8E6C-1E2B08EDCA61}"/>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7001-45F1-8E6C-1E2B08EDCA61}"/>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7001-45F1-8E6C-1E2B08EDCA6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001-45F1-8E6C-1E2B08EDCA6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Dic25-Ene26'!$A$74</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001-45F1-8E6C-1E2B08EDCA61}"/>
              </c:ext>
            </c:extLst>
          </c:dPt>
          <c:dPt>
            <c:idx val="1"/>
            <c:bubble3D val="0"/>
            <c:spPr>
              <a:noFill/>
              <a:ln w="19050">
                <a:solidFill>
                  <a:schemeClr val="lt1"/>
                </a:solidFill>
              </a:ln>
              <a:effectLst/>
            </c:spPr>
            <c:extLst>
              <c:ext xmlns:c16="http://schemas.microsoft.com/office/drawing/2014/chart" uri="{C3380CC4-5D6E-409C-BE32-E72D297353CC}">
                <c16:uniqueId val="{0000002C-7001-45F1-8E6C-1E2B08EDCA61}"/>
              </c:ext>
            </c:extLst>
          </c:dPt>
          <c:val>
            <c:numRef>
              <c:f>'Tablero Dic25-Ene26'!$B$74:$C$74</c:f>
              <c:numCache>
                <c:formatCode>0%</c:formatCode>
                <c:ptCount val="2"/>
                <c:pt idx="0">
                  <c:v>0.92</c:v>
                </c:pt>
                <c:pt idx="1">
                  <c:v>0.08</c:v>
                </c:pt>
              </c:numCache>
            </c:numRef>
          </c:val>
          <c:extLst>
            <c:ext xmlns:c16="http://schemas.microsoft.com/office/drawing/2014/chart" uri="{C3380CC4-5D6E-409C-BE32-E72D297353CC}">
              <c16:uniqueId val="{0000002D-7001-45F1-8E6C-1E2B08EDCA6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3BF-4F91-A286-5FE4F81DD0D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3BF-4F91-A286-5FE4F81DD0D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3BF-4F91-A286-5FE4F81DD0D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3BF-4F91-A286-5FE4F81DD0D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3BF-4F91-A286-5FE4F81DD0D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3BF-4F91-A286-5FE4F81DD0D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3BF-4F91-A286-5FE4F81DD0D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3BF-4F91-A286-5FE4F81DD0D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3BF-4F91-A286-5FE4F81DD0D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3BF-4F91-A286-5FE4F81DD0D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3BF-4F91-A286-5FE4F81DD0D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3BF-4F91-A286-5FE4F81DD0D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3BF-4F91-A286-5FE4F81DD0D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3BF-4F91-A286-5FE4F81DD0D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3BF-4F91-A286-5FE4F81DD0D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3BF-4F91-A286-5FE4F81DD0D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3BF-4F91-A286-5FE4F81DD0D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3BF-4F91-A286-5FE4F81DD0D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3BF-4F91-A286-5FE4F81DD0D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3BF-4F91-A286-5FE4F81DD0D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3BF-4F91-A286-5FE4F81DD0D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Dic25-Ene26'!$A$79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3BF-4F91-A286-5FE4F81DD0DF}"/>
              </c:ext>
            </c:extLst>
          </c:dPt>
          <c:dPt>
            <c:idx val="1"/>
            <c:bubble3D val="0"/>
            <c:spPr>
              <a:noFill/>
              <a:ln w="19050">
                <a:solidFill>
                  <a:schemeClr val="lt1"/>
                </a:solidFill>
              </a:ln>
              <a:effectLst/>
            </c:spPr>
            <c:extLst>
              <c:ext xmlns:c16="http://schemas.microsoft.com/office/drawing/2014/chart" uri="{C3380CC4-5D6E-409C-BE32-E72D297353CC}">
                <c16:uniqueId val="{0000002C-53BF-4F91-A286-5FE4F81DD0DF}"/>
              </c:ext>
            </c:extLst>
          </c:dPt>
          <c:val>
            <c:numRef>
              <c:f>'Tablero Dic25-Ene26'!$B$79:$C$79</c:f>
              <c:numCache>
                <c:formatCode>0%</c:formatCode>
                <c:ptCount val="2"/>
                <c:pt idx="0">
                  <c:v>0.7</c:v>
                </c:pt>
                <c:pt idx="1">
                  <c:v>0.3</c:v>
                </c:pt>
              </c:numCache>
            </c:numRef>
          </c:val>
          <c:extLst>
            <c:ext xmlns:c16="http://schemas.microsoft.com/office/drawing/2014/chart" uri="{C3380CC4-5D6E-409C-BE32-E72D297353CC}">
              <c16:uniqueId val="{0000002D-53BF-4F91-A286-5FE4F81DD0D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808-4E7F-AFD2-C3E4D015DE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08-4E7F-AFD2-C3E4D015DEC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808-4E7F-AFD2-C3E4D015DEC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808-4E7F-AFD2-C3E4D015DEC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808-4E7F-AFD2-C3E4D015DEC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808-4E7F-AFD2-C3E4D015DEC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808-4E7F-AFD2-C3E4D015DEC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808-4E7F-AFD2-C3E4D015DEC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808-4E7F-AFD2-C3E4D015DEC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808-4E7F-AFD2-C3E4D015DEC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808-4E7F-AFD2-C3E4D015DEC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808-4E7F-AFD2-C3E4D015DEC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808-4E7F-AFD2-C3E4D015DEC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808-4E7F-AFD2-C3E4D015DEC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808-4E7F-AFD2-C3E4D015DEC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808-4E7F-AFD2-C3E4D015DEC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808-4E7F-AFD2-C3E4D015DEC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808-4E7F-AFD2-C3E4D015DEC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808-4E7F-AFD2-C3E4D015DEC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808-4E7F-AFD2-C3E4D015DEC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808-4E7F-AFD2-C3E4D015DEC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Dic25-Ene26'!$A$85</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808-4E7F-AFD2-C3E4D015DEC9}"/>
              </c:ext>
            </c:extLst>
          </c:dPt>
          <c:dPt>
            <c:idx val="1"/>
            <c:bubble3D val="0"/>
            <c:spPr>
              <a:noFill/>
              <a:ln w="19050">
                <a:solidFill>
                  <a:schemeClr val="lt1"/>
                </a:solidFill>
              </a:ln>
              <a:effectLst/>
            </c:spPr>
            <c:extLst>
              <c:ext xmlns:c16="http://schemas.microsoft.com/office/drawing/2014/chart" uri="{C3380CC4-5D6E-409C-BE32-E72D297353CC}">
                <c16:uniqueId val="{0000002C-D808-4E7F-AFD2-C3E4D015DEC9}"/>
              </c:ext>
            </c:extLst>
          </c:dPt>
          <c:val>
            <c:numRef>
              <c:f>'Tablero Dic25-Ene26'!$B$85:$C$85</c:f>
              <c:numCache>
                <c:formatCode>0%</c:formatCode>
                <c:ptCount val="2"/>
                <c:pt idx="0">
                  <c:v>0.67</c:v>
                </c:pt>
                <c:pt idx="1">
                  <c:v>0.33</c:v>
                </c:pt>
              </c:numCache>
            </c:numRef>
          </c:val>
          <c:extLst>
            <c:ext xmlns:c16="http://schemas.microsoft.com/office/drawing/2014/chart" uri="{C3380CC4-5D6E-409C-BE32-E72D297353CC}">
              <c16:uniqueId val="{0000002D-D808-4E7F-AFD2-C3E4D015DEC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325-41E7-ACB2-213DFBE5B9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25-41E7-ACB2-213DFBE5B93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325-41E7-ACB2-213DFBE5B93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3325-41E7-ACB2-213DFBE5B93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3325-41E7-ACB2-213DFBE5B93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3325-41E7-ACB2-213DFBE5B93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3325-41E7-ACB2-213DFBE5B93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3325-41E7-ACB2-213DFBE5B93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3325-41E7-ACB2-213DFBE5B93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3325-41E7-ACB2-213DFBE5B93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3325-41E7-ACB2-213DFBE5B93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3325-41E7-ACB2-213DFBE5B93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3325-41E7-ACB2-213DFBE5B93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3325-41E7-ACB2-213DFBE5B93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3325-41E7-ACB2-213DFBE5B93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3325-41E7-ACB2-213DFBE5B93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3325-41E7-ACB2-213DFBE5B93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3325-41E7-ACB2-213DFBE5B93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3325-41E7-ACB2-213DFBE5B93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3325-41E7-ACB2-213DFBE5B93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325-41E7-ACB2-213DFBE5B93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Dic25-Ene26'!$A$86</c:f>
              <c:strCache>
                <c:ptCount val="1"/>
                <c:pt idx="0">
                  <c:v>Formalización Post-Cierre</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325-41E7-ACB2-213DFBE5B939}"/>
              </c:ext>
            </c:extLst>
          </c:dPt>
          <c:dPt>
            <c:idx val="1"/>
            <c:bubble3D val="0"/>
            <c:spPr>
              <a:noFill/>
              <a:ln w="19050">
                <a:solidFill>
                  <a:schemeClr val="lt1"/>
                </a:solidFill>
              </a:ln>
              <a:effectLst/>
            </c:spPr>
            <c:extLst>
              <c:ext xmlns:c16="http://schemas.microsoft.com/office/drawing/2014/chart" uri="{C3380CC4-5D6E-409C-BE32-E72D297353CC}">
                <c16:uniqueId val="{0000002C-3325-41E7-ACB2-213DFBE5B939}"/>
              </c:ext>
            </c:extLst>
          </c:dPt>
          <c:val>
            <c:numRef>
              <c:f>'Tablero Dic25-Ene26'!$B$86:$C$86</c:f>
              <c:numCache>
                <c:formatCode>0%</c:formatCode>
                <c:ptCount val="2"/>
                <c:pt idx="0">
                  <c:v>0.92</c:v>
                </c:pt>
                <c:pt idx="1">
                  <c:v>0.08</c:v>
                </c:pt>
              </c:numCache>
            </c:numRef>
          </c:val>
          <c:extLst>
            <c:ext xmlns:c16="http://schemas.microsoft.com/office/drawing/2014/chart" uri="{C3380CC4-5D6E-409C-BE32-E72D297353CC}">
              <c16:uniqueId val="{0000002D-3325-41E7-ACB2-213DFBE5B93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16F-4793-AFC9-03B8CBF4CC8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16F-4793-AFC9-03B8CBF4CC8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16F-4793-AFC9-03B8CBF4CC8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16F-4793-AFC9-03B8CBF4CC8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16F-4793-AFC9-03B8CBF4CC8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16F-4793-AFC9-03B8CBF4CC8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16F-4793-AFC9-03B8CBF4CC8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16F-4793-AFC9-03B8CBF4CC8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16F-4793-AFC9-03B8CBF4CC8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16F-4793-AFC9-03B8CBF4CC8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16F-4793-AFC9-03B8CBF4CC8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16F-4793-AFC9-03B8CBF4CC8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16F-4793-AFC9-03B8CBF4CC8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16F-4793-AFC9-03B8CBF4CC8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16F-4793-AFC9-03B8CBF4CC8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16F-4793-AFC9-03B8CBF4CC8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16F-4793-AFC9-03B8CBF4CC8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16F-4793-AFC9-03B8CBF4CC8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16F-4793-AFC9-03B8CBF4CC8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16F-4793-AFC9-03B8CBF4CC8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16F-4793-AFC9-03B8CBF4CC8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Dic25-Ene26'!$A$80</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16F-4793-AFC9-03B8CBF4CC8F}"/>
              </c:ext>
            </c:extLst>
          </c:dPt>
          <c:dPt>
            <c:idx val="1"/>
            <c:bubble3D val="0"/>
            <c:spPr>
              <a:noFill/>
              <a:ln w="19050">
                <a:solidFill>
                  <a:schemeClr val="lt1"/>
                </a:solidFill>
              </a:ln>
              <a:effectLst/>
            </c:spPr>
            <c:extLst>
              <c:ext xmlns:c16="http://schemas.microsoft.com/office/drawing/2014/chart" uri="{C3380CC4-5D6E-409C-BE32-E72D297353CC}">
                <c16:uniqueId val="{0000002C-416F-4793-AFC9-03B8CBF4CC8F}"/>
              </c:ext>
            </c:extLst>
          </c:dPt>
          <c:val>
            <c:numRef>
              <c:f>'Tablero Dic25-Ene26'!$B$80:$C$80</c:f>
              <c:numCache>
                <c:formatCode>0%</c:formatCode>
                <c:ptCount val="2"/>
                <c:pt idx="0">
                  <c:v>0.05</c:v>
                </c:pt>
                <c:pt idx="1">
                  <c:v>0.95</c:v>
                </c:pt>
              </c:numCache>
            </c:numRef>
          </c:val>
          <c:extLst>
            <c:ext xmlns:c16="http://schemas.microsoft.com/office/drawing/2014/chart" uri="{C3380CC4-5D6E-409C-BE32-E72D297353CC}">
              <c16:uniqueId val="{0000002D-416F-4793-AFC9-03B8CBF4CC8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603-4484-8666-D3451EE89E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03-4484-8666-D3451EE89EF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603-4484-8666-D3451EE89EF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0603-4484-8666-D3451EE89EF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603-4484-8666-D3451EE89EF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0603-4484-8666-D3451EE89EF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0603-4484-8666-D3451EE89EF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0603-4484-8666-D3451EE89EF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0603-4484-8666-D3451EE89EF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0603-4484-8666-D3451EE89EF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0603-4484-8666-D3451EE89EF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0603-4484-8666-D3451EE89EF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0603-4484-8666-D3451EE89EF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0603-4484-8666-D3451EE89EF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0603-4484-8666-D3451EE89EF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0603-4484-8666-D3451EE89EF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0603-4484-8666-D3451EE89EF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0603-4484-8666-D3451EE89EF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0603-4484-8666-D3451EE89EF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0603-4484-8666-D3451EE89EF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603-4484-8666-D3451EE89EF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Dic25-Ene26'!$A$87</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603-4484-8666-D3451EE89EF9}"/>
              </c:ext>
            </c:extLst>
          </c:dPt>
          <c:dPt>
            <c:idx val="1"/>
            <c:bubble3D val="0"/>
            <c:spPr>
              <a:noFill/>
              <a:ln w="19050">
                <a:solidFill>
                  <a:schemeClr val="lt1"/>
                </a:solidFill>
              </a:ln>
              <a:effectLst/>
            </c:spPr>
            <c:extLst>
              <c:ext xmlns:c16="http://schemas.microsoft.com/office/drawing/2014/chart" uri="{C3380CC4-5D6E-409C-BE32-E72D297353CC}">
                <c16:uniqueId val="{0000002C-0603-4484-8666-D3451EE89EF9}"/>
              </c:ext>
            </c:extLst>
          </c:dPt>
          <c:val>
            <c:numRef>
              <c:f>'Tablero Dic25-Ene26'!$B$87:$C$87</c:f>
              <c:numCache>
                <c:formatCode>0%</c:formatCode>
                <c:ptCount val="2"/>
                <c:pt idx="0">
                  <c:v>0</c:v>
                </c:pt>
                <c:pt idx="1">
                  <c:v>1</c:v>
                </c:pt>
              </c:numCache>
            </c:numRef>
          </c:val>
          <c:extLst>
            <c:ext xmlns:c16="http://schemas.microsoft.com/office/drawing/2014/chart" uri="{C3380CC4-5D6E-409C-BE32-E72D297353CC}">
              <c16:uniqueId val="{0000002D-0603-4484-8666-D3451EE89EF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752-4F05-BF01-3FB233930951}"/>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752-4F05-BF01-3FB233930951}"/>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752-4F05-BF01-3FB233930951}"/>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752-4F05-BF01-3FB233930951}"/>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752-4F05-BF01-3FB233930951}"/>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752-4F05-BF01-3FB233930951}"/>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752-4F05-BF01-3FB233930951}"/>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752-4F05-BF01-3FB233930951}"/>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752-4F05-BF01-3FB233930951}"/>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752-4F05-BF01-3FB233930951}"/>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752-4F05-BF01-3FB233930951}"/>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752-4F05-BF01-3FB233930951}"/>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752-4F05-BF01-3FB233930951}"/>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752-4F05-BF01-3FB233930951}"/>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752-4F05-BF01-3FB233930951}"/>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752-4F05-BF01-3FB233930951}"/>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752-4F05-BF01-3FB233930951}"/>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752-4F05-BF01-3FB233930951}"/>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752-4F05-BF01-3FB233930951}"/>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752-4F05-BF01-3FB23393095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752-4F05-BF01-3FB23393095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Dic25-Ene26'!$A$81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752-4F05-BF01-3FB233930951}"/>
              </c:ext>
            </c:extLst>
          </c:dPt>
          <c:dPt>
            <c:idx val="1"/>
            <c:bubble3D val="0"/>
            <c:spPr>
              <a:noFill/>
              <a:ln w="19050">
                <a:solidFill>
                  <a:schemeClr val="lt1"/>
                </a:solidFill>
              </a:ln>
              <a:effectLst/>
            </c:spPr>
            <c:extLst>
              <c:ext xmlns:c16="http://schemas.microsoft.com/office/drawing/2014/chart" uri="{C3380CC4-5D6E-409C-BE32-E72D297353CC}">
                <c16:uniqueId val="{0000002C-4752-4F05-BF01-3FB233930951}"/>
              </c:ext>
            </c:extLst>
          </c:dPt>
          <c:val>
            <c:numRef>
              <c:f>'Tablero Dic25-Ene26'!$B$81:$C$81</c:f>
              <c:numCache>
                <c:formatCode>0%</c:formatCode>
                <c:ptCount val="2"/>
                <c:pt idx="0">
                  <c:v>0.25</c:v>
                </c:pt>
                <c:pt idx="1">
                  <c:v>0.75</c:v>
                </c:pt>
              </c:numCache>
            </c:numRef>
          </c:val>
          <c:extLst>
            <c:ext xmlns:c16="http://schemas.microsoft.com/office/drawing/2014/chart" uri="{C3380CC4-5D6E-409C-BE32-E72D297353CC}">
              <c16:uniqueId val="{0000002D-4752-4F05-BF01-3FB23393095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5A1-4B7A-9505-D964DA7572ED}"/>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5A1-4B7A-9505-D964DA7572ED}"/>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5A1-4B7A-9505-D964DA7572ED}"/>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5A1-4B7A-9505-D964DA7572ED}"/>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5A1-4B7A-9505-D964DA7572ED}"/>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5A1-4B7A-9505-D964DA7572ED}"/>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5A1-4B7A-9505-D964DA7572ED}"/>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5A1-4B7A-9505-D964DA7572ED}"/>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5A1-4B7A-9505-D964DA7572ED}"/>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5A1-4B7A-9505-D964DA7572ED}"/>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5A1-4B7A-9505-D964DA7572ED}"/>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5A1-4B7A-9505-D964DA7572ED}"/>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5A1-4B7A-9505-D964DA7572ED}"/>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5A1-4B7A-9505-D964DA7572ED}"/>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5A1-4B7A-9505-D964DA7572ED}"/>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5A1-4B7A-9505-D964DA7572ED}"/>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5A1-4B7A-9505-D964DA7572ED}"/>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5A1-4B7A-9505-D964DA7572ED}"/>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5A1-4B7A-9505-D964DA7572ED}"/>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5A1-4B7A-9505-D964DA7572E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5A1-4B7A-9505-D964DA7572E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Dic25-Ene26'!$A$93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5A1-4B7A-9505-D964DA7572ED}"/>
              </c:ext>
            </c:extLst>
          </c:dPt>
          <c:dPt>
            <c:idx val="1"/>
            <c:bubble3D val="0"/>
            <c:spPr>
              <a:noFill/>
              <a:ln w="19050">
                <a:solidFill>
                  <a:schemeClr val="lt1"/>
                </a:solidFill>
              </a:ln>
              <a:effectLst/>
            </c:spPr>
            <c:extLst>
              <c:ext xmlns:c16="http://schemas.microsoft.com/office/drawing/2014/chart" uri="{C3380CC4-5D6E-409C-BE32-E72D297353CC}">
                <c16:uniqueId val="{0000002C-55A1-4B7A-9505-D964DA7572ED}"/>
              </c:ext>
            </c:extLst>
          </c:dPt>
          <c:val>
            <c:numRef>
              <c:f>'Tablero Dic25-Ene26'!$B$93:$C$93</c:f>
              <c:numCache>
                <c:formatCode>0%</c:formatCode>
                <c:ptCount val="2"/>
                <c:pt idx="0">
                  <c:v>0.7</c:v>
                </c:pt>
                <c:pt idx="1">
                  <c:v>0.3</c:v>
                </c:pt>
              </c:numCache>
            </c:numRef>
          </c:val>
          <c:extLst>
            <c:ext xmlns:c16="http://schemas.microsoft.com/office/drawing/2014/chart" uri="{C3380CC4-5D6E-409C-BE32-E72D297353CC}">
              <c16:uniqueId val="{0000002D-55A1-4B7A-9505-D964DA7572E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A0A-4B07-A143-73ACB8C5ED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0A-4B07-A143-73ACB8C5EDC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A0A-4B07-A143-73ACB8C5EDCA}"/>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A0A-4B07-A143-73ACB8C5EDCA}"/>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A0A-4B07-A143-73ACB8C5EDCA}"/>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A0A-4B07-A143-73ACB8C5EDCA}"/>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A0A-4B07-A143-73ACB8C5EDCA}"/>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A0A-4B07-A143-73ACB8C5EDCA}"/>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A0A-4B07-A143-73ACB8C5EDCA}"/>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A0A-4B07-A143-73ACB8C5EDCA}"/>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A0A-4B07-A143-73ACB8C5EDCA}"/>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A0A-4B07-A143-73ACB8C5EDCA}"/>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A0A-4B07-A143-73ACB8C5EDCA}"/>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A0A-4B07-A143-73ACB8C5EDCA}"/>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A0A-4B07-A143-73ACB8C5EDCA}"/>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A0A-4B07-A143-73ACB8C5EDCA}"/>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A0A-4B07-A143-73ACB8C5EDCA}"/>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A0A-4B07-A143-73ACB8C5EDCA}"/>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A0A-4B07-A143-73ACB8C5EDCA}"/>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A0A-4B07-A143-73ACB8C5EDC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A0A-4B07-A143-73ACB8C5EDC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Dic25-Ene26'!$A$99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A0A-4B07-A143-73ACB8C5EDCA}"/>
              </c:ext>
            </c:extLst>
          </c:dPt>
          <c:dPt>
            <c:idx val="1"/>
            <c:bubble3D val="0"/>
            <c:spPr>
              <a:noFill/>
              <a:ln w="19050">
                <a:solidFill>
                  <a:schemeClr val="lt1"/>
                </a:solidFill>
              </a:ln>
              <a:effectLst/>
            </c:spPr>
            <c:extLst>
              <c:ext xmlns:c16="http://schemas.microsoft.com/office/drawing/2014/chart" uri="{C3380CC4-5D6E-409C-BE32-E72D297353CC}">
                <c16:uniqueId val="{0000002C-1A0A-4B07-A143-73ACB8C5EDCA}"/>
              </c:ext>
            </c:extLst>
          </c:dPt>
          <c:val>
            <c:numRef>
              <c:f>'Tablero Dic25-Ene26'!$B$99:$C$99</c:f>
              <c:numCache>
                <c:formatCode>0%</c:formatCode>
                <c:ptCount val="2"/>
                <c:pt idx="0">
                  <c:v>0.76</c:v>
                </c:pt>
                <c:pt idx="1">
                  <c:v>0.24</c:v>
                </c:pt>
              </c:numCache>
            </c:numRef>
          </c:val>
          <c:extLst>
            <c:ext xmlns:c16="http://schemas.microsoft.com/office/drawing/2014/chart" uri="{C3380CC4-5D6E-409C-BE32-E72D297353CC}">
              <c16:uniqueId val="{0000002D-1A0A-4B07-A143-73ACB8C5EDC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342-4058-8B4F-93C842A721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2-4058-8B4F-93C842A721C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342-4058-8B4F-93C842A721C5}"/>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342-4058-8B4F-93C842A721C5}"/>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342-4058-8B4F-93C842A721C5}"/>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342-4058-8B4F-93C842A721C5}"/>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342-4058-8B4F-93C842A721C5}"/>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342-4058-8B4F-93C842A721C5}"/>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342-4058-8B4F-93C842A721C5}"/>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342-4058-8B4F-93C842A721C5}"/>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342-4058-8B4F-93C842A721C5}"/>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342-4058-8B4F-93C842A721C5}"/>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342-4058-8B4F-93C842A721C5}"/>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342-4058-8B4F-93C842A721C5}"/>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342-4058-8B4F-93C842A721C5}"/>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342-4058-8B4F-93C842A721C5}"/>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342-4058-8B4F-93C842A721C5}"/>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342-4058-8B4F-93C842A721C5}"/>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342-4058-8B4F-93C842A721C5}"/>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342-4058-8B4F-93C842A721C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342-4058-8B4F-93C842A721C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Dic25-Ene26'!$A$100</c:f>
              <c:strCache>
                <c:ptCount val="1"/>
                <c:pt idx="0">
                  <c:v>Relaciones y Servicio</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342-4058-8B4F-93C842A721C5}"/>
              </c:ext>
            </c:extLst>
          </c:dPt>
          <c:dPt>
            <c:idx val="1"/>
            <c:bubble3D val="0"/>
            <c:spPr>
              <a:noFill/>
              <a:ln w="19050">
                <a:solidFill>
                  <a:schemeClr val="lt1"/>
                </a:solidFill>
              </a:ln>
              <a:effectLst/>
            </c:spPr>
            <c:extLst>
              <c:ext xmlns:c16="http://schemas.microsoft.com/office/drawing/2014/chart" uri="{C3380CC4-5D6E-409C-BE32-E72D297353CC}">
                <c16:uniqueId val="{0000002C-D342-4058-8B4F-93C842A721C5}"/>
              </c:ext>
            </c:extLst>
          </c:dPt>
          <c:val>
            <c:numRef>
              <c:f>'Tablero Dic25-Ene26'!$B$100:$C$100</c:f>
              <c:numCache>
                <c:formatCode>0%</c:formatCode>
                <c:ptCount val="2"/>
                <c:pt idx="0">
                  <c:v>0.91</c:v>
                </c:pt>
                <c:pt idx="1">
                  <c:v>0.09</c:v>
                </c:pt>
              </c:numCache>
            </c:numRef>
          </c:val>
          <c:extLst>
            <c:ext xmlns:c16="http://schemas.microsoft.com/office/drawing/2014/chart" uri="{C3380CC4-5D6E-409C-BE32-E72D297353CC}">
              <c16:uniqueId val="{0000002D-D342-4058-8B4F-93C842A721C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6562-4904-958D-AA1FC4A31FBE}"/>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6562-4904-958D-AA1FC4A31FBE}"/>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562-4904-958D-AA1FC4A31FBE}"/>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562-4904-958D-AA1FC4A31FBE}"/>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6562-4904-958D-AA1FC4A31FBE}"/>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6562-4904-958D-AA1FC4A31FBE}"/>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6562-4904-958D-AA1FC4A31FBE}"/>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6562-4904-958D-AA1FC4A31FBE}"/>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6562-4904-958D-AA1FC4A31FBE}"/>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6562-4904-958D-AA1FC4A31FBE}"/>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6562-4904-958D-AA1FC4A31FBE}"/>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6562-4904-958D-AA1FC4A31FBE}"/>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6562-4904-958D-AA1FC4A31FBE}"/>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6562-4904-958D-AA1FC4A31FBE}"/>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6562-4904-958D-AA1FC4A31FBE}"/>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6562-4904-958D-AA1FC4A31FBE}"/>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6562-4904-958D-AA1FC4A31FBE}"/>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6562-4904-958D-AA1FC4A31FBE}"/>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6562-4904-958D-AA1FC4A31FBE}"/>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6562-4904-958D-AA1FC4A31FB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562-4904-958D-AA1FC4A31FB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Dic25-Ene26'!$A$94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562-4904-958D-AA1FC4A31FBE}"/>
              </c:ext>
            </c:extLst>
          </c:dPt>
          <c:dPt>
            <c:idx val="1"/>
            <c:bubble3D val="0"/>
            <c:spPr>
              <a:noFill/>
              <a:ln w="19050">
                <a:solidFill>
                  <a:schemeClr val="lt1"/>
                </a:solidFill>
              </a:ln>
              <a:effectLst/>
            </c:spPr>
            <c:extLst>
              <c:ext xmlns:c16="http://schemas.microsoft.com/office/drawing/2014/chart" uri="{C3380CC4-5D6E-409C-BE32-E72D297353CC}">
                <c16:uniqueId val="{0000002C-6562-4904-958D-AA1FC4A31FBE}"/>
              </c:ext>
            </c:extLst>
          </c:dPt>
          <c:val>
            <c:numRef>
              <c:f>'Tablero Dic25-Ene26'!$B$94:$C$94</c:f>
              <c:numCache>
                <c:formatCode>0%</c:formatCode>
                <c:ptCount val="2"/>
                <c:pt idx="0">
                  <c:v>0.05</c:v>
                </c:pt>
                <c:pt idx="1">
                  <c:v>0.95</c:v>
                </c:pt>
              </c:numCache>
            </c:numRef>
          </c:val>
          <c:extLst>
            <c:ext xmlns:c16="http://schemas.microsoft.com/office/drawing/2014/chart" uri="{C3380CC4-5D6E-409C-BE32-E72D297353CC}">
              <c16:uniqueId val="{0000002D-6562-4904-958D-AA1FC4A31FB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919-4584-A29F-10FC15ADB6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19-4584-A29F-10FC15ADB68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919-4584-A29F-10FC15ADB68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3919-4584-A29F-10FC15ADB68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3919-4584-A29F-10FC15ADB68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3919-4584-A29F-10FC15ADB68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3919-4584-A29F-10FC15ADB68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3919-4584-A29F-10FC15ADB68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3919-4584-A29F-10FC15ADB68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3919-4584-A29F-10FC15ADB68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3919-4584-A29F-10FC15ADB68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3919-4584-A29F-10FC15ADB68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3919-4584-A29F-10FC15ADB68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3919-4584-A29F-10FC15ADB68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3919-4584-A29F-10FC15ADB68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3919-4584-A29F-10FC15ADB68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3919-4584-A29F-10FC15ADB68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3919-4584-A29F-10FC15ADB68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3919-4584-A29F-10FC15ADB68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3919-4584-A29F-10FC15ADB68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919-4584-A29F-10FC15ADB68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919-4584-A29F-10FC15ADB68D}"/>
              </c:ext>
            </c:extLst>
          </c:dPt>
          <c:dPt>
            <c:idx val="1"/>
            <c:bubble3D val="0"/>
            <c:spPr>
              <a:noFill/>
              <a:ln w="19050">
                <a:solidFill>
                  <a:schemeClr val="lt1"/>
                </a:solidFill>
              </a:ln>
              <a:effectLst/>
            </c:spPr>
            <c:extLst>
              <c:ext xmlns:c16="http://schemas.microsoft.com/office/drawing/2014/chart" uri="{C3380CC4-5D6E-409C-BE32-E72D297353CC}">
                <c16:uniqueId val="{0000002C-3919-4584-A29F-10FC15ADB68D}"/>
              </c:ext>
            </c:extLst>
          </c:dPt>
          <c:val>
            <c:numRef>
              <c:f>'Tablero Dic25-Ene26'!$B$101:$C$101</c:f>
              <c:numCache>
                <c:formatCode>0%</c:formatCode>
                <c:ptCount val="2"/>
                <c:pt idx="0">
                  <c:v>0</c:v>
                </c:pt>
                <c:pt idx="1">
                  <c:v>1</c:v>
                </c:pt>
              </c:numCache>
            </c:numRef>
          </c:val>
          <c:extLst>
            <c:ext xmlns:c16="http://schemas.microsoft.com/office/drawing/2014/chart" uri="{C3380CC4-5D6E-409C-BE32-E72D297353CC}">
              <c16:uniqueId val="{0000002D-3919-4584-A29F-10FC15ADB68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6861-42A7-917F-D7C85ACE591A}"/>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6861-42A7-917F-D7C85ACE591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861-42A7-917F-D7C85ACE591A}"/>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861-42A7-917F-D7C85ACE591A}"/>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6861-42A7-917F-D7C85ACE591A}"/>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6861-42A7-917F-D7C85ACE591A}"/>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6861-42A7-917F-D7C85ACE591A}"/>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6861-42A7-917F-D7C85ACE591A}"/>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6861-42A7-917F-D7C85ACE591A}"/>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6861-42A7-917F-D7C85ACE591A}"/>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6861-42A7-917F-D7C85ACE591A}"/>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6861-42A7-917F-D7C85ACE591A}"/>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6861-42A7-917F-D7C85ACE591A}"/>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6861-42A7-917F-D7C85ACE591A}"/>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6861-42A7-917F-D7C85ACE591A}"/>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6861-42A7-917F-D7C85ACE591A}"/>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6861-42A7-917F-D7C85ACE591A}"/>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6861-42A7-917F-D7C85ACE591A}"/>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6861-42A7-917F-D7C85ACE591A}"/>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6861-42A7-917F-D7C85ACE591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861-42A7-917F-D7C85ACE591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Dic25-Ene26'!$A$95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861-42A7-917F-D7C85ACE591A}"/>
              </c:ext>
            </c:extLst>
          </c:dPt>
          <c:dPt>
            <c:idx val="1"/>
            <c:bubble3D val="0"/>
            <c:spPr>
              <a:noFill/>
              <a:ln w="19050">
                <a:solidFill>
                  <a:schemeClr val="lt1"/>
                </a:solidFill>
              </a:ln>
              <a:effectLst/>
            </c:spPr>
            <c:extLst>
              <c:ext xmlns:c16="http://schemas.microsoft.com/office/drawing/2014/chart" uri="{C3380CC4-5D6E-409C-BE32-E72D297353CC}">
                <c16:uniqueId val="{0000002C-6861-42A7-917F-D7C85ACE591A}"/>
              </c:ext>
            </c:extLst>
          </c:dPt>
          <c:val>
            <c:numRef>
              <c:f>'Tablero Dic25-Ene26'!$B$95:$C$95</c:f>
              <c:numCache>
                <c:formatCode>0%</c:formatCode>
                <c:ptCount val="2"/>
                <c:pt idx="0">
                  <c:v>0.25</c:v>
                </c:pt>
                <c:pt idx="1">
                  <c:v>0.75</c:v>
                </c:pt>
              </c:numCache>
            </c:numRef>
          </c:val>
          <c:extLst>
            <c:ext xmlns:c16="http://schemas.microsoft.com/office/drawing/2014/chart" uri="{C3380CC4-5D6E-409C-BE32-E72D297353CC}">
              <c16:uniqueId val="{0000002D-6861-42A7-917F-D7C85ACE591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56B-4910-B9EB-CBC7A57AA811}"/>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56B-4910-B9EB-CBC7A57AA811}"/>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56B-4910-B9EB-CBC7A57AA811}"/>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56B-4910-B9EB-CBC7A57AA811}"/>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56B-4910-B9EB-CBC7A57AA811}"/>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56B-4910-B9EB-CBC7A57AA811}"/>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56B-4910-B9EB-CBC7A57AA811}"/>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56B-4910-B9EB-CBC7A57AA811}"/>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56B-4910-B9EB-CBC7A57AA811}"/>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56B-4910-B9EB-CBC7A57AA811}"/>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56B-4910-B9EB-CBC7A57AA811}"/>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56B-4910-B9EB-CBC7A57AA811}"/>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56B-4910-B9EB-CBC7A57AA811}"/>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56B-4910-B9EB-CBC7A57AA811}"/>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56B-4910-B9EB-CBC7A57AA811}"/>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56B-4910-B9EB-CBC7A57AA811}"/>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56B-4910-B9EB-CBC7A57AA811}"/>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56B-4910-B9EB-CBC7A57AA811}"/>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56B-4910-B9EB-CBC7A57AA811}"/>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56B-4910-B9EB-CBC7A57AA81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56B-4910-B9EB-CBC7A57AA81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Dic25-Ene26'!$A$107</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56B-4910-B9EB-CBC7A57AA811}"/>
              </c:ext>
            </c:extLst>
          </c:dPt>
          <c:dPt>
            <c:idx val="1"/>
            <c:bubble3D val="0"/>
            <c:spPr>
              <a:noFill/>
              <a:ln w="19050">
                <a:solidFill>
                  <a:schemeClr val="lt1"/>
                </a:solidFill>
              </a:ln>
              <a:effectLst/>
            </c:spPr>
            <c:extLst>
              <c:ext xmlns:c16="http://schemas.microsoft.com/office/drawing/2014/chart" uri="{C3380CC4-5D6E-409C-BE32-E72D297353CC}">
                <c16:uniqueId val="{0000002C-456B-4910-B9EB-CBC7A57AA811}"/>
              </c:ext>
            </c:extLst>
          </c:dPt>
          <c:val>
            <c:numRef>
              <c:f>'Tablero Dic25-Ene26'!$B$107:$C$107</c:f>
              <c:numCache>
                <c:formatCode>0%</c:formatCode>
                <c:ptCount val="2"/>
                <c:pt idx="0">
                  <c:v>0.7</c:v>
                </c:pt>
                <c:pt idx="1">
                  <c:v>0.3</c:v>
                </c:pt>
              </c:numCache>
            </c:numRef>
          </c:val>
          <c:extLst>
            <c:ext xmlns:c16="http://schemas.microsoft.com/office/drawing/2014/chart" uri="{C3380CC4-5D6E-409C-BE32-E72D297353CC}">
              <c16:uniqueId val="{0000002D-456B-4910-B9EB-CBC7A57AA81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E1D-424A-B6A2-A73DCFBA1B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1D-424A-B6A2-A73DCFBA1B9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E1D-424A-B6A2-A73DCFBA1B9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6E1D-424A-B6A2-A73DCFBA1B9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6E1D-424A-B6A2-A73DCFBA1B9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6E1D-424A-B6A2-A73DCFBA1B9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6E1D-424A-B6A2-A73DCFBA1B9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6E1D-424A-B6A2-A73DCFBA1B9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6E1D-424A-B6A2-A73DCFBA1B9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6E1D-424A-B6A2-A73DCFBA1B9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6E1D-424A-B6A2-A73DCFBA1B9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6E1D-424A-B6A2-A73DCFBA1B9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6E1D-424A-B6A2-A73DCFBA1B9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6E1D-424A-B6A2-A73DCFBA1B9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6E1D-424A-B6A2-A73DCFBA1B9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6E1D-424A-B6A2-A73DCFBA1B9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6E1D-424A-B6A2-A73DCFBA1B9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6E1D-424A-B6A2-A73DCFBA1B9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6E1D-424A-B6A2-A73DCFBA1B9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6E1D-424A-B6A2-A73DCFBA1B9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E1D-424A-B6A2-A73DCFBA1B9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Dic25-Ene26'!$A$113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E1D-424A-B6A2-A73DCFBA1B96}"/>
              </c:ext>
            </c:extLst>
          </c:dPt>
          <c:dPt>
            <c:idx val="1"/>
            <c:bubble3D val="0"/>
            <c:spPr>
              <a:noFill/>
              <a:ln w="19050">
                <a:solidFill>
                  <a:schemeClr val="lt1"/>
                </a:solidFill>
              </a:ln>
              <a:effectLst/>
            </c:spPr>
            <c:extLst>
              <c:ext xmlns:c16="http://schemas.microsoft.com/office/drawing/2014/chart" uri="{C3380CC4-5D6E-409C-BE32-E72D297353CC}">
                <c16:uniqueId val="{0000002C-6E1D-424A-B6A2-A73DCFBA1B96}"/>
              </c:ext>
            </c:extLst>
          </c:dPt>
          <c:val>
            <c:numRef>
              <c:f>'Tablero Dic25-Ene26'!$B$113:$C$113</c:f>
              <c:numCache>
                <c:formatCode>0%</c:formatCode>
                <c:ptCount val="2"/>
                <c:pt idx="0">
                  <c:v>0.66</c:v>
                </c:pt>
                <c:pt idx="1">
                  <c:v>0.34</c:v>
                </c:pt>
              </c:numCache>
            </c:numRef>
          </c:val>
          <c:extLst>
            <c:ext xmlns:c16="http://schemas.microsoft.com/office/drawing/2014/chart" uri="{C3380CC4-5D6E-409C-BE32-E72D297353CC}">
              <c16:uniqueId val="{0000002D-6E1D-424A-B6A2-A73DCFBA1B9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563-4EB0-A6E6-3AA096196A2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563-4EB0-A6E6-3AA096196A2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563-4EB0-A6E6-3AA096196A23}"/>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563-4EB0-A6E6-3AA096196A23}"/>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563-4EB0-A6E6-3AA096196A23}"/>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563-4EB0-A6E6-3AA096196A23}"/>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563-4EB0-A6E6-3AA096196A2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563-4EB0-A6E6-3AA096196A23}"/>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563-4EB0-A6E6-3AA096196A23}"/>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563-4EB0-A6E6-3AA096196A23}"/>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563-4EB0-A6E6-3AA096196A23}"/>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563-4EB0-A6E6-3AA096196A23}"/>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563-4EB0-A6E6-3AA096196A23}"/>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563-4EB0-A6E6-3AA096196A23}"/>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563-4EB0-A6E6-3AA096196A23}"/>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563-4EB0-A6E6-3AA096196A23}"/>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563-4EB0-A6E6-3AA096196A23}"/>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563-4EB0-A6E6-3AA096196A23}"/>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563-4EB0-A6E6-3AA096196A23}"/>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563-4EB0-A6E6-3AA096196A2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563-4EB0-A6E6-3AA096196A2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Dic25-Ene26'!$A$108</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563-4EB0-A6E6-3AA096196A23}"/>
              </c:ext>
            </c:extLst>
          </c:dPt>
          <c:dPt>
            <c:idx val="1"/>
            <c:bubble3D val="0"/>
            <c:spPr>
              <a:noFill/>
              <a:ln w="19050">
                <a:solidFill>
                  <a:schemeClr val="lt1"/>
                </a:solidFill>
              </a:ln>
              <a:effectLst/>
            </c:spPr>
            <c:extLst>
              <c:ext xmlns:c16="http://schemas.microsoft.com/office/drawing/2014/chart" uri="{C3380CC4-5D6E-409C-BE32-E72D297353CC}">
                <c16:uniqueId val="{0000002C-C563-4EB0-A6E6-3AA096196A23}"/>
              </c:ext>
            </c:extLst>
          </c:dPt>
          <c:val>
            <c:numRef>
              <c:f>'Tablero Dic25-Ene26'!$B$108:$C$108</c:f>
              <c:numCache>
                <c:formatCode>0%</c:formatCode>
                <c:ptCount val="2"/>
                <c:pt idx="0">
                  <c:v>0.05</c:v>
                </c:pt>
                <c:pt idx="1">
                  <c:v>0.95</c:v>
                </c:pt>
              </c:numCache>
            </c:numRef>
          </c:val>
          <c:extLst>
            <c:ext xmlns:c16="http://schemas.microsoft.com/office/drawing/2014/chart" uri="{C3380CC4-5D6E-409C-BE32-E72D297353CC}">
              <c16:uniqueId val="{0000002D-C563-4EB0-A6E6-3AA096196A2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Dic25-Ene26'!$A$65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625-4F2F-879C-27E7C8C417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25-4F2F-879C-27E7C8C4179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625-4F2F-879C-27E7C8C41794}"/>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625-4F2F-879C-27E7C8C41794}"/>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625-4F2F-879C-27E7C8C41794}"/>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625-4F2F-879C-27E7C8C4179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625-4F2F-879C-27E7C8C41794}"/>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625-4F2F-879C-27E7C8C41794}"/>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625-4F2F-879C-27E7C8C41794}"/>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625-4F2F-879C-27E7C8C41794}"/>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625-4F2F-879C-27E7C8C41794}"/>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625-4F2F-879C-27E7C8C41794}"/>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625-4F2F-879C-27E7C8C41794}"/>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625-4F2F-879C-27E7C8C41794}"/>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625-4F2F-879C-27E7C8C41794}"/>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625-4F2F-879C-27E7C8C41794}"/>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625-4F2F-879C-27E7C8C41794}"/>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625-4F2F-879C-27E7C8C41794}"/>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625-4F2F-879C-27E7C8C41794}"/>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625-4F2F-879C-27E7C8C4179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625-4F2F-879C-27E7C8C4179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Dic25-Ene26'!$A$115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625-4F2F-879C-27E7C8C41794}"/>
              </c:ext>
            </c:extLst>
          </c:dPt>
          <c:dPt>
            <c:idx val="1"/>
            <c:bubble3D val="0"/>
            <c:spPr>
              <a:noFill/>
              <a:ln w="19050">
                <a:solidFill>
                  <a:schemeClr val="lt1"/>
                </a:solidFill>
              </a:ln>
              <a:effectLst/>
            </c:spPr>
            <c:extLst>
              <c:ext xmlns:c16="http://schemas.microsoft.com/office/drawing/2014/chart" uri="{C3380CC4-5D6E-409C-BE32-E72D297353CC}">
                <c16:uniqueId val="{0000002C-D625-4F2F-879C-27E7C8C41794}"/>
              </c:ext>
            </c:extLst>
          </c:dPt>
          <c:val>
            <c:numRef>
              <c:f>'Tablero Dic25-Ene26'!$B$115:$C$115</c:f>
              <c:numCache>
                <c:formatCode>0%</c:formatCode>
                <c:ptCount val="2"/>
                <c:pt idx="0">
                  <c:v>0</c:v>
                </c:pt>
                <c:pt idx="1">
                  <c:v>1</c:v>
                </c:pt>
              </c:numCache>
            </c:numRef>
          </c:val>
          <c:extLst>
            <c:ext xmlns:c16="http://schemas.microsoft.com/office/drawing/2014/chart" uri="{C3380CC4-5D6E-409C-BE32-E72D297353CC}">
              <c16:uniqueId val="{0000002D-D625-4F2F-879C-27E7C8C4179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C04-4822-8036-F2B46896A9C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C04-4822-8036-F2B46896A9C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C04-4822-8036-F2B46896A9C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C04-4822-8036-F2B46896A9C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C04-4822-8036-F2B46896A9C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C04-4822-8036-F2B46896A9C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C04-4822-8036-F2B46896A9C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C04-4822-8036-F2B46896A9C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C04-4822-8036-F2B46896A9C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C04-4822-8036-F2B46896A9C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C04-4822-8036-F2B46896A9C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C04-4822-8036-F2B46896A9C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C04-4822-8036-F2B46896A9C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C04-4822-8036-F2B46896A9C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C04-4822-8036-F2B46896A9C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C04-4822-8036-F2B46896A9C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C04-4822-8036-F2B46896A9C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C04-4822-8036-F2B46896A9C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C04-4822-8036-F2B46896A9C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C04-4822-8036-F2B46896A9C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C04-4822-8036-F2B46896A9C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Dic25-Ene26'!$A$109</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C04-4822-8036-F2B46896A9C0}"/>
              </c:ext>
            </c:extLst>
          </c:dPt>
          <c:dPt>
            <c:idx val="1"/>
            <c:bubble3D val="0"/>
            <c:spPr>
              <a:noFill/>
              <a:ln w="19050">
                <a:solidFill>
                  <a:schemeClr val="lt1"/>
                </a:solidFill>
              </a:ln>
              <a:effectLst/>
            </c:spPr>
            <c:extLst>
              <c:ext xmlns:c16="http://schemas.microsoft.com/office/drawing/2014/chart" uri="{C3380CC4-5D6E-409C-BE32-E72D297353CC}">
                <c16:uniqueId val="{0000002C-5C04-4822-8036-F2B46896A9C0}"/>
              </c:ext>
            </c:extLst>
          </c:dPt>
          <c:val>
            <c:numRef>
              <c:f>'Tablero Dic25-Ene26'!$B$109:$C$109</c:f>
              <c:numCache>
                <c:formatCode>0%</c:formatCode>
                <c:ptCount val="2"/>
                <c:pt idx="0">
                  <c:v>0.25</c:v>
                </c:pt>
                <c:pt idx="1">
                  <c:v>0.75</c:v>
                </c:pt>
              </c:numCache>
            </c:numRef>
          </c:val>
          <c:extLst>
            <c:ext xmlns:c16="http://schemas.microsoft.com/office/drawing/2014/chart" uri="{C3380CC4-5D6E-409C-BE32-E72D297353CC}">
              <c16:uniqueId val="{0000002D-5C04-4822-8036-F2B46896A9C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Dic25-Ene26'!$A$65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823-46C6-AD28-8874F1970C8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823-46C6-AD28-8874F1970C8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7823-46C6-AD28-8874F1970C83}"/>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7823-46C6-AD28-8874F1970C83}"/>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823-46C6-AD28-8874F1970C83}"/>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7823-46C6-AD28-8874F1970C83}"/>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7823-46C6-AD28-8874F1970C8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7823-46C6-AD28-8874F1970C83}"/>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7823-46C6-AD28-8874F1970C83}"/>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7823-46C6-AD28-8874F1970C83}"/>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7823-46C6-AD28-8874F1970C83}"/>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7823-46C6-AD28-8874F1970C83}"/>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7823-46C6-AD28-8874F1970C83}"/>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823-46C6-AD28-8874F1970C83}"/>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823-46C6-AD28-8874F1970C83}"/>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7823-46C6-AD28-8874F1970C83}"/>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7823-46C6-AD28-8874F1970C83}"/>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7823-46C6-AD28-8874F1970C83}"/>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7823-46C6-AD28-8874F1970C83}"/>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7823-46C6-AD28-8874F1970C8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823-46C6-AD28-8874F1970C8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Tablero!#REF!</c:f>
              <c:strCache>
                <c:ptCount val="1"/>
                <c:pt idx="0">
                  <c:v>#REF!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7823-46C6-AD28-8874F1970C83}"/>
              </c:ext>
            </c:extLst>
          </c:dPt>
          <c:val>
            <c:numRef>
              <c:f>Tablero!#REF!</c:f>
              <c:numCache>
                <c:formatCode>General</c:formatCode>
                <c:ptCount val="1"/>
                <c:pt idx="0">
                  <c:v>1</c:v>
                </c:pt>
              </c:numCache>
            </c:numRef>
          </c:val>
          <c:extLst>
            <c:ext xmlns:c16="http://schemas.microsoft.com/office/drawing/2014/chart" uri="{C3380CC4-5D6E-409C-BE32-E72D297353CC}">
              <c16:uniqueId val="{0000002B-7823-46C6-AD28-8874F1970C8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1111-42E6-AF42-535E96D5FB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11-42E6-AF42-535E96D5FB0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1111-42E6-AF42-535E96D5FB0B}"/>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1111-42E6-AF42-535E96D5FB0B}"/>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1111-42E6-AF42-535E96D5FB0B}"/>
              </c:ext>
            </c:extLst>
          </c:dPt>
          <c:dPt>
            <c:idx val="5"/>
            <c:bubble3D val="0"/>
            <c:spPr>
              <a:noFill/>
              <a:ln w="19050">
                <a:solidFill>
                  <a:schemeClr val="lt1"/>
                </a:solidFill>
              </a:ln>
              <a:effectLst/>
            </c:spPr>
            <c:extLst>
              <c:ext xmlns:c16="http://schemas.microsoft.com/office/drawing/2014/chart" uri="{C3380CC4-5D6E-409C-BE32-E72D297353CC}">
                <c16:uniqueId val="{0000000B-1111-42E6-AF42-535E96D5FB0B}"/>
              </c:ext>
            </c:extLst>
          </c:dPt>
          <c:val>
            <c:numRef>
              <c:f>'Tablero Dic25-Ene26'!$F$64:$F$69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1111-42E6-AF42-535E96D5FB0B}"/>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1111-42E6-AF42-535E96D5FB0B}"/>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1111-42E6-AF42-535E96D5FB0B}"/>
              </c:ext>
            </c:extLst>
          </c:dPt>
          <c:dPt>
            <c:idx val="2"/>
            <c:bubble3D val="0"/>
            <c:spPr>
              <a:noFill/>
              <a:ln w="19050">
                <a:solidFill>
                  <a:schemeClr val="lt1"/>
                </a:solidFill>
              </a:ln>
              <a:effectLst/>
            </c:spPr>
            <c:extLst>
              <c:ext xmlns:c16="http://schemas.microsoft.com/office/drawing/2014/chart" uri="{C3380CC4-5D6E-409C-BE32-E72D297353CC}">
                <c16:uniqueId val="{00000012-1111-42E6-AF42-535E96D5FB0B}"/>
              </c:ext>
            </c:extLst>
          </c:dPt>
          <c:val>
            <c:numRef>
              <c:f>'Tablero Dic25-Ene26'!$F$87:$F$89</c:f>
              <c:numCache>
                <c:formatCode>General</c:formatCode>
                <c:ptCount val="3"/>
                <c:pt idx="0">
                  <c:v>50.5</c:v>
                </c:pt>
                <c:pt idx="1">
                  <c:v>3</c:v>
                </c:pt>
                <c:pt idx="2">
                  <c:v>146.5</c:v>
                </c:pt>
              </c:numCache>
            </c:numRef>
          </c:val>
          <c:extLst>
            <c:ext xmlns:c16="http://schemas.microsoft.com/office/drawing/2014/chart" uri="{C3380CC4-5D6E-409C-BE32-E72D297353CC}">
              <c16:uniqueId val="{00000013-1111-42E6-AF42-535E96D5FB0B}"/>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305E-4067-A582-975069F9D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E-4067-A582-975069F9DD2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05E-4067-A582-975069F9DD2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305E-4067-A582-975069F9DD22}"/>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305E-4067-A582-975069F9DD22}"/>
              </c:ext>
            </c:extLst>
          </c:dPt>
          <c:dPt>
            <c:idx val="5"/>
            <c:bubble3D val="0"/>
            <c:spPr>
              <a:noFill/>
              <a:ln w="19050">
                <a:solidFill>
                  <a:schemeClr val="lt1"/>
                </a:solidFill>
              </a:ln>
              <a:effectLst/>
            </c:spPr>
            <c:extLst>
              <c:ext xmlns:c16="http://schemas.microsoft.com/office/drawing/2014/chart" uri="{C3380CC4-5D6E-409C-BE32-E72D297353CC}">
                <c16:uniqueId val="{0000000B-305E-4067-A582-975069F9DD22}"/>
              </c:ext>
            </c:extLst>
          </c:dPt>
          <c:val>
            <c:numRef>
              <c:f>'Tablero Dic25-Ene26'!$F$64:$F$69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305E-4067-A582-975069F9DD22}"/>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305E-4067-A582-975069F9DD2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305E-4067-A582-975069F9DD22}"/>
              </c:ext>
            </c:extLst>
          </c:dPt>
          <c:dPt>
            <c:idx val="2"/>
            <c:bubble3D val="0"/>
            <c:spPr>
              <a:noFill/>
              <a:ln w="19050">
                <a:solidFill>
                  <a:schemeClr val="lt1"/>
                </a:solidFill>
              </a:ln>
              <a:effectLst/>
            </c:spPr>
            <c:extLst>
              <c:ext xmlns:c16="http://schemas.microsoft.com/office/drawing/2014/chart" uri="{C3380CC4-5D6E-409C-BE32-E72D297353CC}">
                <c16:uniqueId val="{00000012-305E-4067-A582-975069F9DD22}"/>
              </c:ext>
            </c:extLst>
          </c:dPt>
          <c:val>
            <c:numRef>
              <c:f>'Tablero Dic25-Ene26'!$F$101:$F$103</c:f>
              <c:numCache>
                <c:formatCode>General</c:formatCode>
                <c:ptCount val="3"/>
                <c:pt idx="0">
                  <c:v>56.5</c:v>
                </c:pt>
                <c:pt idx="1">
                  <c:v>3</c:v>
                </c:pt>
                <c:pt idx="2">
                  <c:v>140.5</c:v>
                </c:pt>
              </c:numCache>
            </c:numRef>
          </c:val>
          <c:extLst>
            <c:ext xmlns:c16="http://schemas.microsoft.com/office/drawing/2014/chart" uri="{C3380CC4-5D6E-409C-BE32-E72D297353CC}">
              <c16:uniqueId val="{00000013-305E-4067-A582-975069F9DD2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96E4-425D-A106-D5CAAB0BDD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4-425D-A106-D5CAAB0BDD7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6E4-425D-A106-D5CAAB0BDD7E}"/>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96E4-425D-A106-D5CAAB0BDD7E}"/>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96E4-425D-A106-D5CAAB0BDD7E}"/>
              </c:ext>
            </c:extLst>
          </c:dPt>
          <c:dPt>
            <c:idx val="5"/>
            <c:bubble3D val="0"/>
            <c:spPr>
              <a:noFill/>
              <a:ln w="19050">
                <a:solidFill>
                  <a:schemeClr val="lt1"/>
                </a:solidFill>
              </a:ln>
              <a:effectLst/>
            </c:spPr>
            <c:extLst>
              <c:ext xmlns:c16="http://schemas.microsoft.com/office/drawing/2014/chart" uri="{C3380CC4-5D6E-409C-BE32-E72D297353CC}">
                <c16:uniqueId val="{0000000B-96E4-425D-A106-D5CAAB0BDD7E}"/>
              </c:ext>
            </c:extLst>
          </c:dPt>
          <c:val>
            <c:numRef>
              <c:f>'Tablero Dic25-Ene26'!$F$64:$F$69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96E4-425D-A106-D5CAAB0BDD7E}"/>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96E4-425D-A106-D5CAAB0BDD7E}"/>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96E4-425D-A106-D5CAAB0BDD7E}"/>
              </c:ext>
            </c:extLst>
          </c:dPt>
          <c:dPt>
            <c:idx val="2"/>
            <c:bubble3D val="0"/>
            <c:spPr>
              <a:noFill/>
              <a:ln w="19050">
                <a:solidFill>
                  <a:schemeClr val="lt1"/>
                </a:solidFill>
              </a:ln>
              <a:effectLst/>
            </c:spPr>
            <c:extLst>
              <c:ext xmlns:c16="http://schemas.microsoft.com/office/drawing/2014/chart" uri="{C3380CC4-5D6E-409C-BE32-E72D297353CC}">
                <c16:uniqueId val="{00000012-96E4-425D-A106-D5CAAB0BDD7E}"/>
              </c:ext>
            </c:extLst>
          </c:dPt>
          <c:val>
            <c:numRef>
              <c:f>'Tablero Dic25-Ene26'!$F$115:$F$117</c:f>
              <c:numCache>
                <c:formatCode>General</c:formatCode>
                <c:ptCount val="3"/>
                <c:pt idx="0">
                  <c:v>49.5</c:v>
                </c:pt>
                <c:pt idx="1">
                  <c:v>3</c:v>
                </c:pt>
                <c:pt idx="2">
                  <c:v>147.5</c:v>
                </c:pt>
              </c:numCache>
            </c:numRef>
          </c:val>
          <c:extLst>
            <c:ext xmlns:c16="http://schemas.microsoft.com/office/drawing/2014/chart" uri="{C3380CC4-5D6E-409C-BE32-E72D297353CC}">
              <c16:uniqueId val="{00000013-96E4-425D-A106-D5CAAB0BDD7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Dic25-Ene26!TablaDinámica1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'Tablero Dic25-Ene26'!$AK$18</c:f>
              <c:strCache>
                <c:ptCount val="1"/>
                <c:pt idx="0">
                  <c:v>Suma de INCIDENCIA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'Tablero Dic25-Ene26'!$AJ$19:$AJ$35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Dic25-Ene26'!$AK$19:$AK$35</c:f>
              <c:numCache>
                <c:formatCode>0%</c:formatCode>
                <c:ptCount val="13"/>
                <c:pt idx="0">
                  <c:v>0.7</c:v>
                </c:pt>
                <c:pt idx="1">
                  <c:v>0.25</c:v>
                </c:pt>
                <c:pt idx="2">
                  <c:v>0.05</c:v>
                </c:pt>
                <c:pt idx="3">
                  <c:v>0.7</c:v>
                </c:pt>
                <c:pt idx="4">
                  <c:v>0.25</c:v>
                </c:pt>
                <c:pt idx="5">
                  <c:v>0.05</c:v>
                </c:pt>
                <c:pt idx="6">
                  <c:v>0.3</c:v>
                </c:pt>
                <c:pt idx="7">
                  <c:v>0.1</c:v>
                </c:pt>
                <c:pt idx="8">
                  <c:v>0.3</c:v>
                </c:pt>
                <c:pt idx="9">
                  <c:v>0.3</c:v>
                </c:pt>
                <c:pt idx="10">
                  <c:v>0.7</c:v>
                </c:pt>
                <c:pt idx="11">
                  <c:v>0.25</c:v>
                </c:pt>
                <c:pt idx="12">
                  <c:v>0.05</c:v>
                </c:pt>
              </c:numCache>
            </c:numRef>
          </c:val>
          <c:smooth val="0"/>
          <c:extLst>
            <c:ext xmlns:c16="http://schemas.microsoft.com/office/drawing/2014/chart" uri="{C3380CC4-5D6E-409C-BE32-E72D297353CC}">
              <c16:uniqueId val="{00000000-12E6-4B86-94D5-815E007E414A}"/>
            </c:ext>
          </c:extLst>
        </c:ser>
        <c:ser>
          <c:idx val="1"/>
          <c:order val="1"/>
          <c:tx>
            <c:strRef>
              <c:f>'Tablero Dic25-Ene26'!$AL$18</c:f>
              <c:strCache>
                <c:ptCount val="1"/>
                <c:pt idx="0">
                  <c:v>Suma de CALIFICACIÓN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'Tablero Dic25-Ene26'!$AJ$19:$AJ$35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Dic25-Ene26'!$AL$19:$AL$35</c:f>
              <c:numCache>
                <c:formatCode>0%</c:formatCode>
                <c:ptCount val="13"/>
                <c:pt idx="0">
                  <c:v>0.53</c:v>
                </c:pt>
                <c:pt idx="1">
                  <c:v>0</c:v>
                </c:pt>
                <c:pt idx="2">
                  <c:v>0.05</c:v>
                </c:pt>
                <c:pt idx="3">
                  <c:v>0.46</c:v>
                </c:pt>
                <c:pt idx="4">
                  <c:v>0</c:v>
                </c:pt>
                <c:pt idx="5">
                  <c:v>0.04</c:v>
                </c:pt>
                <c:pt idx="6">
                  <c:v>0.19</c:v>
                </c:pt>
                <c:pt idx="7">
                  <c:v>0.09</c:v>
                </c:pt>
                <c:pt idx="8">
                  <c:v>0.23</c:v>
                </c:pt>
                <c:pt idx="9">
                  <c:v>0.21</c:v>
                </c:pt>
                <c:pt idx="10">
                  <c:v>0.47</c:v>
                </c:pt>
                <c:pt idx="11">
                  <c:v>0</c:v>
                </c:pt>
                <c:pt idx="12">
                  <c:v>0.05</c:v>
                </c:pt>
              </c:numCache>
            </c:numRef>
          </c:val>
          <c:smooth val="0"/>
          <c:extLst>
            <c:ext xmlns:c16="http://schemas.microsoft.com/office/drawing/2014/chart" uri="{C3380CC4-5D6E-409C-BE32-E72D297353CC}">
              <c16:uniqueId val="{00000001-12E6-4B86-94D5-815E007E414A}"/>
            </c:ext>
          </c:extLst>
        </c:ser>
        <c:dLbls>
          <c:showLegendKey val="0"/>
          <c:showVal val="0"/>
          <c:showCatName val="0"/>
          <c:showSerName val="0"/>
          <c:showPercent val="0"/>
          <c:showBubbleSize val="0"/>
        </c:dLbls>
        <c:marker val="1"/>
        <c:smooth val="0"/>
        <c:axId val="523912880"/>
        <c:axId val="523911440"/>
      </c:lineChart>
      <c:catAx>
        <c:axId val="5239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1440"/>
        <c:crosses val="autoZero"/>
        <c:auto val="1"/>
        <c:lblAlgn val="ctr"/>
        <c:lblOffset val="100"/>
        <c:noMultiLvlLbl val="0"/>
      </c:catAx>
      <c:valAx>
        <c:axId val="52391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Dic25-Ene26!TablaDinámica2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'Tablero Dic25-Ene26'!$AQ$18</c:f>
              <c:strCache>
                <c:ptCount val="1"/>
                <c:pt idx="0">
                  <c:v>Suma de Agosto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Dic25-Ene26'!$AP$19:$AP$22</c:f>
              <c:strCache>
                <c:ptCount val="4"/>
                <c:pt idx="0">
                  <c:v>ASESORA COMERCIAL</c:v>
                </c:pt>
                <c:pt idx="1">
                  <c:v>ASESORA COMERCIAL ADMIN</c:v>
                </c:pt>
                <c:pt idx="2">
                  <c:v>DIRECTORA COMERCIAL</c:v>
                </c:pt>
                <c:pt idx="3">
                  <c:v>LIDER SALA DE VENTAS</c:v>
                </c:pt>
              </c:strCache>
            </c:strRef>
          </c:cat>
          <c:val>
            <c:numRef>
              <c:f>'Tablero Dic25-Ene26'!$AQ$19:$AQ$22</c:f>
              <c:numCache>
                <c:formatCode>General</c:formatCode>
                <c:ptCount val="4"/>
                <c:pt idx="2">
                  <c:v>69</c:v>
                </c:pt>
              </c:numCache>
            </c:numRef>
          </c:val>
          <c:extLst>
            <c:ext xmlns:c16="http://schemas.microsoft.com/office/drawing/2014/chart" uri="{C3380CC4-5D6E-409C-BE32-E72D297353CC}">
              <c16:uniqueId val="{00000000-615D-4F37-948F-E13F6D2B7F2E}"/>
            </c:ext>
          </c:extLst>
        </c:ser>
        <c:ser>
          <c:idx val="1"/>
          <c:order val="1"/>
          <c:tx>
            <c:strRef>
              <c:f>'Tablero Dic25-Ene26'!$AR$18</c:f>
              <c:strCache>
                <c:ptCount val="1"/>
                <c:pt idx="0">
                  <c:v>Suma de Septiembre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Dic25-Ene26'!$AP$19:$AP$22</c:f>
              <c:strCache>
                <c:ptCount val="4"/>
                <c:pt idx="0">
                  <c:v>ASESORA COMERCIAL</c:v>
                </c:pt>
                <c:pt idx="1">
                  <c:v>ASESORA COMERCIAL ADMIN</c:v>
                </c:pt>
                <c:pt idx="2">
                  <c:v>DIRECTORA COMERCIAL</c:v>
                </c:pt>
                <c:pt idx="3">
                  <c:v>LIDER SALA DE VENTAS</c:v>
                </c:pt>
              </c:strCache>
            </c:strRef>
          </c:cat>
          <c:val>
            <c:numRef>
              <c:f>'Tablero Dic25-Ene26'!$AR$19:$AR$22</c:f>
              <c:numCache>
                <c:formatCode>General</c:formatCode>
                <c:ptCount val="4"/>
                <c:pt idx="2">
                  <c:v>74</c:v>
                </c:pt>
              </c:numCache>
            </c:numRef>
          </c:val>
          <c:extLst>
            <c:ext xmlns:c16="http://schemas.microsoft.com/office/drawing/2014/chart" uri="{C3380CC4-5D6E-409C-BE32-E72D297353CC}">
              <c16:uniqueId val="{00000001-615D-4F37-948F-E13F6D2B7F2E}"/>
            </c:ext>
          </c:extLst>
        </c:ser>
        <c:ser>
          <c:idx val="2"/>
          <c:order val="2"/>
          <c:tx>
            <c:strRef>
              <c:f>'Tablero Dic25-Ene26'!$AS$18</c:f>
              <c:strCache>
                <c:ptCount val="1"/>
                <c:pt idx="0">
                  <c:v>Suma de Octubre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Dic25-Ene26'!$AP$19:$AP$22</c:f>
              <c:strCache>
                <c:ptCount val="4"/>
                <c:pt idx="0">
                  <c:v>ASESORA COMERCIAL</c:v>
                </c:pt>
                <c:pt idx="1">
                  <c:v>ASESORA COMERCIAL ADMIN</c:v>
                </c:pt>
                <c:pt idx="2">
                  <c:v>DIRECTORA COMERCIAL</c:v>
                </c:pt>
                <c:pt idx="3">
                  <c:v>LIDER SALA DE VENTAS</c:v>
                </c:pt>
              </c:strCache>
            </c:strRef>
          </c:cat>
          <c:val>
            <c:numRef>
              <c:f>'Tablero Dic25-Ene26'!$AS$19:$AS$22</c:f>
              <c:numCache>
                <c:formatCode>0</c:formatCode>
                <c:ptCount val="4"/>
                <c:pt idx="0">
                  <c:v>74</c:v>
                </c:pt>
                <c:pt idx="1">
                  <c:v>57</c:v>
                </c:pt>
                <c:pt idx="2">
                  <c:v>80</c:v>
                </c:pt>
                <c:pt idx="3">
                  <c:v>68</c:v>
                </c:pt>
              </c:numCache>
            </c:numRef>
          </c:val>
          <c:extLst>
            <c:ext xmlns:c16="http://schemas.microsoft.com/office/drawing/2014/chart" uri="{C3380CC4-5D6E-409C-BE32-E72D297353CC}">
              <c16:uniqueId val="{00000002-615D-4F37-948F-E13F6D2B7F2E}"/>
            </c:ext>
          </c:extLst>
        </c:ser>
        <c:ser>
          <c:idx val="3"/>
          <c:order val="3"/>
          <c:tx>
            <c:strRef>
              <c:f>'Tablero Dic25-Ene26'!$AT$18</c:f>
              <c:strCache>
                <c:ptCount val="1"/>
                <c:pt idx="0">
                  <c:v>Suma de Noviembre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Dic25-Ene26'!$AP$19:$AP$22</c:f>
              <c:strCache>
                <c:ptCount val="4"/>
                <c:pt idx="0">
                  <c:v>ASESORA COMERCIAL</c:v>
                </c:pt>
                <c:pt idx="1">
                  <c:v>ASESORA COMERCIAL ADMIN</c:v>
                </c:pt>
                <c:pt idx="2">
                  <c:v>DIRECTORA COMERCIAL</c:v>
                </c:pt>
                <c:pt idx="3">
                  <c:v>LIDER SALA DE VENTAS</c:v>
                </c:pt>
              </c:strCache>
            </c:strRef>
          </c:cat>
          <c:val>
            <c:numRef>
              <c:f>'Tablero Dic25-Ene26'!$AT$19:$AT$22</c:f>
              <c:numCache>
                <c:formatCode>General</c:formatCode>
                <c:ptCount val="4"/>
                <c:pt idx="0">
                  <c:v>69</c:v>
                </c:pt>
                <c:pt idx="1">
                  <c:v>88</c:v>
                </c:pt>
                <c:pt idx="2">
                  <c:v>82</c:v>
                </c:pt>
                <c:pt idx="3">
                  <c:v>76</c:v>
                </c:pt>
              </c:numCache>
            </c:numRef>
          </c:val>
          <c:extLst>
            <c:ext xmlns:c16="http://schemas.microsoft.com/office/drawing/2014/chart" uri="{C3380CC4-5D6E-409C-BE32-E72D297353CC}">
              <c16:uniqueId val="{00000003-615D-4F37-948F-E13F6D2B7F2E}"/>
            </c:ext>
          </c:extLst>
        </c:ser>
        <c:ser>
          <c:idx val="4"/>
          <c:order val="4"/>
          <c:tx>
            <c:strRef>
              <c:f>'Tablero Dic25-Ene26'!$AU$18</c:f>
              <c:strCache>
                <c:ptCount val="1"/>
                <c:pt idx="0">
                  <c:v>Suma de Diciembre-Enero</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Dic25-Ene26'!$AP$19:$AP$22</c:f>
              <c:strCache>
                <c:ptCount val="4"/>
                <c:pt idx="0">
                  <c:v>ASESORA COMERCIAL</c:v>
                </c:pt>
                <c:pt idx="1">
                  <c:v>ASESORA COMERCIAL ADMIN</c:v>
                </c:pt>
                <c:pt idx="2">
                  <c:v>DIRECTORA COMERCIAL</c:v>
                </c:pt>
                <c:pt idx="3">
                  <c:v>LIDER SALA DE VENTAS</c:v>
                </c:pt>
              </c:strCache>
            </c:strRef>
          </c:cat>
          <c:val>
            <c:numRef>
              <c:f>'Tablero Dic25-Ene26'!$AU$19:$AU$22</c:f>
              <c:numCache>
                <c:formatCode>General</c:formatCode>
                <c:ptCount val="4"/>
                <c:pt idx="0">
                  <c:v>58</c:v>
                </c:pt>
                <c:pt idx="1">
                  <c:v>51</c:v>
                </c:pt>
                <c:pt idx="2">
                  <c:v>72</c:v>
                </c:pt>
                <c:pt idx="3">
                  <c:v>52</c:v>
                </c:pt>
              </c:numCache>
            </c:numRef>
          </c:val>
          <c:extLst>
            <c:ext xmlns:c16="http://schemas.microsoft.com/office/drawing/2014/chart" uri="{C3380CC4-5D6E-409C-BE32-E72D297353CC}">
              <c16:uniqueId val="{00000004-615D-4F37-948F-E13F6D2B7F2E}"/>
            </c:ext>
          </c:extLst>
        </c:ser>
        <c:dLbls>
          <c:showLegendKey val="0"/>
          <c:showVal val="1"/>
          <c:showCatName val="0"/>
          <c:showSerName val="0"/>
          <c:showPercent val="0"/>
          <c:showBubbleSize val="0"/>
        </c:dLbls>
        <c:gapWidth val="150"/>
        <c:shape val="box"/>
        <c:axId val="276415696"/>
        <c:axId val="276418096"/>
        <c:axId val="0"/>
      </c:bar3DChart>
      <c:catAx>
        <c:axId val="27641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8096"/>
        <c:crosses val="autoZero"/>
        <c:auto val="1"/>
        <c:lblAlgn val="ctr"/>
        <c:lblOffset val="100"/>
        <c:noMultiLvlLbl val="0"/>
      </c:catAx>
      <c:valAx>
        <c:axId val="27641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EA2-4D50-B092-D098597010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A2-4D50-B092-D0985970105C}"/>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BEA2-4D50-B092-D0985970105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BEA2-4D50-B092-D0985970105C}"/>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BEA2-4D50-B092-D0985970105C}"/>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BEA2-4D50-B092-D0985970105C}"/>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BEA2-4D50-B092-D0985970105C}"/>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BEA2-4D50-B092-D0985970105C}"/>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BEA2-4D50-B092-D0985970105C}"/>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BEA2-4D50-B092-D0985970105C}"/>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BEA2-4D50-B092-D0985970105C}"/>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BEA2-4D50-B092-D0985970105C}"/>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BEA2-4D50-B092-D0985970105C}"/>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BEA2-4D50-B092-D0985970105C}"/>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BEA2-4D50-B092-D0985970105C}"/>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BEA2-4D50-B092-D0985970105C}"/>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BEA2-4D50-B092-D0985970105C}"/>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BEA2-4D50-B092-D0985970105C}"/>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BEA2-4D50-B092-D0985970105C}"/>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BEA2-4D50-B092-D0985970105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EA2-4D50-B092-D0985970105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Feb26'!$A$88</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EA2-4D50-B092-D0985970105C}"/>
              </c:ext>
            </c:extLst>
          </c:dPt>
          <c:dPt>
            <c:idx val="1"/>
            <c:bubble3D val="0"/>
            <c:spPr>
              <a:noFill/>
              <a:ln w="19050">
                <a:solidFill>
                  <a:schemeClr val="lt1"/>
                </a:solidFill>
              </a:ln>
              <a:effectLst/>
            </c:spPr>
            <c:extLst>
              <c:ext xmlns:c16="http://schemas.microsoft.com/office/drawing/2014/chart" uri="{C3380CC4-5D6E-409C-BE32-E72D297353CC}">
                <c16:uniqueId val="{0000002C-BEA2-4D50-B092-D0985970105C}"/>
              </c:ext>
            </c:extLst>
          </c:dPt>
          <c:val>
            <c:numRef>
              <c:f>'Tablero Feb26'!$B$88:$C$88</c:f>
              <c:numCache>
                <c:formatCode>0%</c:formatCode>
                <c:ptCount val="2"/>
              </c:numCache>
            </c:numRef>
          </c:val>
          <c:extLst>
            <c:ext xmlns:c16="http://schemas.microsoft.com/office/drawing/2014/chart" uri="{C3380CC4-5D6E-409C-BE32-E72D297353CC}">
              <c16:uniqueId val="{0000002D-BEA2-4D50-B092-D0985970105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DF6-426F-96AF-A2BF1017EC1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DF6-426F-96AF-A2BF1017EC1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DF6-426F-96AF-A2BF1017EC1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DF6-426F-96AF-A2BF1017EC1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DF6-426F-96AF-A2BF1017EC1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DF6-426F-96AF-A2BF1017EC1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DF6-426F-96AF-A2BF1017EC1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DF6-426F-96AF-A2BF1017EC1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DF6-426F-96AF-A2BF1017EC1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DF6-426F-96AF-A2BF1017EC1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DF6-426F-96AF-A2BF1017EC1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DF6-426F-96AF-A2BF1017EC1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DF6-426F-96AF-A2BF1017EC1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DF6-426F-96AF-A2BF1017EC1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DF6-426F-96AF-A2BF1017EC1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DF6-426F-96AF-A2BF1017EC1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DF6-426F-96AF-A2BF1017EC1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DF6-426F-96AF-A2BF1017EC1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DF6-426F-96AF-A2BF1017EC1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DF6-426F-96AF-A2BF1017EC1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DF6-426F-96AF-A2BF1017EC1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DF6-426F-96AF-A2BF1017EC1B}"/>
              </c:ext>
            </c:extLst>
          </c:dPt>
          <c:dPt>
            <c:idx val="1"/>
            <c:bubble3D val="0"/>
            <c:spPr>
              <a:noFill/>
              <a:ln w="19050">
                <a:solidFill>
                  <a:schemeClr val="lt1"/>
                </a:solidFill>
              </a:ln>
              <a:effectLst/>
            </c:spPr>
            <c:extLst>
              <c:ext xmlns:c16="http://schemas.microsoft.com/office/drawing/2014/chart" uri="{C3380CC4-5D6E-409C-BE32-E72D297353CC}">
                <c16:uniqueId val="{0000002C-EDF6-426F-96AF-A2BF1017EC1B}"/>
              </c:ext>
            </c:extLst>
          </c:dPt>
          <c:val>
            <c:numRef>
              <c:f>'Tablero Feb26'!$B$82:$C$82</c:f>
              <c:numCache>
                <c:formatCode>0%</c:formatCode>
                <c:ptCount val="2"/>
              </c:numCache>
            </c:numRef>
          </c:val>
          <c:extLst>
            <c:ext xmlns:c16="http://schemas.microsoft.com/office/drawing/2014/chart" uri="{C3380CC4-5D6E-409C-BE32-E72D297353CC}">
              <c16:uniqueId val="{0000002D-EDF6-426F-96AF-A2BF1017EC1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45F-4915-AB34-D717D747E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5F-4915-AB34-D717D747E31C}"/>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45F-4915-AB34-D717D747E31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45F-4915-AB34-D717D747E31C}"/>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45F-4915-AB34-D717D747E31C}"/>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545F-4915-AB34-D717D747E31C}"/>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545F-4915-AB34-D717D747E31C}"/>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545F-4915-AB34-D717D747E31C}"/>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545F-4915-AB34-D717D747E31C}"/>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545F-4915-AB34-D717D747E31C}"/>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545F-4915-AB34-D717D747E31C}"/>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545F-4915-AB34-D717D747E31C}"/>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545F-4915-AB34-D717D747E31C}"/>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545F-4915-AB34-D717D747E31C}"/>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545F-4915-AB34-D717D747E31C}"/>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545F-4915-AB34-D717D747E31C}"/>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545F-4915-AB34-D717D747E31C}"/>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545F-4915-AB34-D717D747E31C}"/>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545F-4915-AB34-D717D747E31C}"/>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545F-4915-AB34-D717D747E31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45F-4915-AB34-D717D747E31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Feb26'!$A$116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45F-4915-AB34-D717D747E31C}"/>
              </c:ext>
            </c:extLst>
          </c:dPt>
          <c:dPt>
            <c:idx val="1"/>
            <c:bubble3D val="0"/>
            <c:spPr>
              <a:noFill/>
              <a:ln w="19050">
                <a:solidFill>
                  <a:schemeClr val="lt1"/>
                </a:solidFill>
              </a:ln>
              <a:effectLst/>
            </c:spPr>
            <c:extLst>
              <c:ext xmlns:c16="http://schemas.microsoft.com/office/drawing/2014/chart" uri="{C3380CC4-5D6E-409C-BE32-E72D297353CC}">
                <c16:uniqueId val="{0000002C-545F-4915-AB34-D717D747E31C}"/>
              </c:ext>
            </c:extLst>
          </c:dPt>
          <c:val>
            <c:numRef>
              <c:f>'Tablero Feb26'!$B$116:$C$116</c:f>
              <c:numCache>
                <c:formatCode>0%</c:formatCode>
                <c:ptCount val="2"/>
              </c:numCache>
            </c:numRef>
          </c:val>
          <c:extLst>
            <c:ext xmlns:c16="http://schemas.microsoft.com/office/drawing/2014/chart" uri="{C3380CC4-5D6E-409C-BE32-E72D297353CC}">
              <c16:uniqueId val="{0000002D-545F-4915-AB34-D717D747E31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50F-4281-9CEF-C8EF7FF5BC5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50F-4281-9CEF-C8EF7FF5BC54}"/>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50F-4281-9CEF-C8EF7FF5BC54}"/>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50F-4281-9CEF-C8EF7FF5BC54}"/>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50F-4281-9CEF-C8EF7FF5BC54}"/>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50F-4281-9CEF-C8EF7FF5BC54}"/>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50F-4281-9CEF-C8EF7FF5BC54}"/>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50F-4281-9CEF-C8EF7FF5BC54}"/>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50F-4281-9CEF-C8EF7FF5BC54}"/>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50F-4281-9CEF-C8EF7FF5BC54}"/>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50F-4281-9CEF-C8EF7FF5BC54}"/>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50F-4281-9CEF-C8EF7FF5BC54}"/>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50F-4281-9CEF-C8EF7FF5BC54}"/>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50F-4281-9CEF-C8EF7FF5BC54}"/>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50F-4281-9CEF-C8EF7FF5BC54}"/>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50F-4281-9CEF-C8EF7FF5BC54}"/>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50F-4281-9CEF-C8EF7FF5BC54}"/>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50F-4281-9CEF-C8EF7FF5BC54}"/>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50F-4281-9CEF-C8EF7FF5BC54}"/>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50F-4281-9CEF-C8EF7FF5BC5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50F-4281-9CEF-C8EF7FF5BC5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Feb26'!$A$110</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50F-4281-9CEF-C8EF7FF5BC54}"/>
              </c:ext>
            </c:extLst>
          </c:dPt>
          <c:dPt>
            <c:idx val="1"/>
            <c:bubble3D val="0"/>
            <c:spPr>
              <a:noFill/>
              <a:ln w="19050">
                <a:solidFill>
                  <a:schemeClr val="lt1"/>
                </a:solidFill>
              </a:ln>
              <a:effectLst/>
            </c:spPr>
            <c:extLst>
              <c:ext xmlns:c16="http://schemas.microsoft.com/office/drawing/2014/chart" uri="{C3380CC4-5D6E-409C-BE32-E72D297353CC}">
                <c16:uniqueId val="{0000002C-850F-4281-9CEF-C8EF7FF5BC54}"/>
              </c:ext>
            </c:extLst>
          </c:dPt>
          <c:val>
            <c:numRef>
              <c:f>'Tablero Feb26'!$B$110:$C$110</c:f>
              <c:numCache>
                <c:formatCode>0%</c:formatCode>
                <c:ptCount val="2"/>
              </c:numCache>
            </c:numRef>
          </c:val>
          <c:extLst>
            <c:ext xmlns:c16="http://schemas.microsoft.com/office/drawing/2014/chart" uri="{C3380CC4-5D6E-409C-BE32-E72D297353CC}">
              <c16:uniqueId val="{0000002D-850F-4281-9CEF-C8EF7FF5BC5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74C-4578-B4DD-A66C4425DF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C-4578-B4DD-A66C4425DF0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B74C-4578-B4DD-A66C4425DF0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B74C-4578-B4DD-A66C4425DF0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B74C-4578-B4DD-A66C4425DF0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B74C-4578-B4DD-A66C4425DF0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B74C-4578-B4DD-A66C4425DF0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B74C-4578-B4DD-A66C4425DF0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B74C-4578-B4DD-A66C4425DF0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B74C-4578-B4DD-A66C4425DF0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B74C-4578-B4DD-A66C4425DF0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B74C-4578-B4DD-A66C4425DF0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B74C-4578-B4DD-A66C4425DF0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B74C-4578-B4DD-A66C4425DF0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B74C-4578-B4DD-A66C4425DF0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B74C-4578-B4DD-A66C4425DF0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B74C-4578-B4DD-A66C4425DF0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B74C-4578-B4DD-A66C4425DF0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B74C-4578-B4DD-A66C4425DF0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B74C-4578-B4DD-A66C4425DF0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74C-4578-B4DD-A66C4425DF0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Feb26'!$A$114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74C-4578-B4DD-A66C4425DF06}"/>
              </c:ext>
            </c:extLst>
          </c:dPt>
          <c:dPt>
            <c:idx val="1"/>
            <c:bubble3D val="0"/>
            <c:spPr>
              <a:noFill/>
              <a:ln w="19050">
                <a:solidFill>
                  <a:schemeClr val="lt1"/>
                </a:solidFill>
              </a:ln>
              <a:effectLst/>
            </c:spPr>
            <c:extLst>
              <c:ext xmlns:c16="http://schemas.microsoft.com/office/drawing/2014/chart" uri="{C3380CC4-5D6E-409C-BE32-E72D297353CC}">
                <c16:uniqueId val="{0000002C-B74C-4578-B4DD-A66C4425DF06}"/>
              </c:ext>
            </c:extLst>
          </c:dPt>
          <c:val>
            <c:numRef>
              <c:f>'Tablero Feb26'!$B$114:$C$114</c:f>
              <c:numCache>
                <c:formatCode>0%</c:formatCode>
                <c:ptCount val="2"/>
                <c:pt idx="0">
                  <c:v>0.88</c:v>
                </c:pt>
                <c:pt idx="1">
                  <c:v>0.12</c:v>
                </c:pt>
              </c:numCache>
            </c:numRef>
          </c:val>
          <c:extLst>
            <c:ext xmlns:c16="http://schemas.microsoft.com/office/drawing/2014/chart" uri="{C3380CC4-5D6E-409C-BE32-E72D297353CC}">
              <c16:uniqueId val="{0000002D-B74C-4578-B4DD-A66C4425DF0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1AA-4FE9-BCF5-15DCF39FBB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A-4FE9-BCF5-15DCF39FBB3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1AA-4FE9-BCF5-15DCF39FBB3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1AA-4FE9-BCF5-15DCF39FBB3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1AA-4FE9-BCF5-15DCF39FBB3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1AA-4FE9-BCF5-15DCF39FBB3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1AA-4FE9-BCF5-15DCF39FBB3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1AA-4FE9-BCF5-15DCF39FBB3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1AA-4FE9-BCF5-15DCF39FBB3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1AA-4FE9-BCF5-15DCF39FBB3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1AA-4FE9-BCF5-15DCF39FBB3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1AA-4FE9-BCF5-15DCF39FBB3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1AA-4FE9-BCF5-15DCF39FBB3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1AA-4FE9-BCF5-15DCF39FBB3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1AA-4FE9-BCF5-15DCF39FBB3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1AA-4FE9-BCF5-15DCF39FBB3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1AA-4FE9-BCF5-15DCF39FBB3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1AA-4FE9-BCF5-15DCF39FBB3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1AA-4FE9-BCF5-15DCF39FBB3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1AA-4FE9-BCF5-15DCF39FBB3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1AA-4FE9-BCF5-15DCF39FBB3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1AA-4FE9-BCF5-15DCF39FBB36}"/>
              </c:ext>
            </c:extLst>
          </c:dPt>
          <c:dPt>
            <c:idx val="1"/>
            <c:bubble3D val="0"/>
            <c:spPr>
              <a:noFill/>
              <a:ln w="19050">
                <a:solidFill>
                  <a:schemeClr val="lt1"/>
                </a:solidFill>
              </a:ln>
              <a:effectLst/>
            </c:spPr>
            <c:extLst>
              <c:ext xmlns:c16="http://schemas.microsoft.com/office/drawing/2014/chart" uri="{C3380CC4-5D6E-409C-BE32-E72D297353CC}">
                <c16:uniqueId val="{0000002C-D1AA-4FE9-BCF5-15DCF39FBB36}"/>
              </c:ext>
            </c:extLst>
          </c:dPt>
          <c:val>
            <c:numRef>
              <c:f>'Tablero Feb26'!$B$102:$C$102</c:f>
              <c:numCache>
                <c:formatCode>0%</c:formatCode>
                <c:ptCount val="2"/>
                <c:pt idx="0">
                  <c:v>0</c:v>
                </c:pt>
                <c:pt idx="1">
                  <c:v>0</c:v>
                </c:pt>
              </c:numCache>
            </c:numRef>
          </c:val>
          <c:extLst>
            <c:ext xmlns:c16="http://schemas.microsoft.com/office/drawing/2014/chart" uri="{C3380CC4-5D6E-409C-BE32-E72D297353CC}">
              <c16:uniqueId val="{0000002D-D1AA-4FE9-BCF5-15DCF39FBB3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75C-46CB-AE00-A3DFD93CF46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75C-46CB-AE00-A3DFD93CF464}"/>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75C-46CB-AE00-A3DFD93CF464}"/>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975C-46CB-AE00-A3DFD93CF464}"/>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975C-46CB-AE00-A3DFD93CF464}"/>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975C-46CB-AE00-A3DFD93CF464}"/>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975C-46CB-AE00-A3DFD93CF464}"/>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975C-46CB-AE00-A3DFD93CF464}"/>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975C-46CB-AE00-A3DFD93CF464}"/>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975C-46CB-AE00-A3DFD93CF464}"/>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975C-46CB-AE00-A3DFD93CF464}"/>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975C-46CB-AE00-A3DFD93CF464}"/>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975C-46CB-AE00-A3DFD93CF464}"/>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975C-46CB-AE00-A3DFD93CF464}"/>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975C-46CB-AE00-A3DFD93CF464}"/>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975C-46CB-AE00-A3DFD93CF464}"/>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975C-46CB-AE00-A3DFD93CF464}"/>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975C-46CB-AE00-A3DFD93CF464}"/>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975C-46CB-AE00-A3DFD93CF464}"/>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975C-46CB-AE00-A3DFD93CF46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75C-46CB-AE00-A3DFD93CF46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Feb26'!$A$96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975C-46CB-AE00-A3DFD93CF464}"/>
              </c:ext>
            </c:extLst>
          </c:dPt>
          <c:dPt>
            <c:idx val="1"/>
            <c:bubble3D val="0"/>
            <c:spPr>
              <a:noFill/>
              <a:ln w="19050">
                <a:solidFill>
                  <a:schemeClr val="lt1"/>
                </a:solidFill>
              </a:ln>
              <a:effectLst/>
            </c:spPr>
            <c:extLst>
              <c:ext xmlns:c16="http://schemas.microsoft.com/office/drawing/2014/chart" uri="{C3380CC4-5D6E-409C-BE32-E72D297353CC}">
                <c16:uniqueId val="{0000002C-975C-46CB-AE00-A3DFD93CF464}"/>
              </c:ext>
            </c:extLst>
          </c:dPt>
          <c:val>
            <c:numRef>
              <c:f>'Tablero Feb26'!$B$96:$C$96</c:f>
              <c:numCache>
                <c:formatCode>0%</c:formatCode>
                <c:ptCount val="2"/>
              </c:numCache>
            </c:numRef>
          </c:val>
          <c:extLst>
            <c:ext xmlns:c16="http://schemas.microsoft.com/office/drawing/2014/chart" uri="{C3380CC4-5D6E-409C-BE32-E72D297353CC}">
              <c16:uniqueId val="{0000002D-975C-46CB-AE00-A3DFD93CF46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3F7B-4435-857D-5B2DE4B34E3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3F7B-4435-857D-5B2DE4B34E3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3F7B-4435-857D-5B2DE4B34E3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3F7B-4435-857D-5B2DE4B34E3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3F7B-4435-857D-5B2DE4B34E3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3F7B-4435-857D-5B2DE4B34E3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3F7B-4435-857D-5B2DE4B34E3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3F7B-4435-857D-5B2DE4B34E3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3F7B-4435-857D-5B2DE4B34E3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3F7B-4435-857D-5B2DE4B34E3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3F7B-4435-857D-5B2DE4B34E3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3F7B-4435-857D-5B2DE4B34E3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3F7B-4435-857D-5B2DE4B34E3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3F7B-4435-857D-5B2DE4B34E3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3F7B-4435-857D-5B2DE4B34E3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3F7B-4435-857D-5B2DE4B34E3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3F7B-4435-857D-5B2DE4B34E3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3F7B-4435-857D-5B2DE4B34E3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3F7B-4435-857D-5B2DE4B34E3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3F7B-4435-857D-5B2DE4B34E3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F7B-4435-857D-5B2DE4B34E3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Feb26'!$A$65</c:f>
              <c:strCache>
                <c:ptCount val="1"/>
                <c:pt idx="0">
                  <c:v>Estrategia y Planificación Comercial</c:v>
                </c:pt>
              </c:strCache>
            </c:strRef>
          </c:tx>
          <c:dPt>
            <c:idx val="0"/>
            <c:bubble3D val="0"/>
            <c:spPr>
              <a:solidFill>
                <a:schemeClr val="bg1">
                  <a:alpha val="58000"/>
                </a:schemeClr>
              </a:solidFill>
              <a:ln w="19050">
                <a:solidFill>
                  <a:schemeClr val="lt1"/>
                </a:solidFill>
              </a:ln>
              <a:effectLst/>
            </c:spPr>
            <c:extLst>
              <c:ext xmlns:c16="http://schemas.microsoft.com/office/drawing/2014/chart" uri="{C3380CC4-5D6E-409C-BE32-E72D297353CC}">
                <c16:uniqueId val="{0000002A-3F7B-4435-857D-5B2DE4B34E32}"/>
              </c:ext>
            </c:extLst>
          </c:dPt>
          <c:dPt>
            <c:idx val="1"/>
            <c:bubble3D val="0"/>
            <c:spPr>
              <a:noFill/>
              <a:ln w="19050">
                <a:solidFill>
                  <a:schemeClr val="lt1"/>
                </a:solidFill>
              </a:ln>
              <a:effectLst/>
            </c:spPr>
            <c:extLst>
              <c:ext xmlns:c16="http://schemas.microsoft.com/office/drawing/2014/chart" uri="{C3380CC4-5D6E-409C-BE32-E72D297353CC}">
                <c16:uniqueId val="{0000002C-3F7B-4435-857D-5B2DE4B34E32}"/>
              </c:ext>
            </c:extLst>
          </c:dPt>
          <c:val>
            <c:numRef>
              <c:f>'Tablero Feb26'!$B$65:$C$65</c:f>
              <c:numCache>
                <c:formatCode>0%</c:formatCode>
                <c:ptCount val="2"/>
                <c:pt idx="0">
                  <c:v>0.3</c:v>
                </c:pt>
                <c:pt idx="1">
                  <c:v>0.7</c:v>
                </c:pt>
              </c:numCache>
            </c:numRef>
          </c:val>
          <c:extLst>
            <c:ext xmlns:c16="http://schemas.microsoft.com/office/drawing/2014/chart" uri="{C3380CC4-5D6E-409C-BE32-E72D297353CC}">
              <c16:uniqueId val="{0000002D-3F7B-4435-857D-5B2DE4B34E3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916-4936-94CD-881F99B8AB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16-4936-94CD-881F99B8AB9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916-4936-94CD-881F99B8AB9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916-4936-94CD-881F99B8AB9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916-4936-94CD-881F99B8AB9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F916-4936-94CD-881F99B8AB9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F916-4936-94CD-881F99B8AB9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F916-4936-94CD-881F99B8AB9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F916-4936-94CD-881F99B8AB9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F916-4936-94CD-881F99B8AB9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F916-4936-94CD-881F99B8AB9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F916-4936-94CD-881F99B8AB9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916-4936-94CD-881F99B8AB9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F916-4936-94CD-881F99B8AB9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F916-4936-94CD-881F99B8AB9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F916-4936-94CD-881F99B8AB9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F916-4936-94CD-881F99B8AB9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F916-4936-94CD-881F99B8AB9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F916-4936-94CD-881F99B8AB9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F916-4936-94CD-881F99B8AB9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916-4936-94CD-881F99B8AB9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Feb26'!$A$71</c:f>
              <c:strCache>
                <c:ptCount val="1"/>
                <c:pt idx="0">
                  <c:v>Estrategia y Planificación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916-4936-94CD-881F99B8AB92}"/>
              </c:ext>
            </c:extLst>
          </c:dPt>
          <c:dPt>
            <c:idx val="1"/>
            <c:bubble3D val="0"/>
            <c:spPr>
              <a:noFill/>
              <a:ln w="19050">
                <a:solidFill>
                  <a:schemeClr val="lt1"/>
                </a:solidFill>
              </a:ln>
              <a:effectLst/>
            </c:spPr>
            <c:extLst>
              <c:ext xmlns:c16="http://schemas.microsoft.com/office/drawing/2014/chart" uri="{C3380CC4-5D6E-409C-BE32-E72D297353CC}">
                <c16:uniqueId val="{0000002C-F916-4936-94CD-881F99B8AB92}"/>
              </c:ext>
            </c:extLst>
          </c:dPt>
          <c:val>
            <c:numRef>
              <c:f>'Tablero Feb26'!$B$71:$C$71</c:f>
              <c:numCache>
                <c:formatCode>0%</c:formatCode>
                <c:ptCount val="2"/>
                <c:pt idx="0">
                  <c:v>0.71</c:v>
                </c:pt>
                <c:pt idx="1">
                  <c:v>0.28999999999999998</c:v>
                </c:pt>
              </c:numCache>
            </c:numRef>
          </c:val>
          <c:extLst>
            <c:ext xmlns:c16="http://schemas.microsoft.com/office/drawing/2014/chart" uri="{C3380CC4-5D6E-409C-BE32-E72D297353CC}">
              <c16:uniqueId val="{0000002D-F916-4936-94CD-881F99B8AB9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79A-4519-B354-E527EBED1F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9A-4519-B354-E527EBED1F5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479A-4519-B354-E527EBED1F5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479A-4519-B354-E527EBED1F5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479A-4519-B354-E527EBED1F5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479A-4519-B354-E527EBED1F5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479A-4519-B354-E527EBED1F5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479A-4519-B354-E527EBED1F5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479A-4519-B354-E527EBED1F5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479A-4519-B354-E527EBED1F5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479A-4519-B354-E527EBED1F5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479A-4519-B354-E527EBED1F5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479A-4519-B354-E527EBED1F5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479A-4519-B354-E527EBED1F5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479A-4519-B354-E527EBED1F5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479A-4519-B354-E527EBED1F5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479A-4519-B354-E527EBED1F5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479A-4519-B354-E527EBED1F5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479A-4519-B354-E527EBED1F5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479A-4519-B354-E527EBED1F5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79A-4519-B354-E527EBED1F5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Feb26'!$A$72</c:f>
              <c:strCache>
                <c:ptCount val="1"/>
                <c:pt idx="0">
                  <c:v>Liderazgo y Gestión del Equipo Comercial</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79A-4519-B354-E527EBED1F56}"/>
              </c:ext>
            </c:extLst>
          </c:dPt>
          <c:dPt>
            <c:idx val="1"/>
            <c:bubble3D val="0"/>
            <c:spPr>
              <a:noFill/>
              <a:ln w="19050">
                <a:solidFill>
                  <a:schemeClr val="lt1"/>
                </a:solidFill>
              </a:ln>
              <a:effectLst/>
            </c:spPr>
            <c:extLst>
              <c:ext xmlns:c16="http://schemas.microsoft.com/office/drawing/2014/chart" uri="{C3380CC4-5D6E-409C-BE32-E72D297353CC}">
                <c16:uniqueId val="{0000002C-479A-4519-B354-E527EBED1F56}"/>
              </c:ext>
            </c:extLst>
          </c:dPt>
          <c:val>
            <c:numRef>
              <c:f>'Tablero Feb26'!$B$72:$C$72</c:f>
              <c:numCache>
                <c:formatCode>0%</c:formatCode>
                <c:ptCount val="2"/>
                <c:pt idx="0">
                  <c:v>0.62</c:v>
                </c:pt>
                <c:pt idx="1">
                  <c:v>0.38</c:v>
                </c:pt>
              </c:numCache>
            </c:numRef>
          </c:val>
          <c:extLst>
            <c:ext xmlns:c16="http://schemas.microsoft.com/office/drawing/2014/chart" uri="{C3380CC4-5D6E-409C-BE32-E72D297353CC}">
              <c16:uniqueId val="{0000002D-479A-4519-B354-E527EBED1F5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DCC-41D7-B17B-D38020BC108A}"/>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DCC-41D7-B17B-D38020BC108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DCC-41D7-B17B-D38020BC108A}"/>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DCC-41D7-B17B-D38020BC108A}"/>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DCC-41D7-B17B-D38020BC108A}"/>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DCC-41D7-B17B-D38020BC108A}"/>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DCC-41D7-B17B-D38020BC108A}"/>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DCC-41D7-B17B-D38020BC108A}"/>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DCC-41D7-B17B-D38020BC108A}"/>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DCC-41D7-B17B-D38020BC108A}"/>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DCC-41D7-B17B-D38020BC108A}"/>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DCC-41D7-B17B-D38020BC108A}"/>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DCC-41D7-B17B-D38020BC108A}"/>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DCC-41D7-B17B-D38020BC108A}"/>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DCC-41D7-B17B-D38020BC108A}"/>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DCC-41D7-B17B-D38020BC108A}"/>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DCC-41D7-B17B-D38020BC108A}"/>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DCC-41D7-B17B-D38020BC108A}"/>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DCC-41D7-B17B-D38020BC108A}"/>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DCC-41D7-B17B-D38020BC108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DCC-41D7-B17B-D38020BC108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Feb26'!$A$66</c:f>
              <c:strCache>
                <c:ptCount val="1"/>
                <c:pt idx="0">
                  <c:v>Liderazgo y Gestión del Equipo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DCC-41D7-B17B-D38020BC108A}"/>
              </c:ext>
            </c:extLst>
          </c:dPt>
          <c:dPt>
            <c:idx val="1"/>
            <c:bubble3D val="0"/>
            <c:spPr>
              <a:noFill/>
              <a:ln w="19050">
                <a:solidFill>
                  <a:schemeClr val="lt1"/>
                </a:solidFill>
              </a:ln>
              <a:effectLst/>
            </c:spPr>
            <c:extLst>
              <c:ext xmlns:c16="http://schemas.microsoft.com/office/drawing/2014/chart" uri="{C3380CC4-5D6E-409C-BE32-E72D297353CC}">
                <c16:uniqueId val="{0000002C-2DCC-41D7-B17B-D38020BC108A}"/>
              </c:ext>
            </c:extLst>
          </c:dPt>
          <c:val>
            <c:numRef>
              <c:f>'Tablero Feb26'!$B$66:$C$66</c:f>
              <c:numCache>
                <c:formatCode>0%</c:formatCode>
                <c:ptCount val="2"/>
                <c:pt idx="0">
                  <c:v>0.3</c:v>
                </c:pt>
                <c:pt idx="1">
                  <c:v>0.7</c:v>
                </c:pt>
              </c:numCache>
            </c:numRef>
          </c:val>
          <c:extLst>
            <c:ext xmlns:c16="http://schemas.microsoft.com/office/drawing/2014/chart" uri="{C3380CC4-5D6E-409C-BE32-E72D297353CC}">
              <c16:uniqueId val="{0000002D-2DCC-41D7-B17B-D38020BC108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498212813795549"/>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3EE4-47B3-99BA-179D5BC40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4-47B3-99BA-179D5BC40C88}"/>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EE4-47B3-99BA-179D5BC40C88}"/>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3EE4-47B3-99BA-179D5BC40C88}"/>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3EE4-47B3-99BA-179D5BC40C88}"/>
              </c:ext>
            </c:extLst>
          </c:dPt>
          <c:dPt>
            <c:idx val="5"/>
            <c:bubble3D val="0"/>
            <c:spPr>
              <a:noFill/>
              <a:ln w="19050">
                <a:solidFill>
                  <a:schemeClr val="lt1"/>
                </a:solidFill>
              </a:ln>
              <a:effectLst/>
            </c:spPr>
            <c:extLst>
              <c:ext xmlns:c16="http://schemas.microsoft.com/office/drawing/2014/chart" uri="{C3380CC4-5D6E-409C-BE32-E72D297353CC}">
                <c16:uniqueId val="{0000000B-3EE4-47B3-99BA-179D5BC40C88}"/>
              </c:ext>
            </c:extLst>
          </c:dPt>
          <c:val>
            <c:numRef>
              <c:f>'Tablero Feb26'!$F$64:$F$69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3EE4-47B3-99BA-179D5BC40C88}"/>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3EE4-47B3-99BA-179D5BC40C88}"/>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3EE4-47B3-99BA-179D5BC40C88}"/>
              </c:ext>
            </c:extLst>
          </c:dPt>
          <c:dPt>
            <c:idx val="2"/>
            <c:bubble3D val="0"/>
            <c:spPr>
              <a:noFill/>
              <a:ln w="19050">
                <a:solidFill>
                  <a:schemeClr val="lt1"/>
                </a:solidFill>
              </a:ln>
              <a:effectLst/>
            </c:spPr>
            <c:extLst>
              <c:ext xmlns:c16="http://schemas.microsoft.com/office/drawing/2014/chart" uri="{C3380CC4-5D6E-409C-BE32-E72D297353CC}">
                <c16:uniqueId val="{00000012-3EE4-47B3-99BA-179D5BC40C88}"/>
              </c:ext>
            </c:extLst>
          </c:dPt>
          <c:val>
            <c:numRef>
              <c:f>'Tablero Feb26'!$F$73:$F$75</c:f>
              <c:numCache>
                <c:formatCode>General</c:formatCode>
                <c:ptCount val="3"/>
                <c:pt idx="0">
                  <c:v>70.5</c:v>
                </c:pt>
                <c:pt idx="1">
                  <c:v>3</c:v>
                </c:pt>
                <c:pt idx="2">
                  <c:v>126.5</c:v>
                </c:pt>
              </c:numCache>
            </c:numRef>
          </c:val>
          <c:extLst>
            <c:ext xmlns:c16="http://schemas.microsoft.com/office/drawing/2014/chart" uri="{C3380CC4-5D6E-409C-BE32-E72D297353CC}">
              <c16:uniqueId val="{00000013-3EE4-47B3-99BA-179D5BC40C8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C32-43BB-B046-2186A4B4D1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32-43BB-B046-2186A4B4D1C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AC32-43BB-B046-2186A4B4D1C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AC32-43BB-B046-2186A4B4D1C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AC32-43BB-B046-2186A4B4D1C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AC32-43BB-B046-2186A4B4D1C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C32-43BB-B046-2186A4B4D1C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AC32-43BB-B046-2186A4B4D1C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AC32-43BB-B046-2186A4B4D1C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AC32-43BB-B046-2186A4B4D1C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AC32-43BB-B046-2186A4B4D1C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AC32-43BB-B046-2186A4B4D1C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AC32-43BB-B046-2186A4B4D1C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AC32-43BB-B046-2186A4B4D1C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AC32-43BB-B046-2186A4B4D1C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AC32-43BB-B046-2186A4B4D1C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AC32-43BB-B046-2186A4B4D1C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AC32-43BB-B046-2186A4B4D1C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AC32-43BB-B046-2186A4B4D1C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AC32-43BB-B046-2186A4B4D1C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C32-43BB-B046-2186A4B4D1C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Feb26'!$A$73</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C32-43BB-B046-2186A4B4D1C2}"/>
              </c:ext>
            </c:extLst>
          </c:dPt>
          <c:dPt>
            <c:idx val="1"/>
            <c:bubble3D val="0"/>
            <c:spPr>
              <a:noFill/>
              <a:ln w="19050">
                <a:solidFill>
                  <a:schemeClr val="lt1"/>
                </a:solidFill>
              </a:ln>
              <a:effectLst/>
            </c:spPr>
            <c:extLst>
              <c:ext xmlns:c16="http://schemas.microsoft.com/office/drawing/2014/chart" uri="{C3380CC4-5D6E-409C-BE32-E72D297353CC}">
                <c16:uniqueId val="{0000002C-AC32-43BB-B046-2186A4B4D1C2}"/>
              </c:ext>
            </c:extLst>
          </c:dPt>
          <c:val>
            <c:numRef>
              <c:f>'Tablero Feb26'!$B$73:$C$73</c:f>
              <c:numCache>
                <c:formatCode>0%</c:formatCode>
                <c:ptCount val="2"/>
                <c:pt idx="0">
                  <c:v>0.76</c:v>
                </c:pt>
                <c:pt idx="1">
                  <c:v>0.24</c:v>
                </c:pt>
              </c:numCache>
            </c:numRef>
          </c:val>
          <c:extLst>
            <c:ext xmlns:c16="http://schemas.microsoft.com/office/drawing/2014/chart" uri="{C3380CC4-5D6E-409C-BE32-E72D297353CC}">
              <c16:uniqueId val="{0000002D-AC32-43BB-B046-2186A4B4D1C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F9D4-45D1-81D1-7D966D9FE17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F9D4-45D1-81D1-7D966D9FE175}"/>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F9D4-45D1-81D1-7D966D9FE17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F9D4-45D1-81D1-7D966D9FE175}"/>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F9D4-45D1-81D1-7D966D9FE175}"/>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F9D4-45D1-81D1-7D966D9FE175}"/>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F9D4-45D1-81D1-7D966D9FE175}"/>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F9D4-45D1-81D1-7D966D9FE175}"/>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F9D4-45D1-81D1-7D966D9FE175}"/>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F9D4-45D1-81D1-7D966D9FE175}"/>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F9D4-45D1-81D1-7D966D9FE175}"/>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F9D4-45D1-81D1-7D966D9FE175}"/>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F9D4-45D1-81D1-7D966D9FE175}"/>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F9D4-45D1-81D1-7D966D9FE175}"/>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F9D4-45D1-81D1-7D966D9FE175}"/>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F9D4-45D1-81D1-7D966D9FE175}"/>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F9D4-45D1-81D1-7D966D9FE175}"/>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F9D4-45D1-81D1-7D966D9FE175}"/>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F9D4-45D1-81D1-7D966D9FE175}"/>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F9D4-45D1-81D1-7D966D9FE17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9D4-45D1-81D1-7D966D9FE17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Feb26'!$A$67</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9D4-45D1-81D1-7D966D9FE175}"/>
              </c:ext>
            </c:extLst>
          </c:dPt>
          <c:dPt>
            <c:idx val="1"/>
            <c:bubble3D val="0"/>
            <c:spPr>
              <a:noFill/>
              <a:ln w="19050">
                <a:solidFill>
                  <a:schemeClr val="lt1"/>
                </a:solidFill>
              </a:ln>
              <a:effectLst/>
            </c:spPr>
            <c:extLst>
              <c:ext xmlns:c16="http://schemas.microsoft.com/office/drawing/2014/chart" uri="{C3380CC4-5D6E-409C-BE32-E72D297353CC}">
                <c16:uniqueId val="{0000002C-F9D4-45D1-81D1-7D966D9FE175}"/>
              </c:ext>
            </c:extLst>
          </c:dPt>
          <c:val>
            <c:numRef>
              <c:f>'Tablero Feb26'!$B$67:$C$67</c:f>
              <c:numCache>
                <c:formatCode>0%</c:formatCode>
                <c:ptCount val="2"/>
                <c:pt idx="0">
                  <c:v>0.3</c:v>
                </c:pt>
                <c:pt idx="1">
                  <c:v>0.7</c:v>
                </c:pt>
              </c:numCache>
            </c:numRef>
          </c:val>
          <c:extLst>
            <c:ext xmlns:c16="http://schemas.microsoft.com/office/drawing/2014/chart" uri="{C3380CC4-5D6E-409C-BE32-E72D297353CC}">
              <c16:uniqueId val="{0000002D-F9D4-45D1-81D1-7D966D9FE17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B1FF-4F3D-A49F-87EE0CAA94C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1FF-4F3D-A49F-87EE0CAA94C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B1FF-4F3D-A49F-87EE0CAA94C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B1FF-4F3D-A49F-87EE0CAA94C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B1FF-4F3D-A49F-87EE0CAA94C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B1FF-4F3D-A49F-87EE0CAA94C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B1FF-4F3D-A49F-87EE0CAA94C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B1FF-4F3D-A49F-87EE0CAA94C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B1FF-4F3D-A49F-87EE0CAA94C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B1FF-4F3D-A49F-87EE0CAA94C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B1FF-4F3D-A49F-87EE0CAA94C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B1FF-4F3D-A49F-87EE0CAA94C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B1FF-4F3D-A49F-87EE0CAA94C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B1FF-4F3D-A49F-87EE0CAA94C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B1FF-4F3D-A49F-87EE0CAA94C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B1FF-4F3D-A49F-87EE0CAA94C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B1FF-4F3D-A49F-87EE0CAA94C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B1FF-4F3D-A49F-87EE0CAA94C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B1FF-4F3D-A49F-87EE0CAA94C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B1FF-4F3D-A49F-87EE0CAA94C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B1FF-4F3D-A49F-87EE0CAA94C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Feb26'!$A$68</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B1FF-4F3D-A49F-87EE0CAA94C2}"/>
              </c:ext>
            </c:extLst>
          </c:dPt>
          <c:dPt>
            <c:idx val="1"/>
            <c:bubble3D val="0"/>
            <c:spPr>
              <a:noFill/>
              <a:ln w="19050">
                <a:solidFill>
                  <a:schemeClr val="lt1"/>
                </a:solidFill>
              </a:ln>
              <a:effectLst/>
            </c:spPr>
            <c:extLst>
              <c:ext xmlns:c16="http://schemas.microsoft.com/office/drawing/2014/chart" uri="{C3380CC4-5D6E-409C-BE32-E72D297353CC}">
                <c16:uniqueId val="{0000002C-B1FF-4F3D-A49F-87EE0CAA94C2}"/>
              </c:ext>
            </c:extLst>
          </c:dPt>
          <c:val>
            <c:numRef>
              <c:f>'Tablero Feb26'!$B$68:$C$68</c:f>
              <c:numCache>
                <c:formatCode>0%</c:formatCode>
                <c:ptCount val="2"/>
                <c:pt idx="0">
                  <c:v>0.1</c:v>
                </c:pt>
                <c:pt idx="1">
                  <c:v>0.9</c:v>
                </c:pt>
              </c:numCache>
            </c:numRef>
          </c:val>
          <c:extLst>
            <c:ext xmlns:c16="http://schemas.microsoft.com/office/drawing/2014/chart" uri="{C3380CC4-5D6E-409C-BE32-E72D297353CC}">
              <c16:uniqueId val="{0000002D-B1FF-4F3D-A49F-87EE0CAA94C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0E0-488C-9A06-953918B9B6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E0-488C-9A06-953918B9B69C}"/>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0E0-488C-9A06-953918B9B69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50E0-488C-9A06-953918B9B69C}"/>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0E0-488C-9A06-953918B9B69C}"/>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50E0-488C-9A06-953918B9B69C}"/>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50E0-488C-9A06-953918B9B69C}"/>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50E0-488C-9A06-953918B9B69C}"/>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50E0-488C-9A06-953918B9B69C}"/>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50E0-488C-9A06-953918B9B69C}"/>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50E0-488C-9A06-953918B9B69C}"/>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50E0-488C-9A06-953918B9B69C}"/>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50E0-488C-9A06-953918B9B69C}"/>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50E0-488C-9A06-953918B9B69C}"/>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50E0-488C-9A06-953918B9B69C}"/>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50E0-488C-9A06-953918B9B69C}"/>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50E0-488C-9A06-953918B9B69C}"/>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50E0-488C-9A06-953918B9B69C}"/>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50E0-488C-9A06-953918B9B69C}"/>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50E0-488C-9A06-953918B9B69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0E0-488C-9A06-953918B9B69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Feb26'!$A$74</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0E0-488C-9A06-953918B9B69C}"/>
              </c:ext>
            </c:extLst>
          </c:dPt>
          <c:dPt>
            <c:idx val="1"/>
            <c:bubble3D val="0"/>
            <c:spPr>
              <a:noFill/>
              <a:ln w="19050">
                <a:solidFill>
                  <a:schemeClr val="lt1"/>
                </a:solidFill>
              </a:ln>
              <a:effectLst/>
            </c:spPr>
            <c:extLst>
              <c:ext xmlns:c16="http://schemas.microsoft.com/office/drawing/2014/chart" uri="{C3380CC4-5D6E-409C-BE32-E72D297353CC}">
                <c16:uniqueId val="{0000002C-50E0-488C-9A06-953918B9B69C}"/>
              </c:ext>
            </c:extLst>
          </c:dPt>
          <c:val>
            <c:numRef>
              <c:f>'Tablero Feb26'!$B$74:$C$74</c:f>
              <c:numCache>
                <c:formatCode>0%</c:formatCode>
                <c:ptCount val="2"/>
                <c:pt idx="0">
                  <c:v>0.92</c:v>
                </c:pt>
                <c:pt idx="1">
                  <c:v>0.08</c:v>
                </c:pt>
              </c:numCache>
            </c:numRef>
          </c:val>
          <c:extLst>
            <c:ext xmlns:c16="http://schemas.microsoft.com/office/drawing/2014/chart" uri="{C3380CC4-5D6E-409C-BE32-E72D297353CC}">
              <c16:uniqueId val="{0000002D-50E0-488C-9A06-953918B9B69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06C-4979-B535-B31E952792B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06C-4979-B535-B31E952792B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06C-4979-B535-B31E952792B3}"/>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06C-4979-B535-B31E952792B3}"/>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06C-4979-B535-B31E952792B3}"/>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06C-4979-B535-B31E952792B3}"/>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06C-4979-B535-B31E952792B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06C-4979-B535-B31E952792B3}"/>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06C-4979-B535-B31E952792B3}"/>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06C-4979-B535-B31E952792B3}"/>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06C-4979-B535-B31E952792B3}"/>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06C-4979-B535-B31E952792B3}"/>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06C-4979-B535-B31E952792B3}"/>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06C-4979-B535-B31E952792B3}"/>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06C-4979-B535-B31E952792B3}"/>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06C-4979-B535-B31E952792B3}"/>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06C-4979-B535-B31E952792B3}"/>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06C-4979-B535-B31E952792B3}"/>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06C-4979-B535-B31E952792B3}"/>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06C-4979-B535-B31E952792B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06C-4979-B535-B31E952792B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Feb26'!$A$79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06C-4979-B535-B31E952792B3}"/>
              </c:ext>
            </c:extLst>
          </c:dPt>
          <c:dPt>
            <c:idx val="1"/>
            <c:bubble3D val="0"/>
            <c:spPr>
              <a:noFill/>
              <a:ln w="19050">
                <a:solidFill>
                  <a:schemeClr val="lt1"/>
                </a:solidFill>
              </a:ln>
              <a:effectLst/>
            </c:spPr>
            <c:extLst>
              <c:ext xmlns:c16="http://schemas.microsoft.com/office/drawing/2014/chart" uri="{C3380CC4-5D6E-409C-BE32-E72D297353CC}">
                <c16:uniqueId val="{0000002C-E06C-4979-B535-B31E952792B3}"/>
              </c:ext>
            </c:extLst>
          </c:dPt>
          <c:val>
            <c:numRef>
              <c:f>'Tablero Feb26'!$B$79:$C$79</c:f>
              <c:numCache>
                <c:formatCode>0%</c:formatCode>
                <c:ptCount val="2"/>
                <c:pt idx="0">
                  <c:v>0.7</c:v>
                </c:pt>
                <c:pt idx="1">
                  <c:v>0.3</c:v>
                </c:pt>
              </c:numCache>
            </c:numRef>
          </c:val>
          <c:extLst>
            <c:ext xmlns:c16="http://schemas.microsoft.com/office/drawing/2014/chart" uri="{C3380CC4-5D6E-409C-BE32-E72D297353CC}">
              <c16:uniqueId val="{0000002D-E06C-4979-B535-B31E952792B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398-4FE0-A833-06AE91DE11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8-4FE0-A833-06AE91DE11F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398-4FE0-A833-06AE91DE11F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6398-4FE0-A833-06AE91DE11F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6398-4FE0-A833-06AE91DE11F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6398-4FE0-A833-06AE91DE11F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6398-4FE0-A833-06AE91DE11F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6398-4FE0-A833-06AE91DE11F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6398-4FE0-A833-06AE91DE11F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6398-4FE0-A833-06AE91DE11F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6398-4FE0-A833-06AE91DE11F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6398-4FE0-A833-06AE91DE11F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6398-4FE0-A833-06AE91DE11F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6398-4FE0-A833-06AE91DE11F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6398-4FE0-A833-06AE91DE11F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6398-4FE0-A833-06AE91DE11F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6398-4FE0-A833-06AE91DE11F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6398-4FE0-A833-06AE91DE11F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6398-4FE0-A833-06AE91DE11F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6398-4FE0-A833-06AE91DE11F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398-4FE0-A833-06AE91DE11F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Feb26'!$A$85</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398-4FE0-A833-06AE91DE11FE}"/>
              </c:ext>
            </c:extLst>
          </c:dPt>
          <c:dPt>
            <c:idx val="1"/>
            <c:bubble3D val="0"/>
            <c:spPr>
              <a:noFill/>
              <a:ln w="19050">
                <a:solidFill>
                  <a:schemeClr val="lt1"/>
                </a:solidFill>
              </a:ln>
              <a:effectLst/>
            </c:spPr>
            <c:extLst>
              <c:ext xmlns:c16="http://schemas.microsoft.com/office/drawing/2014/chart" uri="{C3380CC4-5D6E-409C-BE32-E72D297353CC}">
                <c16:uniqueId val="{0000002C-6398-4FE0-A833-06AE91DE11FE}"/>
              </c:ext>
            </c:extLst>
          </c:dPt>
          <c:val>
            <c:numRef>
              <c:f>'Tablero Feb26'!$B$85:$C$85</c:f>
              <c:numCache>
                <c:formatCode>0%</c:formatCode>
                <c:ptCount val="2"/>
                <c:pt idx="0">
                  <c:v>0.92</c:v>
                </c:pt>
                <c:pt idx="1">
                  <c:v>0.08</c:v>
                </c:pt>
              </c:numCache>
            </c:numRef>
          </c:val>
          <c:extLst>
            <c:ext xmlns:c16="http://schemas.microsoft.com/office/drawing/2014/chart" uri="{C3380CC4-5D6E-409C-BE32-E72D297353CC}">
              <c16:uniqueId val="{0000002D-6398-4FE0-A833-06AE91DE11F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DA4-41CC-80AF-FBE623A5F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A4-41CC-80AF-FBE623A5FF1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DA4-41CC-80AF-FBE623A5FF1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6DA4-41CC-80AF-FBE623A5FF1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6DA4-41CC-80AF-FBE623A5FF1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6DA4-41CC-80AF-FBE623A5FF1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6DA4-41CC-80AF-FBE623A5FF1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6DA4-41CC-80AF-FBE623A5FF1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6DA4-41CC-80AF-FBE623A5FF1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6DA4-41CC-80AF-FBE623A5FF1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6DA4-41CC-80AF-FBE623A5FF1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6DA4-41CC-80AF-FBE623A5FF1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6DA4-41CC-80AF-FBE623A5FF1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6DA4-41CC-80AF-FBE623A5FF1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6DA4-41CC-80AF-FBE623A5FF1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6DA4-41CC-80AF-FBE623A5FF1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6DA4-41CC-80AF-FBE623A5FF1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6DA4-41CC-80AF-FBE623A5FF1F}"/>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6DA4-41CC-80AF-FBE623A5FF1F}"/>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6DA4-41CC-80AF-FBE623A5FF1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DA4-41CC-80AF-FBE623A5FF1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Feb26'!$A$86</c:f>
              <c:strCache>
                <c:ptCount val="1"/>
                <c:pt idx="0">
                  <c:v>Formalización Post-Cierre</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DA4-41CC-80AF-FBE623A5FF1F}"/>
              </c:ext>
            </c:extLst>
          </c:dPt>
          <c:dPt>
            <c:idx val="1"/>
            <c:bubble3D val="0"/>
            <c:spPr>
              <a:noFill/>
              <a:ln w="19050">
                <a:solidFill>
                  <a:schemeClr val="lt1"/>
                </a:solidFill>
              </a:ln>
              <a:effectLst/>
            </c:spPr>
            <c:extLst>
              <c:ext xmlns:c16="http://schemas.microsoft.com/office/drawing/2014/chart" uri="{C3380CC4-5D6E-409C-BE32-E72D297353CC}">
                <c16:uniqueId val="{0000002C-6DA4-41CC-80AF-FBE623A5FF1F}"/>
              </c:ext>
            </c:extLst>
          </c:dPt>
          <c:val>
            <c:numRef>
              <c:f>'Tablero Feb26'!$B$86:$C$86</c:f>
              <c:numCache>
                <c:formatCode>0%</c:formatCode>
                <c:ptCount val="2"/>
                <c:pt idx="0">
                  <c:v>0.92</c:v>
                </c:pt>
                <c:pt idx="1">
                  <c:v>0.08</c:v>
                </c:pt>
              </c:numCache>
            </c:numRef>
          </c:val>
          <c:extLst>
            <c:ext xmlns:c16="http://schemas.microsoft.com/office/drawing/2014/chart" uri="{C3380CC4-5D6E-409C-BE32-E72D297353CC}">
              <c16:uniqueId val="{0000002D-6DA4-41CC-80AF-FBE623A5FF1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6CBD-4CC0-9847-5F0ECBD5854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6CBD-4CC0-9847-5F0ECBD5854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CBD-4CC0-9847-5F0ECBD5854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CBD-4CC0-9847-5F0ECBD5854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6CBD-4CC0-9847-5F0ECBD5854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6CBD-4CC0-9847-5F0ECBD5854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6CBD-4CC0-9847-5F0ECBD5854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6CBD-4CC0-9847-5F0ECBD5854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6CBD-4CC0-9847-5F0ECBD5854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6CBD-4CC0-9847-5F0ECBD5854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6CBD-4CC0-9847-5F0ECBD5854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6CBD-4CC0-9847-5F0ECBD5854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6CBD-4CC0-9847-5F0ECBD5854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6CBD-4CC0-9847-5F0ECBD5854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6CBD-4CC0-9847-5F0ECBD5854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6CBD-4CC0-9847-5F0ECBD5854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6CBD-4CC0-9847-5F0ECBD5854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6CBD-4CC0-9847-5F0ECBD5854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6CBD-4CC0-9847-5F0ECBD5854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6CBD-4CC0-9847-5F0ECBD5854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CBD-4CC0-9847-5F0ECBD5854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Feb26'!$A$80</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CBD-4CC0-9847-5F0ECBD5854F}"/>
              </c:ext>
            </c:extLst>
          </c:dPt>
          <c:dPt>
            <c:idx val="1"/>
            <c:bubble3D val="0"/>
            <c:spPr>
              <a:noFill/>
              <a:ln w="19050">
                <a:solidFill>
                  <a:schemeClr val="lt1"/>
                </a:solidFill>
              </a:ln>
              <a:effectLst/>
            </c:spPr>
            <c:extLst>
              <c:ext xmlns:c16="http://schemas.microsoft.com/office/drawing/2014/chart" uri="{C3380CC4-5D6E-409C-BE32-E72D297353CC}">
                <c16:uniqueId val="{0000002C-6CBD-4CC0-9847-5F0ECBD5854F}"/>
              </c:ext>
            </c:extLst>
          </c:dPt>
          <c:val>
            <c:numRef>
              <c:f>'Tablero Feb26'!$B$80:$C$80</c:f>
              <c:numCache>
                <c:formatCode>0%</c:formatCode>
                <c:ptCount val="2"/>
                <c:pt idx="0">
                  <c:v>0.05</c:v>
                </c:pt>
                <c:pt idx="1">
                  <c:v>0.95</c:v>
                </c:pt>
              </c:numCache>
            </c:numRef>
          </c:val>
          <c:extLst>
            <c:ext xmlns:c16="http://schemas.microsoft.com/office/drawing/2014/chart" uri="{C3380CC4-5D6E-409C-BE32-E72D297353CC}">
              <c16:uniqueId val="{0000002D-6CBD-4CC0-9847-5F0ECBD5854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2D4-4995-B504-A8D7060D6D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4-4995-B504-A8D7060D6D7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2D4-4995-B504-A8D7060D6D7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2D4-4995-B504-A8D7060D6D7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2D4-4995-B504-A8D7060D6D7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F2D4-4995-B504-A8D7060D6D7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F2D4-4995-B504-A8D7060D6D7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F2D4-4995-B504-A8D7060D6D7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F2D4-4995-B504-A8D7060D6D7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F2D4-4995-B504-A8D7060D6D7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F2D4-4995-B504-A8D7060D6D7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F2D4-4995-B504-A8D7060D6D7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2D4-4995-B504-A8D7060D6D7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F2D4-4995-B504-A8D7060D6D7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F2D4-4995-B504-A8D7060D6D7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F2D4-4995-B504-A8D7060D6D7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F2D4-4995-B504-A8D7060D6D7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F2D4-4995-B504-A8D7060D6D7F}"/>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F2D4-4995-B504-A8D7060D6D7F}"/>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F2D4-4995-B504-A8D7060D6D7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2D4-4995-B504-A8D7060D6D7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Feb26'!$A$87</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2D4-4995-B504-A8D7060D6D7F}"/>
              </c:ext>
            </c:extLst>
          </c:dPt>
          <c:dPt>
            <c:idx val="1"/>
            <c:bubble3D val="0"/>
            <c:spPr>
              <a:noFill/>
              <a:ln w="19050">
                <a:solidFill>
                  <a:schemeClr val="lt1"/>
                </a:solidFill>
              </a:ln>
              <a:effectLst/>
            </c:spPr>
            <c:extLst>
              <c:ext xmlns:c16="http://schemas.microsoft.com/office/drawing/2014/chart" uri="{C3380CC4-5D6E-409C-BE32-E72D297353CC}">
                <c16:uniqueId val="{0000002C-F2D4-4995-B504-A8D7060D6D7F}"/>
              </c:ext>
            </c:extLst>
          </c:dPt>
          <c:val>
            <c:numRef>
              <c:f>'Tablero Feb26'!$B$87:$C$87</c:f>
              <c:numCache>
                <c:formatCode>0%</c:formatCode>
                <c:ptCount val="2"/>
                <c:pt idx="0">
                  <c:v>0.94</c:v>
                </c:pt>
                <c:pt idx="1">
                  <c:v>0.06</c:v>
                </c:pt>
              </c:numCache>
            </c:numRef>
          </c:val>
          <c:extLst>
            <c:ext xmlns:c16="http://schemas.microsoft.com/office/drawing/2014/chart" uri="{C3380CC4-5D6E-409C-BE32-E72D297353CC}">
              <c16:uniqueId val="{0000002D-F2D4-4995-B504-A8D7060D6D7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CC5-4B7D-9A17-89DC77D7E69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CC5-4B7D-9A17-89DC77D7E69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CC5-4B7D-9A17-89DC77D7E69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CC5-4B7D-9A17-89DC77D7E69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CC5-4B7D-9A17-89DC77D7E69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CC5-4B7D-9A17-89DC77D7E69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CC5-4B7D-9A17-89DC77D7E69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CC5-4B7D-9A17-89DC77D7E69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CC5-4B7D-9A17-89DC77D7E69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CC5-4B7D-9A17-89DC77D7E69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CC5-4B7D-9A17-89DC77D7E69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CC5-4B7D-9A17-89DC77D7E69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CC5-4B7D-9A17-89DC77D7E69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CC5-4B7D-9A17-89DC77D7E69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CC5-4B7D-9A17-89DC77D7E69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CC5-4B7D-9A17-89DC77D7E69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CC5-4B7D-9A17-89DC77D7E69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CC5-4B7D-9A17-89DC77D7E69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CC5-4B7D-9A17-89DC77D7E69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CC5-4B7D-9A17-89DC77D7E69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CC5-4B7D-9A17-89DC77D7E69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Feb26'!$A$81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CC5-4B7D-9A17-89DC77D7E69F}"/>
              </c:ext>
            </c:extLst>
          </c:dPt>
          <c:dPt>
            <c:idx val="1"/>
            <c:bubble3D val="0"/>
            <c:spPr>
              <a:noFill/>
              <a:ln w="19050">
                <a:solidFill>
                  <a:schemeClr val="lt1"/>
                </a:solidFill>
              </a:ln>
              <a:effectLst/>
            </c:spPr>
            <c:extLst>
              <c:ext xmlns:c16="http://schemas.microsoft.com/office/drawing/2014/chart" uri="{C3380CC4-5D6E-409C-BE32-E72D297353CC}">
                <c16:uniqueId val="{0000002C-ECC5-4B7D-9A17-89DC77D7E69F}"/>
              </c:ext>
            </c:extLst>
          </c:dPt>
          <c:val>
            <c:numRef>
              <c:f>'Tablero Feb26'!$B$81:$C$81</c:f>
              <c:numCache>
                <c:formatCode>0%</c:formatCode>
                <c:ptCount val="2"/>
                <c:pt idx="0">
                  <c:v>0.25</c:v>
                </c:pt>
                <c:pt idx="1">
                  <c:v>0.75</c:v>
                </c:pt>
              </c:numCache>
            </c:numRef>
          </c:val>
          <c:extLst>
            <c:ext xmlns:c16="http://schemas.microsoft.com/office/drawing/2014/chart" uri="{C3380CC4-5D6E-409C-BE32-E72D297353CC}">
              <c16:uniqueId val="{0000002D-ECC5-4B7D-9A17-89DC77D7E69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405-4379-8CEC-8855E9B0073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405-4379-8CEC-8855E9B0073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405-4379-8CEC-8855E9B0073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405-4379-8CEC-8855E9B0073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405-4379-8CEC-8855E9B0073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405-4379-8CEC-8855E9B0073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405-4379-8CEC-8855E9B0073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405-4379-8CEC-8855E9B0073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405-4379-8CEC-8855E9B0073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405-4379-8CEC-8855E9B0073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405-4379-8CEC-8855E9B0073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405-4379-8CEC-8855E9B0073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405-4379-8CEC-8855E9B0073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405-4379-8CEC-8855E9B0073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405-4379-8CEC-8855E9B0073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405-4379-8CEC-8855E9B0073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405-4379-8CEC-8855E9B0073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405-4379-8CEC-8855E9B0073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405-4379-8CEC-8855E9B0073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405-4379-8CEC-8855E9B0073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405-4379-8CEC-8855E9B0073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Feb26'!$A$93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405-4379-8CEC-8855E9B00738}"/>
              </c:ext>
            </c:extLst>
          </c:dPt>
          <c:dPt>
            <c:idx val="1"/>
            <c:bubble3D val="0"/>
            <c:spPr>
              <a:noFill/>
              <a:ln w="19050">
                <a:solidFill>
                  <a:schemeClr val="lt1"/>
                </a:solidFill>
              </a:ln>
              <a:effectLst/>
            </c:spPr>
            <c:extLst>
              <c:ext xmlns:c16="http://schemas.microsoft.com/office/drawing/2014/chart" uri="{C3380CC4-5D6E-409C-BE32-E72D297353CC}">
                <c16:uniqueId val="{0000002C-E405-4379-8CEC-8855E9B00738}"/>
              </c:ext>
            </c:extLst>
          </c:dPt>
          <c:val>
            <c:numRef>
              <c:f>'Tablero Feb26'!$B$93:$C$93</c:f>
              <c:numCache>
                <c:formatCode>0%</c:formatCode>
                <c:ptCount val="2"/>
                <c:pt idx="0">
                  <c:v>0.7</c:v>
                </c:pt>
                <c:pt idx="1">
                  <c:v>0.3</c:v>
                </c:pt>
              </c:numCache>
            </c:numRef>
          </c:val>
          <c:extLst>
            <c:ext xmlns:c16="http://schemas.microsoft.com/office/drawing/2014/chart" uri="{C3380CC4-5D6E-409C-BE32-E72D297353CC}">
              <c16:uniqueId val="{0000002D-E405-4379-8CEC-8855E9B0073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306-4511-A7E8-E6BFC74595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06-4511-A7E8-E6BFC74595E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A306-4511-A7E8-E6BFC74595E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A306-4511-A7E8-E6BFC74595E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A306-4511-A7E8-E6BFC74595E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A306-4511-A7E8-E6BFC74595E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306-4511-A7E8-E6BFC74595E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A306-4511-A7E8-E6BFC74595E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A306-4511-A7E8-E6BFC74595E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A306-4511-A7E8-E6BFC74595E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A306-4511-A7E8-E6BFC74595E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A306-4511-A7E8-E6BFC74595E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A306-4511-A7E8-E6BFC74595E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A306-4511-A7E8-E6BFC74595E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A306-4511-A7E8-E6BFC74595E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A306-4511-A7E8-E6BFC74595E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A306-4511-A7E8-E6BFC74595E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A306-4511-A7E8-E6BFC74595E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A306-4511-A7E8-E6BFC74595E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A306-4511-A7E8-E6BFC74595E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A306-4511-A7E8-E6BFC74595E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Feb26'!$A$99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A306-4511-A7E8-E6BFC74595E2}"/>
              </c:ext>
            </c:extLst>
          </c:dPt>
          <c:dPt>
            <c:idx val="1"/>
            <c:bubble3D val="0"/>
            <c:spPr>
              <a:noFill/>
              <a:ln w="19050">
                <a:solidFill>
                  <a:schemeClr val="lt1"/>
                </a:solidFill>
              </a:ln>
              <a:effectLst/>
            </c:spPr>
            <c:extLst>
              <c:ext xmlns:c16="http://schemas.microsoft.com/office/drawing/2014/chart" uri="{C3380CC4-5D6E-409C-BE32-E72D297353CC}">
                <c16:uniqueId val="{0000002C-A306-4511-A7E8-E6BFC74595E2}"/>
              </c:ext>
            </c:extLst>
          </c:dPt>
          <c:val>
            <c:numRef>
              <c:f>'Tablero Feb26'!$B$99:$C$99</c:f>
              <c:numCache>
                <c:formatCode>0%</c:formatCode>
                <c:ptCount val="2"/>
                <c:pt idx="0">
                  <c:v>0.71</c:v>
                </c:pt>
                <c:pt idx="1">
                  <c:v>0.28999999999999998</c:v>
                </c:pt>
              </c:numCache>
            </c:numRef>
          </c:val>
          <c:extLst>
            <c:ext xmlns:c16="http://schemas.microsoft.com/office/drawing/2014/chart" uri="{C3380CC4-5D6E-409C-BE32-E72D297353CC}">
              <c16:uniqueId val="{0000002D-A306-4511-A7E8-E6BFC74595E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A27-4E83-8A3F-67ABAA0939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27-4E83-8A3F-67ABAA09398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A27-4E83-8A3F-67ABAA09398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A27-4E83-8A3F-67ABAA093980}"/>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A27-4E83-8A3F-67ABAA093980}"/>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A27-4E83-8A3F-67ABAA093980}"/>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A27-4E83-8A3F-67ABAA093980}"/>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A27-4E83-8A3F-67ABAA093980}"/>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A27-4E83-8A3F-67ABAA093980}"/>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A27-4E83-8A3F-67ABAA093980}"/>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A27-4E83-8A3F-67ABAA093980}"/>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A27-4E83-8A3F-67ABAA093980}"/>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A27-4E83-8A3F-67ABAA093980}"/>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A27-4E83-8A3F-67ABAA093980}"/>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A27-4E83-8A3F-67ABAA093980}"/>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A27-4E83-8A3F-67ABAA093980}"/>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A27-4E83-8A3F-67ABAA093980}"/>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A27-4E83-8A3F-67ABAA093980}"/>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A27-4E83-8A3F-67ABAA093980}"/>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A27-4E83-8A3F-67ABAA09398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A27-4E83-8A3F-67ABAA09398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Feb26'!$A$100</c:f>
              <c:strCache>
                <c:ptCount val="1"/>
                <c:pt idx="0">
                  <c:v>Relaciones y Servicio</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A27-4E83-8A3F-67ABAA093980}"/>
              </c:ext>
            </c:extLst>
          </c:dPt>
          <c:dPt>
            <c:idx val="1"/>
            <c:bubble3D val="0"/>
            <c:spPr>
              <a:noFill/>
              <a:ln w="19050">
                <a:solidFill>
                  <a:schemeClr val="lt1"/>
                </a:solidFill>
              </a:ln>
              <a:effectLst/>
            </c:spPr>
            <c:extLst>
              <c:ext xmlns:c16="http://schemas.microsoft.com/office/drawing/2014/chart" uri="{C3380CC4-5D6E-409C-BE32-E72D297353CC}">
                <c16:uniqueId val="{0000002C-2A27-4E83-8A3F-67ABAA093980}"/>
              </c:ext>
            </c:extLst>
          </c:dPt>
          <c:val>
            <c:numRef>
              <c:f>'Tablero Feb26'!$B$100:$C$100</c:f>
              <c:numCache>
                <c:formatCode>0%</c:formatCode>
                <c:ptCount val="2"/>
                <c:pt idx="0">
                  <c:v>0.91</c:v>
                </c:pt>
                <c:pt idx="1">
                  <c:v>0.09</c:v>
                </c:pt>
              </c:numCache>
            </c:numRef>
          </c:val>
          <c:extLst>
            <c:ext xmlns:c16="http://schemas.microsoft.com/office/drawing/2014/chart" uri="{C3380CC4-5D6E-409C-BE32-E72D297353CC}">
              <c16:uniqueId val="{0000002D-2A27-4E83-8A3F-67ABAA09398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525-4EFA-89FF-1693F56B326D}"/>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525-4EFA-89FF-1693F56B326D}"/>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525-4EFA-89FF-1693F56B326D}"/>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525-4EFA-89FF-1693F56B326D}"/>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525-4EFA-89FF-1693F56B326D}"/>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525-4EFA-89FF-1693F56B326D}"/>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525-4EFA-89FF-1693F56B326D}"/>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525-4EFA-89FF-1693F56B326D}"/>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525-4EFA-89FF-1693F56B326D}"/>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525-4EFA-89FF-1693F56B326D}"/>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525-4EFA-89FF-1693F56B326D}"/>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525-4EFA-89FF-1693F56B326D}"/>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525-4EFA-89FF-1693F56B326D}"/>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525-4EFA-89FF-1693F56B326D}"/>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525-4EFA-89FF-1693F56B326D}"/>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525-4EFA-89FF-1693F56B326D}"/>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525-4EFA-89FF-1693F56B326D}"/>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525-4EFA-89FF-1693F56B326D}"/>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525-4EFA-89FF-1693F56B326D}"/>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525-4EFA-89FF-1693F56B326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525-4EFA-89FF-1693F56B326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Feb26'!$A$94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5525-4EFA-89FF-1693F56B326D}"/>
              </c:ext>
            </c:extLst>
          </c:dPt>
          <c:dPt>
            <c:idx val="1"/>
            <c:bubble3D val="0"/>
            <c:spPr>
              <a:noFill/>
              <a:ln w="19050">
                <a:solidFill>
                  <a:schemeClr val="lt1"/>
                </a:solidFill>
              </a:ln>
              <a:effectLst/>
            </c:spPr>
            <c:extLst>
              <c:ext xmlns:c16="http://schemas.microsoft.com/office/drawing/2014/chart" uri="{C3380CC4-5D6E-409C-BE32-E72D297353CC}">
                <c16:uniqueId val="{0000002C-5525-4EFA-89FF-1693F56B326D}"/>
              </c:ext>
            </c:extLst>
          </c:dPt>
          <c:val>
            <c:numRef>
              <c:f>'Tablero Feb26'!$B$94:$C$94</c:f>
              <c:numCache>
                <c:formatCode>0%</c:formatCode>
                <c:ptCount val="2"/>
                <c:pt idx="0">
                  <c:v>0.05</c:v>
                </c:pt>
                <c:pt idx="1">
                  <c:v>0.95</c:v>
                </c:pt>
              </c:numCache>
            </c:numRef>
          </c:val>
          <c:extLst>
            <c:ext xmlns:c16="http://schemas.microsoft.com/office/drawing/2014/chart" uri="{C3380CC4-5D6E-409C-BE32-E72D297353CC}">
              <c16:uniqueId val="{0000002D-5525-4EFA-89FF-1693F56B326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85D-465C-BC74-76683BD95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5D-465C-BC74-76683BD9502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85D-465C-BC74-76683BD95022}"/>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85D-465C-BC74-76683BD95022}"/>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85D-465C-BC74-76683BD95022}"/>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85D-465C-BC74-76683BD95022}"/>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85D-465C-BC74-76683BD95022}"/>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85D-465C-BC74-76683BD95022}"/>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85D-465C-BC74-76683BD95022}"/>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85D-465C-BC74-76683BD95022}"/>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85D-465C-BC74-76683BD95022}"/>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85D-465C-BC74-76683BD95022}"/>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85D-465C-BC74-76683BD95022}"/>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85D-465C-BC74-76683BD95022}"/>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85D-465C-BC74-76683BD95022}"/>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85D-465C-BC74-76683BD95022}"/>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85D-465C-BC74-76683BD95022}"/>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85D-465C-BC74-76683BD95022}"/>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85D-465C-BC74-76683BD95022}"/>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85D-465C-BC74-76683BD9502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85D-465C-BC74-76683BD9502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85D-465C-BC74-76683BD95022}"/>
              </c:ext>
            </c:extLst>
          </c:dPt>
          <c:dPt>
            <c:idx val="1"/>
            <c:bubble3D val="0"/>
            <c:spPr>
              <a:noFill/>
              <a:ln w="19050">
                <a:solidFill>
                  <a:schemeClr val="lt1"/>
                </a:solidFill>
              </a:ln>
              <a:effectLst/>
            </c:spPr>
            <c:extLst>
              <c:ext xmlns:c16="http://schemas.microsoft.com/office/drawing/2014/chart" uri="{C3380CC4-5D6E-409C-BE32-E72D297353CC}">
                <c16:uniqueId val="{0000002C-C85D-465C-BC74-76683BD95022}"/>
              </c:ext>
            </c:extLst>
          </c:dPt>
          <c:val>
            <c:numRef>
              <c:f>'Tablero Feb26'!$B$101:$C$101</c:f>
              <c:numCache>
                <c:formatCode>0%</c:formatCode>
                <c:ptCount val="2"/>
                <c:pt idx="0">
                  <c:v>0</c:v>
                </c:pt>
                <c:pt idx="1">
                  <c:v>1</c:v>
                </c:pt>
              </c:numCache>
            </c:numRef>
          </c:val>
          <c:extLst>
            <c:ext xmlns:c16="http://schemas.microsoft.com/office/drawing/2014/chart" uri="{C3380CC4-5D6E-409C-BE32-E72D297353CC}">
              <c16:uniqueId val="{0000002D-C85D-465C-BC74-76683BD9502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3C9B-48FF-8B30-B80C783C4ED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3C9B-48FF-8B30-B80C783C4ED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3C9B-48FF-8B30-B80C783C4ED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3C9B-48FF-8B30-B80C783C4ED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3C9B-48FF-8B30-B80C783C4ED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3C9B-48FF-8B30-B80C783C4ED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3C9B-48FF-8B30-B80C783C4ED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3C9B-48FF-8B30-B80C783C4ED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3C9B-48FF-8B30-B80C783C4ED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3C9B-48FF-8B30-B80C783C4ED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3C9B-48FF-8B30-B80C783C4ED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3C9B-48FF-8B30-B80C783C4ED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3C9B-48FF-8B30-B80C783C4ED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3C9B-48FF-8B30-B80C783C4ED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3C9B-48FF-8B30-B80C783C4ED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3C9B-48FF-8B30-B80C783C4ED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3C9B-48FF-8B30-B80C783C4ED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3C9B-48FF-8B30-B80C783C4ED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3C9B-48FF-8B30-B80C783C4ED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3C9B-48FF-8B30-B80C783C4ED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C9B-48FF-8B30-B80C783C4ED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Feb26'!$A$95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C9B-48FF-8B30-B80C783C4EDB}"/>
              </c:ext>
            </c:extLst>
          </c:dPt>
          <c:dPt>
            <c:idx val="1"/>
            <c:bubble3D val="0"/>
            <c:spPr>
              <a:noFill/>
              <a:ln w="19050">
                <a:solidFill>
                  <a:schemeClr val="lt1"/>
                </a:solidFill>
              </a:ln>
              <a:effectLst/>
            </c:spPr>
            <c:extLst>
              <c:ext xmlns:c16="http://schemas.microsoft.com/office/drawing/2014/chart" uri="{C3380CC4-5D6E-409C-BE32-E72D297353CC}">
                <c16:uniqueId val="{0000002C-3C9B-48FF-8B30-B80C783C4EDB}"/>
              </c:ext>
            </c:extLst>
          </c:dPt>
          <c:val>
            <c:numRef>
              <c:f>'Tablero Feb26'!$B$95:$C$95</c:f>
              <c:numCache>
                <c:formatCode>0%</c:formatCode>
                <c:ptCount val="2"/>
                <c:pt idx="0">
                  <c:v>0.25</c:v>
                </c:pt>
                <c:pt idx="1">
                  <c:v>0.75</c:v>
                </c:pt>
              </c:numCache>
            </c:numRef>
          </c:val>
          <c:extLst>
            <c:ext xmlns:c16="http://schemas.microsoft.com/office/drawing/2014/chart" uri="{C3380CC4-5D6E-409C-BE32-E72D297353CC}">
              <c16:uniqueId val="{0000002D-3C9B-48FF-8B30-B80C783C4ED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689-4CD3-8C6B-75ED2102B61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689-4CD3-8C6B-75ED2102B616}"/>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689-4CD3-8C6B-75ED2102B61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9689-4CD3-8C6B-75ED2102B616}"/>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9689-4CD3-8C6B-75ED2102B616}"/>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9689-4CD3-8C6B-75ED2102B616}"/>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9689-4CD3-8C6B-75ED2102B616}"/>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9689-4CD3-8C6B-75ED2102B616}"/>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9689-4CD3-8C6B-75ED2102B616}"/>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9689-4CD3-8C6B-75ED2102B616}"/>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9689-4CD3-8C6B-75ED2102B616}"/>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9689-4CD3-8C6B-75ED2102B616}"/>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9689-4CD3-8C6B-75ED2102B616}"/>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9689-4CD3-8C6B-75ED2102B616}"/>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9689-4CD3-8C6B-75ED2102B616}"/>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9689-4CD3-8C6B-75ED2102B616}"/>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9689-4CD3-8C6B-75ED2102B616}"/>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9689-4CD3-8C6B-75ED2102B616}"/>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9689-4CD3-8C6B-75ED2102B616}"/>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9689-4CD3-8C6B-75ED2102B61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689-4CD3-8C6B-75ED2102B61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Feb26'!$A$107</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9689-4CD3-8C6B-75ED2102B616}"/>
              </c:ext>
            </c:extLst>
          </c:dPt>
          <c:dPt>
            <c:idx val="1"/>
            <c:bubble3D val="0"/>
            <c:spPr>
              <a:noFill/>
              <a:ln w="19050">
                <a:solidFill>
                  <a:schemeClr val="lt1"/>
                </a:solidFill>
              </a:ln>
              <a:effectLst/>
            </c:spPr>
            <c:extLst>
              <c:ext xmlns:c16="http://schemas.microsoft.com/office/drawing/2014/chart" uri="{C3380CC4-5D6E-409C-BE32-E72D297353CC}">
                <c16:uniqueId val="{0000002C-9689-4CD3-8C6B-75ED2102B616}"/>
              </c:ext>
            </c:extLst>
          </c:dPt>
          <c:val>
            <c:numRef>
              <c:f>'Tablero Feb26'!$B$107:$C$107</c:f>
              <c:numCache>
                <c:formatCode>0%</c:formatCode>
                <c:ptCount val="2"/>
                <c:pt idx="0">
                  <c:v>0.7</c:v>
                </c:pt>
                <c:pt idx="1">
                  <c:v>0.3</c:v>
                </c:pt>
              </c:numCache>
            </c:numRef>
          </c:val>
          <c:extLst>
            <c:ext xmlns:c16="http://schemas.microsoft.com/office/drawing/2014/chart" uri="{C3380CC4-5D6E-409C-BE32-E72D297353CC}">
              <c16:uniqueId val="{0000002D-9689-4CD3-8C6B-75ED2102B61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493-413E-B7C9-55A9F05F17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93-413E-B7C9-55A9F05F17B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493-413E-B7C9-55A9F05F17B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493-413E-B7C9-55A9F05F17B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493-413E-B7C9-55A9F05F17B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493-413E-B7C9-55A9F05F17B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493-413E-B7C9-55A9F05F17B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493-413E-B7C9-55A9F05F17B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493-413E-B7C9-55A9F05F17B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493-413E-B7C9-55A9F05F17B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493-413E-B7C9-55A9F05F17B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493-413E-B7C9-55A9F05F17B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493-413E-B7C9-55A9F05F17B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493-413E-B7C9-55A9F05F17B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493-413E-B7C9-55A9F05F17B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493-413E-B7C9-55A9F05F17B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493-413E-B7C9-55A9F05F17B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493-413E-B7C9-55A9F05F17B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493-413E-B7C9-55A9F05F17B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493-413E-B7C9-55A9F05F17B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493-413E-B7C9-55A9F05F17B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Feb26'!$A$113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493-413E-B7C9-55A9F05F17B3}"/>
              </c:ext>
            </c:extLst>
          </c:dPt>
          <c:dPt>
            <c:idx val="1"/>
            <c:bubble3D val="0"/>
            <c:spPr>
              <a:noFill/>
              <a:ln w="19050">
                <a:solidFill>
                  <a:schemeClr val="lt1"/>
                </a:solidFill>
              </a:ln>
              <a:effectLst/>
            </c:spPr>
            <c:extLst>
              <c:ext xmlns:c16="http://schemas.microsoft.com/office/drawing/2014/chart" uri="{C3380CC4-5D6E-409C-BE32-E72D297353CC}">
                <c16:uniqueId val="{0000002C-C493-413E-B7C9-55A9F05F17B3}"/>
              </c:ext>
            </c:extLst>
          </c:dPt>
          <c:val>
            <c:numRef>
              <c:f>'Tablero Feb26'!$B$113:$C$113</c:f>
              <c:numCache>
                <c:formatCode>0%</c:formatCode>
                <c:ptCount val="2"/>
                <c:pt idx="0">
                  <c:v>0.45</c:v>
                </c:pt>
                <c:pt idx="1">
                  <c:v>0.34</c:v>
                </c:pt>
              </c:numCache>
            </c:numRef>
          </c:val>
          <c:extLst>
            <c:ext xmlns:c16="http://schemas.microsoft.com/office/drawing/2014/chart" uri="{C3380CC4-5D6E-409C-BE32-E72D297353CC}">
              <c16:uniqueId val="{0000002D-C493-413E-B7C9-55A9F05F17B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EB0-4E7F-A5F5-D1BC39C3581A}"/>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EB0-4E7F-A5F5-D1BC39C3581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EB0-4E7F-A5F5-D1BC39C3581A}"/>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EB0-4E7F-A5F5-D1BC39C3581A}"/>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EB0-4E7F-A5F5-D1BC39C3581A}"/>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EB0-4E7F-A5F5-D1BC39C3581A}"/>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EB0-4E7F-A5F5-D1BC39C3581A}"/>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EB0-4E7F-A5F5-D1BC39C3581A}"/>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EB0-4E7F-A5F5-D1BC39C3581A}"/>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EB0-4E7F-A5F5-D1BC39C3581A}"/>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EB0-4E7F-A5F5-D1BC39C3581A}"/>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EB0-4E7F-A5F5-D1BC39C3581A}"/>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EB0-4E7F-A5F5-D1BC39C3581A}"/>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EB0-4E7F-A5F5-D1BC39C3581A}"/>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EB0-4E7F-A5F5-D1BC39C3581A}"/>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EB0-4E7F-A5F5-D1BC39C3581A}"/>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EB0-4E7F-A5F5-D1BC39C3581A}"/>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EB0-4E7F-A5F5-D1BC39C3581A}"/>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EB0-4E7F-A5F5-D1BC39C3581A}"/>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EB0-4E7F-A5F5-D1BC39C3581A}"/>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EB0-4E7F-A5F5-D1BC39C3581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Feb26'!$A$108</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EB0-4E7F-A5F5-D1BC39C3581A}"/>
              </c:ext>
            </c:extLst>
          </c:dPt>
          <c:dPt>
            <c:idx val="1"/>
            <c:bubble3D val="0"/>
            <c:spPr>
              <a:noFill/>
              <a:ln w="19050">
                <a:solidFill>
                  <a:schemeClr val="lt1"/>
                </a:solidFill>
              </a:ln>
              <a:effectLst/>
            </c:spPr>
            <c:extLst>
              <c:ext xmlns:c16="http://schemas.microsoft.com/office/drawing/2014/chart" uri="{C3380CC4-5D6E-409C-BE32-E72D297353CC}">
                <c16:uniqueId val="{0000002C-4EB0-4E7F-A5F5-D1BC39C3581A}"/>
              </c:ext>
            </c:extLst>
          </c:dPt>
          <c:val>
            <c:numRef>
              <c:f>'Tablero Feb26'!$B$108:$C$108</c:f>
              <c:numCache>
                <c:formatCode>0%</c:formatCode>
                <c:ptCount val="2"/>
                <c:pt idx="0">
                  <c:v>0.05</c:v>
                </c:pt>
                <c:pt idx="1">
                  <c:v>0.95</c:v>
                </c:pt>
              </c:numCache>
            </c:numRef>
          </c:val>
          <c:extLst>
            <c:ext xmlns:c16="http://schemas.microsoft.com/office/drawing/2014/chart" uri="{C3380CC4-5D6E-409C-BE32-E72D297353CC}">
              <c16:uniqueId val="{0000002D-4EB0-4E7F-A5F5-D1BC39C3581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Feb26'!$A$65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E56-4935-AE51-3720CD2684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56-4935-AE51-3720CD2684F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E56-4935-AE51-3720CD2684F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E56-4935-AE51-3720CD2684F6}"/>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E56-4935-AE51-3720CD2684F6}"/>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E56-4935-AE51-3720CD2684F6}"/>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E56-4935-AE51-3720CD2684F6}"/>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E56-4935-AE51-3720CD2684F6}"/>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E56-4935-AE51-3720CD2684F6}"/>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E56-4935-AE51-3720CD2684F6}"/>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E56-4935-AE51-3720CD2684F6}"/>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E56-4935-AE51-3720CD2684F6}"/>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E56-4935-AE51-3720CD2684F6}"/>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E56-4935-AE51-3720CD2684F6}"/>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E56-4935-AE51-3720CD2684F6}"/>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E56-4935-AE51-3720CD2684F6}"/>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E56-4935-AE51-3720CD2684F6}"/>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E56-4935-AE51-3720CD2684F6}"/>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E56-4935-AE51-3720CD2684F6}"/>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E56-4935-AE51-3720CD2684F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E56-4935-AE51-3720CD2684F6}"/>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Feb26'!$A$115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E56-4935-AE51-3720CD2684F6}"/>
              </c:ext>
            </c:extLst>
          </c:dPt>
          <c:dPt>
            <c:idx val="1"/>
            <c:bubble3D val="0"/>
            <c:spPr>
              <a:noFill/>
              <a:ln w="19050">
                <a:solidFill>
                  <a:schemeClr val="lt1"/>
                </a:solidFill>
              </a:ln>
              <a:effectLst/>
            </c:spPr>
            <c:extLst>
              <c:ext xmlns:c16="http://schemas.microsoft.com/office/drawing/2014/chart" uri="{C3380CC4-5D6E-409C-BE32-E72D297353CC}">
                <c16:uniqueId val="{0000002C-2E56-4935-AE51-3720CD2684F6}"/>
              </c:ext>
            </c:extLst>
          </c:dPt>
          <c:val>
            <c:numRef>
              <c:f>'Tablero Feb26'!$B$115:$C$115</c:f>
              <c:numCache>
                <c:formatCode>0%</c:formatCode>
                <c:ptCount val="2"/>
                <c:pt idx="0">
                  <c:v>0.62</c:v>
                </c:pt>
                <c:pt idx="1">
                  <c:v>1</c:v>
                </c:pt>
              </c:numCache>
            </c:numRef>
          </c:val>
          <c:extLst>
            <c:ext xmlns:c16="http://schemas.microsoft.com/office/drawing/2014/chart" uri="{C3380CC4-5D6E-409C-BE32-E72D297353CC}">
              <c16:uniqueId val="{0000002D-2E56-4935-AE51-3720CD2684F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FE2-42B2-BA34-21951FFA8E3C}"/>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FE2-42B2-BA34-21951FFA8E3C}"/>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FE2-42B2-BA34-21951FFA8E3C}"/>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FE2-42B2-BA34-21951FFA8E3C}"/>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FE2-42B2-BA34-21951FFA8E3C}"/>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FE2-42B2-BA34-21951FFA8E3C}"/>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FE2-42B2-BA34-21951FFA8E3C}"/>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FE2-42B2-BA34-21951FFA8E3C}"/>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FE2-42B2-BA34-21951FFA8E3C}"/>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FE2-42B2-BA34-21951FFA8E3C}"/>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FE2-42B2-BA34-21951FFA8E3C}"/>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FE2-42B2-BA34-21951FFA8E3C}"/>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FE2-42B2-BA34-21951FFA8E3C}"/>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FE2-42B2-BA34-21951FFA8E3C}"/>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FE2-42B2-BA34-21951FFA8E3C}"/>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FE2-42B2-BA34-21951FFA8E3C}"/>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FE2-42B2-BA34-21951FFA8E3C}"/>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FE2-42B2-BA34-21951FFA8E3C}"/>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FE2-42B2-BA34-21951FFA8E3C}"/>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FE2-42B2-BA34-21951FFA8E3C}"/>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FE2-42B2-BA34-21951FFA8E3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Feb26'!$A$109</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FE2-42B2-BA34-21951FFA8E3C}"/>
              </c:ext>
            </c:extLst>
          </c:dPt>
          <c:dPt>
            <c:idx val="1"/>
            <c:bubble3D val="0"/>
            <c:spPr>
              <a:noFill/>
              <a:ln w="19050">
                <a:solidFill>
                  <a:schemeClr val="lt1"/>
                </a:solidFill>
              </a:ln>
              <a:effectLst/>
            </c:spPr>
            <c:extLst>
              <c:ext xmlns:c16="http://schemas.microsoft.com/office/drawing/2014/chart" uri="{C3380CC4-5D6E-409C-BE32-E72D297353CC}">
                <c16:uniqueId val="{0000002C-2FE2-42B2-BA34-21951FFA8E3C}"/>
              </c:ext>
            </c:extLst>
          </c:dPt>
          <c:val>
            <c:numRef>
              <c:f>'Tablero Feb26'!$B$109:$C$109</c:f>
              <c:numCache>
                <c:formatCode>0%</c:formatCode>
                <c:ptCount val="2"/>
                <c:pt idx="0">
                  <c:v>0.25</c:v>
                </c:pt>
                <c:pt idx="1">
                  <c:v>0.75</c:v>
                </c:pt>
              </c:numCache>
            </c:numRef>
          </c:val>
          <c:extLst>
            <c:ext xmlns:c16="http://schemas.microsoft.com/office/drawing/2014/chart" uri="{C3380CC4-5D6E-409C-BE32-E72D297353CC}">
              <c16:uniqueId val="{0000002D-2FE2-42B2-BA34-21951FFA8E3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Feb26'!$A$65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FD7-42D3-A804-55F75F0B447D}"/>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FD7-42D3-A804-55F75F0B447D}"/>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FD7-42D3-A804-55F75F0B447D}"/>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FD7-42D3-A804-55F75F0B447D}"/>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FD7-42D3-A804-55F75F0B447D}"/>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FD7-42D3-A804-55F75F0B447D}"/>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FD7-42D3-A804-55F75F0B447D}"/>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FD7-42D3-A804-55F75F0B447D}"/>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FD7-42D3-A804-55F75F0B447D}"/>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FD7-42D3-A804-55F75F0B447D}"/>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FD7-42D3-A804-55F75F0B447D}"/>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FD7-42D3-A804-55F75F0B447D}"/>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FD7-42D3-A804-55F75F0B447D}"/>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FD7-42D3-A804-55F75F0B447D}"/>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FD7-42D3-A804-55F75F0B447D}"/>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FD7-42D3-A804-55F75F0B447D}"/>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FD7-42D3-A804-55F75F0B447D}"/>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FD7-42D3-A804-55F75F0B447D}"/>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FD7-42D3-A804-55F75F0B447D}"/>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FD7-42D3-A804-55F75F0B447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FD7-42D3-A804-55F75F0B447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Tablero!#REF!</c:f>
              <c:strCache>
                <c:ptCount val="1"/>
                <c:pt idx="0">
                  <c:v>#REF!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5FD7-42D3-A804-55F75F0B447D}"/>
              </c:ext>
            </c:extLst>
          </c:dPt>
          <c:val>
            <c:numRef>
              <c:f>Tablero!#REF!</c:f>
              <c:numCache>
                <c:formatCode>General</c:formatCode>
                <c:ptCount val="1"/>
                <c:pt idx="0">
                  <c:v>1</c:v>
                </c:pt>
              </c:numCache>
            </c:numRef>
          </c:val>
          <c:extLst>
            <c:ext xmlns:c16="http://schemas.microsoft.com/office/drawing/2014/chart" uri="{C3380CC4-5D6E-409C-BE32-E72D297353CC}">
              <c16:uniqueId val="{0000002B-5FD7-42D3-A804-55F75F0B447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720A-4EEB-97FD-E336A1491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0A-4EEB-97FD-E336A14915B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20A-4EEB-97FD-E336A14915B3}"/>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720A-4EEB-97FD-E336A14915B3}"/>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720A-4EEB-97FD-E336A14915B3}"/>
              </c:ext>
            </c:extLst>
          </c:dPt>
          <c:dPt>
            <c:idx val="5"/>
            <c:bubble3D val="0"/>
            <c:spPr>
              <a:noFill/>
              <a:ln w="19050">
                <a:solidFill>
                  <a:schemeClr val="lt1"/>
                </a:solidFill>
              </a:ln>
              <a:effectLst/>
            </c:spPr>
            <c:extLst>
              <c:ext xmlns:c16="http://schemas.microsoft.com/office/drawing/2014/chart" uri="{C3380CC4-5D6E-409C-BE32-E72D297353CC}">
                <c16:uniqueId val="{0000000B-720A-4EEB-97FD-E336A14915B3}"/>
              </c:ext>
            </c:extLst>
          </c:dPt>
          <c:val>
            <c:numRef>
              <c:f>'Tablero Feb26'!$F$64:$F$69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720A-4EEB-97FD-E336A14915B3}"/>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720A-4EEB-97FD-E336A14915B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720A-4EEB-97FD-E336A14915B3}"/>
              </c:ext>
            </c:extLst>
          </c:dPt>
          <c:dPt>
            <c:idx val="2"/>
            <c:bubble3D val="0"/>
            <c:spPr>
              <a:noFill/>
              <a:ln w="19050">
                <a:solidFill>
                  <a:schemeClr val="lt1"/>
                </a:solidFill>
              </a:ln>
              <a:effectLst/>
            </c:spPr>
            <c:extLst>
              <c:ext xmlns:c16="http://schemas.microsoft.com/office/drawing/2014/chart" uri="{C3380CC4-5D6E-409C-BE32-E72D297353CC}">
                <c16:uniqueId val="{00000012-720A-4EEB-97FD-E336A14915B3}"/>
              </c:ext>
            </c:extLst>
          </c:dPt>
          <c:val>
            <c:numRef>
              <c:f>'Tablero Feb26'!$F$87:$F$89</c:f>
              <c:numCache>
                <c:formatCode>General</c:formatCode>
                <c:ptCount val="3"/>
                <c:pt idx="0">
                  <c:v>90.5</c:v>
                </c:pt>
                <c:pt idx="1">
                  <c:v>3</c:v>
                </c:pt>
                <c:pt idx="2">
                  <c:v>106.5</c:v>
                </c:pt>
              </c:numCache>
            </c:numRef>
          </c:val>
          <c:extLst>
            <c:ext xmlns:c16="http://schemas.microsoft.com/office/drawing/2014/chart" uri="{C3380CC4-5D6E-409C-BE32-E72D297353CC}">
              <c16:uniqueId val="{00000013-720A-4EEB-97FD-E336A14915B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7298-492E-9EF4-8C21C51FCA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8-492E-9EF4-8C21C51FCA4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298-492E-9EF4-8C21C51FCA4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7298-492E-9EF4-8C21C51FCA42}"/>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7298-492E-9EF4-8C21C51FCA42}"/>
              </c:ext>
            </c:extLst>
          </c:dPt>
          <c:dPt>
            <c:idx val="5"/>
            <c:bubble3D val="0"/>
            <c:spPr>
              <a:noFill/>
              <a:ln w="19050">
                <a:solidFill>
                  <a:schemeClr val="lt1"/>
                </a:solidFill>
              </a:ln>
              <a:effectLst/>
            </c:spPr>
            <c:extLst>
              <c:ext xmlns:c16="http://schemas.microsoft.com/office/drawing/2014/chart" uri="{C3380CC4-5D6E-409C-BE32-E72D297353CC}">
                <c16:uniqueId val="{0000000B-7298-492E-9EF4-8C21C51FCA42}"/>
              </c:ext>
            </c:extLst>
          </c:dPt>
          <c:val>
            <c:numRef>
              <c:f>'Tablero Feb26'!$F$64:$F$69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7298-492E-9EF4-8C21C51FCA42}"/>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7298-492E-9EF4-8C21C51FCA4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7298-492E-9EF4-8C21C51FCA42}"/>
              </c:ext>
            </c:extLst>
          </c:dPt>
          <c:dPt>
            <c:idx val="2"/>
            <c:bubble3D val="0"/>
            <c:spPr>
              <a:noFill/>
              <a:ln w="19050">
                <a:solidFill>
                  <a:schemeClr val="lt1"/>
                </a:solidFill>
              </a:ln>
              <a:effectLst/>
            </c:spPr>
            <c:extLst>
              <c:ext xmlns:c16="http://schemas.microsoft.com/office/drawing/2014/chart" uri="{C3380CC4-5D6E-409C-BE32-E72D297353CC}">
                <c16:uniqueId val="{00000012-7298-492E-9EF4-8C21C51FCA42}"/>
              </c:ext>
            </c:extLst>
          </c:dPt>
          <c:val>
            <c:numRef>
              <c:f>'Tablero Feb26'!$F$101:$F$103</c:f>
              <c:numCache>
                <c:formatCode>General</c:formatCode>
                <c:ptCount val="3"/>
                <c:pt idx="0">
                  <c:v>52.5</c:v>
                </c:pt>
                <c:pt idx="1">
                  <c:v>3</c:v>
                </c:pt>
                <c:pt idx="2">
                  <c:v>144.5</c:v>
                </c:pt>
              </c:numCache>
            </c:numRef>
          </c:val>
          <c:extLst>
            <c:ext xmlns:c16="http://schemas.microsoft.com/office/drawing/2014/chart" uri="{C3380CC4-5D6E-409C-BE32-E72D297353CC}">
              <c16:uniqueId val="{00000013-7298-492E-9EF4-8C21C51FCA4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B28B-491B-B426-13509D0A92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8B-491B-B426-13509D0A926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B28B-491B-B426-13509D0A9263}"/>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B28B-491B-B426-13509D0A9263}"/>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B28B-491B-B426-13509D0A9263}"/>
              </c:ext>
            </c:extLst>
          </c:dPt>
          <c:dPt>
            <c:idx val="5"/>
            <c:bubble3D val="0"/>
            <c:spPr>
              <a:noFill/>
              <a:ln w="19050">
                <a:solidFill>
                  <a:schemeClr val="lt1"/>
                </a:solidFill>
              </a:ln>
              <a:effectLst/>
            </c:spPr>
            <c:extLst>
              <c:ext xmlns:c16="http://schemas.microsoft.com/office/drawing/2014/chart" uri="{C3380CC4-5D6E-409C-BE32-E72D297353CC}">
                <c16:uniqueId val="{0000000B-B28B-491B-B426-13509D0A9263}"/>
              </c:ext>
            </c:extLst>
          </c:dPt>
          <c:val>
            <c:numRef>
              <c:f>'Tablero Feb26'!$F$64:$F$69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B28B-491B-B426-13509D0A9263}"/>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B28B-491B-B426-13509D0A926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B28B-491B-B426-13509D0A9263}"/>
              </c:ext>
            </c:extLst>
          </c:dPt>
          <c:dPt>
            <c:idx val="2"/>
            <c:bubble3D val="0"/>
            <c:spPr>
              <a:noFill/>
              <a:ln w="19050">
                <a:solidFill>
                  <a:schemeClr val="lt1"/>
                </a:solidFill>
              </a:ln>
              <a:effectLst/>
            </c:spPr>
            <c:extLst>
              <c:ext xmlns:c16="http://schemas.microsoft.com/office/drawing/2014/chart" uri="{C3380CC4-5D6E-409C-BE32-E72D297353CC}">
                <c16:uniqueId val="{00000012-B28B-491B-B426-13509D0A9263}"/>
              </c:ext>
            </c:extLst>
          </c:dPt>
          <c:val>
            <c:numRef>
              <c:f>'Tablero Feb26'!$F$115:$F$117</c:f>
              <c:numCache>
                <c:formatCode>General</c:formatCode>
                <c:ptCount val="3"/>
                <c:pt idx="0">
                  <c:v>49.5</c:v>
                </c:pt>
                <c:pt idx="1">
                  <c:v>3</c:v>
                </c:pt>
                <c:pt idx="2">
                  <c:v>147.5</c:v>
                </c:pt>
              </c:numCache>
            </c:numRef>
          </c:val>
          <c:extLst>
            <c:ext xmlns:c16="http://schemas.microsoft.com/office/drawing/2014/chart" uri="{C3380CC4-5D6E-409C-BE32-E72D297353CC}">
              <c16:uniqueId val="{00000013-B28B-491B-B426-13509D0A926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Feb26!TablaDinámica1</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'Tablero Feb26'!$AK$18</c:f>
              <c:strCache>
                <c:ptCount val="1"/>
                <c:pt idx="0">
                  <c:v>Suma de INCIDENCIA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'Tablero Feb26'!$AJ$19:$AJ$35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Feb26'!$AK$19:$AK$35</c:f>
              <c:numCache>
                <c:formatCode>0%</c:formatCode>
                <c:ptCount val="13"/>
                <c:pt idx="0">
                  <c:v>0.7</c:v>
                </c:pt>
                <c:pt idx="1">
                  <c:v>0.25</c:v>
                </c:pt>
                <c:pt idx="2">
                  <c:v>0.05</c:v>
                </c:pt>
                <c:pt idx="3">
                  <c:v>0.7</c:v>
                </c:pt>
                <c:pt idx="4">
                  <c:v>0.25</c:v>
                </c:pt>
                <c:pt idx="5">
                  <c:v>0.05</c:v>
                </c:pt>
                <c:pt idx="6">
                  <c:v>0.3</c:v>
                </c:pt>
                <c:pt idx="7">
                  <c:v>0.1</c:v>
                </c:pt>
                <c:pt idx="8">
                  <c:v>0.3</c:v>
                </c:pt>
                <c:pt idx="9">
                  <c:v>0.3</c:v>
                </c:pt>
                <c:pt idx="10">
                  <c:v>0.7</c:v>
                </c:pt>
                <c:pt idx="11">
                  <c:v>0.25</c:v>
                </c:pt>
                <c:pt idx="12">
                  <c:v>0.05</c:v>
                </c:pt>
              </c:numCache>
            </c:numRef>
          </c:val>
          <c:smooth val="0"/>
          <c:extLst>
            <c:ext xmlns:c16="http://schemas.microsoft.com/office/drawing/2014/chart" uri="{C3380CC4-5D6E-409C-BE32-E72D297353CC}">
              <c16:uniqueId val="{00000000-58D9-47A4-A8F5-312239BC5C6A}"/>
            </c:ext>
          </c:extLst>
        </c:ser>
        <c:ser>
          <c:idx val="1"/>
          <c:order val="1"/>
          <c:tx>
            <c:strRef>
              <c:f>'Tablero Feb26'!$AL$18</c:f>
              <c:strCache>
                <c:ptCount val="1"/>
                <c:pt idx="0">
                  <c:v>Suma de CALIFICACIÓN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'Tablero Feb26'!$AJ$19:$AJ$35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Feb26'!$AL$19:$AL$35</c:f>
              <c:numCache>
                <c:formatCode>0%</c:formatCode>
                <c:ptCount val="13"/>
                <c:pt idx="0">
                  <c:v>0.49</c:v>
                </c:pt>
                <c:pt idx="1">
                  <c:v>0</c:v>
                </c:pt>
                <c:pt idx="2">
                  <c:v>0.05</c:v>
                </c:pt>
                <c:pt idx="3">
                  <c:v>0.31</c:v>
                </c:pt>
                <c:pt idx="4">
                  <c:v>0.16</c:v>
                </c:pt>
                <c:pt idx="5">
                  <c:v>0.04</c:v>
                </c:pt>
                <c:pt idx="6">
                  <c:v>0.21</c:v>
                </c:pt>
                <c:pt idx="7">
                  <c:v>0.09</c:v>
                </c:pt>
                <c:pt idx="8">
                  <c:v>0.23</c:v>
                </c:pt>
                <c:pt idx="9">
                  <c:v>0.19</c:v>
                </c:pt>
                <c:pt idx="10">
                  <c:v>0.64</c:v>
                </c:pt>
                <c:pt idx="11">
                  <c:v>0.24</c:v>
                </c:pt>
                <c:pt idx="12">
                  <c:v>0.05</c:v>
                </c:pt>
              </c:numCache>
            </c:numRef>
          </c:val>
          <c:smooth val="0"/>
          <c:extLst>
            <c:ext xmlns:c16="http://schemas.microsoft.com/office/drawing/2014/chart" uri="{C3380CC4-5D6E-409C-BE32-E72D297353CC}">
              <c16:uniqueId val="{00000001-58D9-47A4-A8F5-312239BC5C6A}"/>
            </c:ext>
          </c:extLst>
        </c:ser>
        <c:dLbls>
          <c:showLegendKey val="0"/>
          <c:showVal val="0"/>
          <c:showCatName val="0"/>
          <c:showSerName val="0"/>
          <c:showPercent val="0"/>
          <c:showBubbleSize val="0"/>
        </c:dLbls>
        <c:marker val="1"/>
        <c:smooth val="0"/>
        <c:axId val="523912880"/>
        <c:axId val="523911440"/>
      </c:lineChart>
      <c:catAx>
        <c:axId val="5239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1440"/>
        <c:crosses val="autoZero"/>
        <c:auto val="1"/>
        <c:lblAlgn val="ctr"/>
        <c:lblOffset val="100"/>
        <c:noMultiLvlLbl val="0"/>
      </c:catAx>
      <c:valAx>
        <c:axId val="52391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Feb26!TablaDinámica2</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'Tablero Feb26'!$AQ$18</c:f>
              <c:strCache>
                <c:ptCount val="1"/>
                <c:pt idx="0">
                  <c:v>Suma de Agosto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Feb26'!$AQ$19:$AQ$22</c:f>
              <c:numCache>
                <c:formatCode>General</c:formatCode>
                <c:ptCount val="4"/>
                <c:pt idx="2">
                  <c:v>69</c:v>
                </c:pt>
              </c:numCache>
            </c:numRef>
          </c:val>
          <c:extLst>
            <c:ext xmlns:c16="http://schemas.microsoft.com/office/drawing/2014/chart" uri="{C3380CC4-5D6E-409C-BE32-E72D297353CC}">
              <c16:uniqueId val="{00000000-473A-4358-8A31-FE360C4304F6}"/>
            </c:ext>
          </c:extLst>
        </c:ser>
        <c:ser>
          <c:idx val="1"/>
          <c:order val="1"/>
          <c:tx>
            <c:strRef>
              <c:f>'Tablero Feb26'!$AR$18</c:f>
              <c:strCache>
                <c:ptCount val="1"/>
                <c:pt idx="0">
                  <c:v>Suma de Septiembre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Feb26'!$AR$19:$AR$22</c:f>
              <c:numCache>
                <c:formatCode>General</c:formatCode>
                <c:ptCount val="4"/>
                <c:pt idx="2">
                  <c:v>74</c:v>
                </c:pt>
              </c:numCache>
            </c:numRef>
          </c:val>
          <c:extLst>
            <c:ext xmlns:c16="http://schemas.microsoft.com/office/drawing/2014/chart" uri="{C3380CC4-5D6E-409C-BE32-E72D297353CC}">
              <c16:uniqueId val="{00000001-473A-4358-8A31-FE360C4304F6}"/>
            </c:ext>
          </c:extLst>
        </c:ser>
        <c:ser>
          <c:idx val="2"/>
          <c:order val="2"/>
          <c:tx>
            <c:strRef>
              <c:f>'Tablero Feb26'!$AS$18</c:f>
              <c:strCache>
                <c:ptCount val="1"/>
                <c:pt idx="0">
                  <c:v>Suma de Octubre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Feb26'!$AS$19:$AS$22</c:f>
              <c:numCache>
                <c:formatCode>0</c:formatCode>
                <c:ptCount val="4"/>
                <c:pt idx="0">
                  <c:v>74</c:v>
                </c:pt>
                <c:pt idx="1">
                  <c:v>57</c:v>
                </c:pt>
                <c:pt idx="2">
                  <c:v>80</c:v>
                </c:pt>
                <c:pt idx="3">
                  <c:v>68</c:v>
                </c:pt>
              </c:numCache>
            </c:numRef>
          </c:val>
          <c:extLst>
            <c:ext xmlns:c16="http://schemas.microsoft.com/office/drawing/2014/chart" uri="{C3380CC4-5D6E-409C-BE32-E72D297353CC}">
              <c16:uniqueId val="{00000002-473A-4358-8A31-FE360C4304F6}"/>
            </c:ext>
          </c:extLst>
        </c:ser>
        <c:ser>
          <c:idx val="3"/>
          <c:order val="3"/>
          <c:tx>
            <c:strRef>
              <c:f>'Tablero Feb26'!$AT$18</c:f>
              <c:strCache>
                <c:ptCount val="1"/>
                <c:pt idx="0">
                  <c:v>Suma de Noviembre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Feb26'!$AT$19:$AT$22</c:f>
              <c:numCache>
                <c:formatCode>General</c:formatCode>
                <c:ptCount val="4"/>
                <c:pt idx="0">
                  <c:v>69</c:v>
                </c:pt>
                <c:pt idx="1">
                  <c:v>88</c:v>
                </c:pt>
                <c:pt idx="2">
                  <c:v>82</c:v>
                </c:pt>
                <c:pt idx="3">
                  <c:v>76</c:v>
                </c:pt>
              </c:numCache>
            </c:numRef>
          </c:val>
          <c:extLst>
            <c:ext xmlns:c16="http://schemas.microsoft.com/office/drawing/2014/chart" uri="{C3380CC4-5D6E-409C-BE32-E72D297353CC}">
              <c16:uniqueId val="{00000003-473A-4358-8A31-FE360C4304F6}"/>
            </c:ext>
          </c:extLst>
        </c:ser>
        <c:ser>
          <c:idx val="4"/>
          <c:order val="4"/>
          <c:tx>
            <c:strRef>
              <c:f>'Tablero Feb26'!$AU$18</c:f>
              <c:strCache>
                <c:ptCount val="1"/>
                <c:pt idx="0">
                  <c:v>Suma de Diciembre-Enero</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Feb26'!$AU$19:$AU$22</c:f>
              <c:numCache>
                <c:formatCode>General</c:formatCode>
                <c:ptCount val="4"/>
                <c:pt idx="0">
                  <c:v>58</c:v>
                </c:pt>
                <c:pt idx="1">
                  <c:v>51</c:v>
                </c:pt>
                <c:pt idx="2">
                  <c:v>72</c:v>
                </c:pt>
                <c:pt idx="3">
                  <c:v>52</c:v>
                </c:pt>
              </c:numCache>
            </c:numRef>
          </c:val>
          <c:extLst>
            <c:ext xmlns:c16="http://schemas.microsoft.com/office/drawing/2014/chart" uri="{C3380CC4-5D6E-409C-BE32-E72D297353CC}">
              <c16:uniqueId val="{00000004-473A-4358-8A31-FE360C4304F6}"/>
            </c:ext>
          </c:extLst>
        </c:ser>
        <c:ser>
          <c:idx val="5"/>
          <c:order val="5"/>
          <c:tx>
            <c:strRef>
              <c:f>'Tablero Feb26'!$AV$18</c:f>
              <c:strCache>
                <c:ptCount val="1"/>
                <c:pt idx="0">
                  <c:v>Suma de Febrero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Feb26'!$AP$19:$AP$22</c:f>
              <c:strCache>
                <c:ptCount val="4"/>
                <c:pt idx="0">
                  <c:v>ASESORA COMERCIAL</c:v>
                </c:pt>
                <c:pt idx="1">
                  <c:v>ASESORA COMERCIAL ADMIN</c:v>
                </c:pt>
                <c:pt idx="2">
                  <c:v>DIRECTORA COMERCIAL</c:v>
                </c:pt>
                <c:pt idx="3">
                  <c:v>LIDER SALA DE VENTAS</c:v>
                </c:pt>
              </c:strCache>
            </c:strRef>
          </c:cat>
          <c:val>
            <c:numRef>
              <c:f>'Tablero Feb26'!$AV$19:$AV$22</c:f>
              <c:numCache>
                <c:formatCode>General</c:formatCode>
                <c:ptCount val="4"/>
                <c:pt idx="0">
                  <c:v>54</c:v>
                </c:pt>
                <c:pt idx="1">
                  <c:v>51</c:v>
                </c:pt>
                <c:pt idx="2">
                  <c:v>72</c:v>
                </c:pt>
                <c:pt idx="3">
                  <c:v>92</c:v>
                </c:pt>
              </c:numCache>
            </c:numRef>
          </c:val>
          <c:extLst>
            <c:ext xmlns:c16="http://schemas.microsoft.com/office/drawing/2014/chart" uri="{C3380CC4-5D6E-409C-BE32-E72D297353CC}">
              <c16:uniqueId val="{00000005-473A-4358-8A31-FE360C4304F6}"/>
            </c:ext>
          </c:extLst>
        </c:ser>
        <c:dLbls>
          <c:showLegendKey val="0"/>
          <c:showVal val="1"/>
          <c:showCatName val="0"/>
          <c:showSerName val="0"/>
          <c:showPercent val="0"/>
          <c:showBubbleSize val="0"/>
        </c:dLbls>
        <c:gapWidth val="150"/>
        <c:shape val="box"/>
        <c:axId val="276415696"/>
        <c:axId val="276418096"/>
        <c:axId val="0"/>
      </c:bar3DChart>
      <c:catAx>
        <c:axId val="27641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8096"/>
        <c:crosses val="autoZero"/>
        <c:auto val="1"/>
        <c:lblAlgn val="ctr"/>
        <c:lblOffset val="100"/>
        <c:noMultiLvlLbl val="0"/>
      </c:catAx>
      <c:valAx>
        <c:axId val="27641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F93-4336-A1AA-9C7E7532C9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3-4336-A1AA-9C7E7532C97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F93-4336-A1AA-9C7E7532C97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F93-4336-A1AA-9C7E7532C97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F93-4336-A1AA-9C7E7532C97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FF93-4336-A1AA-9C7E7532C97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FF93-4336-A1AA-9C7E7532C97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FF93-4336-A1AA-9C7E7532C97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FF93-4336-A1AA-9C7E7532C97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FF93-4336-A1AA-9C7E7532C97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FF93-4336-A1AA-9C7E7532C97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FF93-4336-A1AA-9C7E7532C97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F93-4336-A1AA-9C7E7532C97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FF93-4336-A1AA-9C7E7532C97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FF93-4336-A1AA-9C7E7532C97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FF93-4336-A1AA-9C7E7532C97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FF93-4336-A1AA-9C7E7532C97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FF93-4336-A1AA-9C7E7532C97F}"/>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FF93-4336-A1AA-9C7E7532C97F}"/>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FF93-4336-A1AA-9C7E7532C97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FF93-4336-A1AA-9C7E7532C97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Mar-26'!$A$88</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FF93-4336-A1AA-9C7E7532C97F}"/>
              </c:ext>
            </c:extLst>
          </c:dPt>
          <c:dPt>
            <c:idx val="1"/>
            <c:bubble3D val="0"/>
            <c:spPr>
              <a:noFill/>
              <a:ln w="19050">
                <a:solidFill>
                  <a:schemeClr val="lt1"/>
                </a:solidFill>
              </a:ln>
              <a:effectLst/>
            </c:spPr>
            <c:extLst>
              <c:ext xmlns:c16="http://schemas.microsoft.com/office/drawing/2014/chart" uri="{C3380CC4-5D6E-409C-BE32-E72D297353CC}">
                <c16:uniqueId val="{0000002C-FF93-4336-A1AA-9C7E7532C97F}"/>
              </c:ext>
            </c:extLst>
          </c:dPt>
          <c:val>
            <c:numRef>
              <c:f>'Tablero Mar-26'!$B$88:$C$88</c:f>
              <c:numCache>
                <c:formatCode>0%</c:formatCode>
                <c:ptCount val="2"/>
              </c:numCache>
            </c:numRef>
          </c:val>
          <c:extLst>
            <c:ext xmlns:c16="http://schemas.microsoft.com/office/drawing/2014/chart" uri="{C3380CC4-5D6E-409C-BE32-E72D297353CC}">
              <c16:uniqueId val="{0000002D-FF93-4336-A1AA-9C7E7532C97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B71-4D76-9D8F-F0BAF7867AB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B71-4D76-9D8F-F0BAF7867AB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B71-4D76-9D8F-F0BAF7867AB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B71-4D76-9D8F-F0BAF7867AB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B71-4D76-9D8F-F0BAF7867AB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B71-4D76-9D8F-F0BAF7867AB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B71-4D76-9D8F-F0BAF7867AB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B71-4D76-9D8F-F0BAF7867AB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B71-4D76-9D8F-F0BAF7867AB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B71-4D76-9D8F-F0BAF7867AB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B71-4D76-9D8F-F0BAF7867AB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B71-4D76-9D8F-F0BAF7867AB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B71-4D76-9D8F-F0BAF7867AB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B71-4D76-9D8F-F0BAF7867AB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B71-4D76-9D8F-F0BAF7867AB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B71-4D76-9D8F-F0BAF7867AB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B71-4D76-9D8F-F0BAF7867AB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B71-4D76-9D8F-F0BAF7867AB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B71-4D76-9D8F-F0BAF7867AB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B71-4D76-9D8F-F0BAF7867AB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B71-4D76-9D8F-F0BAF7867AB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B71-4D76-9D8F-F0BAF7867AB8}"/>
              </c:ext>
            </c:extLst>
          </c:dPt>
          <c:dPt>
            <c:idx val="1"/>
            <c:bubble3D val="0"/>
            <c:spPr>
              <a:noFill/>
              <a:ln w="19050">
                <a:solidFill>
                  <a:schemeClr val="lt1"/>
                </a:solidFill>
              </a:ln>
              <a:effectLst/>
            </c:spPr>
            <c:extLst>
              <c:ext xmlns:c16="http://schemas.microsoft.com/office/drawing/2014/chart" uri="{C3380CC4-5D6E-409C-BE32-E72D297353CC}">
                <c16:uniqueId val="{0000002C-CB71-4D76-9D8F-F0BAF7867AB8}"/>
              </c:ext>
            </c:extLst>
          </c:dPt>
          <c:val>
            <c:numRef>
              <c:f>'Tablero Mar-26'!$B$82:$C$82</c:f>
              <c:numCache>
                <c:formatCode>0%</c:formatCode>
                <c:ptCount val="2"/>
              </c:numCache>
            </c:numRef>
          </c:val>
          <c:extLst>
            <c:ext xmlns:c16="http://schemas.microsoft.com/office/drawing/2014/chart" uri="{C3380CC4-5D6E-409C-BE32-E72D297353CC}">
              <c16:uniqueId val="{0000002D-CB71-4D76-9D8F-F0BAF7867AB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6A0-4232-8A00-308CCE4DF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A0-4232-8A00-308CCE4DF73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6A0-4232-8A00-308CCE4DF73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6A0-4232-8A00-308CCE4DF73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6A0-4232-8A00-308CCE4DF73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6A0-4232-8A00-308CCE4DF73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86A0-4232-8A00-308CCE4DF73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86A0-4232-8A00-308CCE4DF73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86A0-4232-8A00-308CCE4DF73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86A0-4232-8A00-308CCE4DF73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86A0-4232-8A00-308CCE4DF73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86A0-4232-8A00-308CCE4DF73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86A0-4232-8A00-308CCE4DF73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86A0-4232-8A00-308CCE4DF73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86A0-4232-8A00-308CCE4DF73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86A0-4232-8A00-308CCE4DF73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86A0-4232-8A00-308CCE4DF73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86A0-4232-8A00-308CCE4DF73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86A0-4232-8A00-308CCE4DF73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86A0-4232-8A00-308CCE4DF73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6A0-4232-8A00-308CCE4DF73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Mar-26'!$A$116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6A0-4232-8A00-308CCE4DF73E}"/>
              </c:ext>
            </c:extLst>
          </c:dPt>
          <c:dPt>
            <c:idx val="1"/>
            <c:bubble3D val="0"/>
            <c:spPr>
              <a:noFill/>
              <a:ln w="19050">
                <a:solidFill>
                  <a:schemeClr val="lt1"/>
                </a:solidFill>
              </a:ln>
              <a:effectLst/>
            </c:spPr>
            <c:extLst>
              <c:ext xmlns:c16="http://schemas.microsoft.com/office/drawing/2014/chart" uri="{C3380CC4-5D6E-409C-BE32-E72D297353CC}">
                <c16:uniqueId val="{0000002C-86A0-4232-8A00-308CCE4DF73E}"/>
              </c:ext>
            </c:extLst>
          </c:dPt>
          <c:val>
            <c:numRef>
              <c:f>'Tablero Mar-26'!$B$116:$C$116</c:f>
              <c:numCache>
                <c:formatCode>0%</c:formatCode>
                <c:ptCount val="2"/>
              </c:numCache>
            </c:numRef>
          </c:val>
          <c:extLst>
            <c:ext xmlns:c16="http://schemas.microsoft.com/office/drawing/2014/chart" uri="{C3380CC4-5D6E-409C-BE32-E72D297353CC}">
              <c16:uniqueId val="{0000002D-86A0-4232-8A00-308CCE4DF73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1E6-4FAC-99F5-A8C6FC8C5B23}"/>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21E6-4FAC-99F5-A8C6FC8C5B2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21E6-4FAC-99F5-A8C6FC8C5B23}"/>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1E6-4FAC-99F5-A8C6FC8C5B23}"/>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21E6-4FAC-99F5-A8C6FC8C5B23}"/>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21E6-4FAC-99F5-A8C6FC8C5B23}"/>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21E6-4FAC-99F5-A8C6FC8C5B2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21E6-4FAC-99F5-A8C6FC8C5B23}"/>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21E6-4FAC-99F5-A8C6FC8C5B23}"/>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21E6-4FAC-99F5-A8C6FC8C5B23}"/>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21E6-4FAC-99F5-A8C6FC8C5B23}"/>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21E6-4FAC-99F5-A8C6FC8C5B23}"/>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21E6-4FAC-99F5-A8C6FC8C5B23}"/>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21E6-4FAC-99F5-A8C6FC8C5B23}"/>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21E6-4FAC-99F5-A8C6FC8C5B23}"/>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21E6-4FAC-99F5-A8C6FC8C5B23}"/>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21E6-4FAC-99F5-A8C6FC8C5B23}"/>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21E6-4FAC-99F5-A8C6FC8C5B23}"/>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21E6-4FAC-99F5-A8C6FC8C5B23}"/>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21E6-4FAC-99F5-A8C6FC8C5B2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1E6-4FAC-99F5-A8C6FC8C5B2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Mar-26'!$A$110</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1E6-4FAC-99F5-A8C6FC8C5B23}"/>
              </c:ext>
            </c:extLst>
          </c:dPt>
          <c:dPt>
            <c:idx val="1"/>
            <c:bubble3D val="0"/>
            <c:spPr>
              <a:noFill/>
              <a:ln w="19050">
                <a:solidFill>
                  <a:schemeClr val="lt1"/>
                </a:solidFill>
              </a:ln>
              <a:effectLst/>
            </c:spPr>
            <c:extLst>
              <c:ext xmlns:c16="http://schemas.microsoft.com/office/drawing/2014/chart" uri="{C3380CC4-5D6E-409C-BE32-E72D297353CC}">
                <c16:uniqueId val="{0000002C-21E6-4FAC-99F5-A8C6FC8C5B23}"/>
              </c:ext>
            </c:extLst>
          </c:dPt>
          <c:val>
            <c:numRef>
              <c:f>'Tablero Mar-26'!$B$110:$C$110</c:f>
              <c:numCache>
                <c:formatCode>0%</c:formatCode>
                <c:ptCount val="2"/>
              </c:numCache>
            </c:numRef>
          </c:val>
          <c:extLst>
            <c:ext xmlns:c16="http://schemas.microsoft.com/office/drawing/2014/chart" uri="{C3380CC4-5D6E-409C-BE32-E72D297353CC}">
              <c16:uniqueId val="{0000002D-21E6-4FAC-99F5-A8C6FC8C5B2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16C-497D-8CBD-10BC21650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6C-497D-8CBD-10BC2165027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16C-497D-8CBD-10BC2165027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016C-497D-8CBD-10BC2165027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16C-497D-8CBD-10BC2165027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016C-497D-8CBD-10BC2165027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016C-497D-8CBD-10BC2165027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016C-497D-8CBD-10BC2165027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016C-497D-8CBD-10BC2165027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016C-497D-8CBD-10BC2165027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016C-497D-8CBD-10BC2165027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016C-497D-8CBD-10BC2165027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016C-497D-8CBD-10BC2165027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016C-497D-8CBD-10BC2165027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016C-497D-8CBD-10BC2165027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016C-497D-8CBD-10BC2165027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016C-497D-8CBD-10BC2165027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016C-497D-8CBD-10BC2165027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016C-497D-8CBD-10BC2165027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016C-497D-8CBD-10BC2165027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16C-497D-8CBD-10BC2165027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Mar-26'!$A$114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16C-497D-8CBD-10BC21650273}"/>
              </c:ext>
            </c:extLst>
          </c:dPt>
          <c:dPt>
            <c:idx val="1"/>
            <c:bubble3D val="0"/>
            <c:spPr>
              <a:noFill/>
              <a:ln w="19050">
                <a:solidFill>
                  <a:schemeClr val="lt1"/>
                </a:solidFill>
              </a:ln>
              <a:effectLst/>
            </c:spPr>
            <c:extLst>
              <c:ext xmlns:c16="http://schemas.microsoft.com/office/drawing/2014/chart" uri="{C3380CC4-5D6E-409C-BE32-E72D297353CC}">
                <c16:uniqueId val="{0000002C-016C-497D-8CBD-10BC21650273}"/>
              </c:ext>
            </c:extLst>
          </c:dPt>
          <c:val>
            <c:numRef>
              <c:f>'Tablero Mar-26'!$B$114:$C$114</c:f>
              <c:numCache>
                <c:formatCode>0%</c:formatCode>
                <c:ptCount val="2"/>
                <c:pt idx="0">
                  <c:v>0</c:v>
                </c:pt>
                <c:pt idx="1">
                  <c:v>0.12</c:v>
                </c:pt>
              </c:numCache>
            </c:numRef>
          </c:val>
          <c:extLst>
            <c:ext xmlns:c16="http://schemas.microsoft.com/office/drawing/2014/chart" uri="{C3380CC4-5D6E-409C-BE32-E72D297353CC}">
              <c16:uniqueId val="{0000002D-016C-497D-8CBD-10BC2165027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E3C-426A-B8B8-FFAF585276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3C-426A-B8B8-FFAF585276F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E3C-426A-B8B8-FFAF585276F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E3C-426A-B8B8-FFAF585276F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E3C-426A-B8B8-FFAF585276F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E3C-426A-B8B8-FFAF585276F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8E3C-426A-B8B8-FFAF585276F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8E3C-426A-B8B8-FFAF585276F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8E3C-426A-B8B8-FFAF585276F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8E3C-426A-B8B8-FFAF585276F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8E3C-426A-B8B8-FFAF585276F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8E3C-426A-B8B8-FFAF585276F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8E3C-426A-B8B8-FFAF585276F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8E3C-426A-B8B8-FFAF585276F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8E3C-426A-B8B8-FFAF585276F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8E3C-426A-B8B8-FFAF585276F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8E3C-426A-B8B8-FFAF585276F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8E3C-426A-B8B8-FFAF585276F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8E3C-426A-B8B8-FFAF585276F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8E3C-426A-B8B8-FFAF585276F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E3C-426A-B8B8-FFAF585276F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Mar-26'!$A$102</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E3C-426A-B8B8-FFAF585276FE}"/>
              </c:ext>
            </c:extLst>
          </c:dPt>
          <c:dPt>
            <c:idx val="1"/>
            <c:bubble3D val="0"/>
            <c:spPr>
              <a:noFill/>
              <a:ln w="19050">
                <a:solidFill>
                  <a:schemeClr val="lt1"/>
                </a:solidFill>
              </a:ln>
              <a:effectLst/>
            </c:spPr>
            <c:extLst>
              <c:ext xmlns:c16="http://schemas.microsoft.com/office/drawing/2014/chart" uri="{C3380CC4-5D6E-409C-BE32-E72D297353CC}">
                <c16:uniqueId val="{0000002C-8E3C-426A-B8B8-FFAF585276FE}"/>
              </c:ext>
            </c:extLst>
          </c:dPt>
          <c:val>
            <c:numRef>
              <c:f>'Tablero Mar-26'!$B$102:$C$102</c:f>
              <c:numCache>
                <c:formatCode>0%</c:formatCode>
                <c:ptCount val="2"/>
                <c:pt idx="0">
                  <c:v>0</c:v>
                </c:pt>
                <c:pt idx="1">
                  <c:v>0</c:v>
                </c:pt>
              </c:numCache>
            </c:numRef>
          </c:val>
          <c:extLst>
            <c:ext xmlns:c16="http://schemas.microsoft.com/office/drawing/2014/chart" uri="{C3380CC4-5D6E-409C-BE32-E72D297353CC}">
              <c16:uniqueId val="{0000002D-8E3C-426A-B8B8-FFAF585276F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310-490F-9CE2-C23B60DB40C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310-490F-9CE2-C23B60DB40C4}"/>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310-490F-9CE2-C23B60DB40C4}"/>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310-490F-9CE2-C23B60DB40C4}"/>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310-490F-9CE2-C23B60DB40C4}"/>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310-490F-9CE2-C23B60DB40C4}"/>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310-490F-9CE2-C23B60DB40C4}"/>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310-490F-9CE2-C23B60DB40C4}"/>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310-490F-9CE2-C23B60DB40C4}"/>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310-490F-9CE2-C23B60DB40C4}"/>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310-490F-9CE2-C23B60DB40C4}"/>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310-490F-9CE2-C23B60DB40C4}"/>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310-490F-9CE2-C23B60DB40C4}"/>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310-490F-9CE2-C23B60DB40C4}"/>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310-490F-9CE2-C23B60DB40C4}"/>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310-490F-9CE2-C23B60DB40C4}"/>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310-490F-9CE2-C23B60DB40C4}"/>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310-490F-9CE2-C23B60DB40C4}"/>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310-490F-9CE2-C23B60DB40C4}"/>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310-490F-9CE2-C23B60DB40C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310-490F-9CE2-C23B60DB40C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Mar-26'!$A$96</c:f>
              <c:strCache>
                <c:ptCount val="1"/>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310-490F-9CE2-C23B60DB40C4}"/>
              </c:ext>
            </c:extLst>
          </c:dPt>
          <c:dPt>
            <c:idx val="1"/>
            <c:bubble3D val="0"/>
            <c:spPr>
              <a:noFill/>
              <a:ln w="19050">
                <a:solidFill>
                  <a:schemeClr val="lt1"/>
                </a:solidFill>
              </a:ln>
              <a:effectLst/>
            </c:spPr>
            <c:extLst>
              <c:ext xmlns:c16="http://schemas.microsoft.com/office/drawing/2014/chart" uri="{C3380CC4-5D6E-409C-BE32-E72D297353CC}">
                <c16:uniqueId val="{0000002C-4310-490F-9CE2-C23B60DB40C4}"/>
              </c:ext>
            </c:extLst>
          </c:dPt>
          <c:val>
            <c:numRef>
              <c:f>'Tablero Mar-26'!$B$96:$C$96</c:f>
              <c:numCache>
                <c:formatCode>0%</c:formatCode>
                <c:ptCount val="2"/>
              </c:numCache>
            </c:numRef>
          </c:val>
          <c:extLst>
            <c:ext xmlns:c16="http://schemas.microsoft.com/office/drawing/2014/chart" uri="{C3380CC4-5D6E-409C-BE32-E72D297353CC}">
              <c16:uniqueId val="{0000002D-4310-490F-9CE2-C23B60DB40C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40C-467B-BCBA-0A7ECB2826D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40C-467B-BCBA-0A7ECB2826D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40C-467B-BCBA-0A7ECB2826D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40C-467B-BCBA-0A7ECB2826D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40C-467B-BCBA-0A7ECB2826D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40C-467B-BCBA-0A7ECB2826D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40C-467B-BCBA-0A7ECB2826D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40C-467B-BCBA-0A7ECB2826D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40C-467B-BCBA-0A7ECB2826D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40C-467B-BCBA-0A7ECB2826D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40C-467B-BCBA-0A7ECB2826D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40C-467B-BCBA-0A7ECB2826D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40C-467B-BCBA-0A7ECB2826D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40C-467B-BCBA-0A7ECB2826D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40C-467B-BCBA-0A7ECB2826D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40C-467B-BCBA-0A7ECB2826D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40C-467B-BCBA-0A7ECB2826D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40C-467B-BCBA-0A7ECB2826D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40C-467B-BCBA-0A7ECB2826D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40C-467B-BCBA-0A7ECB2826D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40C-467B-BCBA-0A7ECB2826D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Mar-26'!$A$65</c:f>
              <c:strCache>
                <c:ptCount val="1"/>
                <c:pt idx="0">
                  <c:v>Estrategia y Planificación Comercial</c:v>
                </c:pt>
              </c:strCache>
            </c:strRef>
          </c:tx>
          <c:dPt>
            <c:idx val="0"/>
            <c:bubble3D val="0"/>
            <c:spPr>
              <a:solidFill>
                <a:schemeClr val="bg1">
                  <a:alpha val="58000"/>
                </a:schemeClr>
              </a:solidFill>
              <a:ln w="19050">
                <a:solidFill>
                  <a:schemeClr val="lt1"/>
                </a:solidFill>
              </a:ln>
              <a:effectLst/>
            </c:spPr>
            <c:extLst>
              <c:ext xmlns:c16="http://schemas.microsoft.com/office/drawing/2014/chart" uri="{C3380CC4-5D6E-409C-BE32-E72D297353CC}">
                <c16:uniqueId val="{0000002A-040C-467B-BCBA-0A7ECB2826D2}"/>
              </c:ext>
            </c:extLst>
          </c:dPt>
          <c:dPt>
            <c:idx val="1"/>
            <c:bubble3D val="0"/>
            <c:spPr>
              <a:noFill/>
              <a:ln w="19050">
                <a:solidFill>
                  <a:schemeClr val="lt1"/>
                </a:solidFill>
              </a:ln>
              <a:effectLst/>
            </c:spPr>
            <c:extLst>
              <c:ext xmlns:c16="http://schemas.microsoft.com/office/drawing/2014/chart" uri="{C3380CC4-5D6E-409C-BE32-E72D297353CC}">
                <c16:uniqueId val="{0000002C-040C-467B-BCBA-0A7ECB2826D2}"/>
              </c:ext>
            </c:extLst>
          </c:dPt>
          <c:val>
            <c:numRef>
              <c:f>'Tablero Mar-26'!$B$65:$C$65</c:f>
              <c:numCache>
                <c:formatCode>0%</c:formatCode>
                <c:ptCount val="2"/>
                <c:pt idx="0">
                  <c:v>0.3</c:v>
                </c:pt>
                <c:pt idx="1">
                  <c:v>0.7</c:v>
                </c:pt>
              </c:numCache>
            </c:numRef>
          </c:val>
          <c:extLst>
            <c:ext xmlns:c16="http://schemas.microsoft.com/office/drawing/2014/chart" uri="{C3380CC4-5D6E-409C-BE32-E72D297353CC}">
              <c16:uniqueId val="{0000002D-040C-467B-BCBA-0A7ECB2826D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304-4A11-8FC3-05C14E150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04-4A11-8FC3-05C14E15098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304-4A11-8FC3-05C14E15098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1304-4A11-8FC3-05C14E15098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1304-4A11-8FC3-05C14E15098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1304-4A11-8FC3-05C14E15098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304-4A11-8FC3-05C14E15098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304-4A11-8FC3-05C14E15098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1304-4A11-8FC3-05C14E15098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1304-4A11-8FC3-05C14E15098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1304-4A11-8FC3-05C14E15098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1304-4A11-8FC3-05C14E15098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1304-4A11-8FC3-05C14E15098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1304-4A11-8FC3-05C14E15098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1304-4A11-8FC3-05C14E15098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1304-4A11-8FC3-05C14E15098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1304-4A11-8FC3-05C14E15098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1304-4A11-8FC3-05C14E15098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1304-4A11-8FC3-05C14E15098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1304-4A11-8FC3-05C14E15098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1304-4A11-8FC3-05C14E15098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Mar-26'!$A$71</c:f>
              <c:strCache>
                <c:ptCount val="1"/>
                <c:pt idx="0">
                  <c:v>Estrategia y Planificación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1304-4A11-8FC3-05C14E15098E}"/>
              </c:ext>
            </c:extLst>
          </c:dPt>
          <c:dPt>
            <c:idx val="1"/>
            <c:bubble3D val="0"/>
            <c:spPr>
              <a:noFill/>
              <a:ln w="19050">
                <a:solidFill>
                  <a:schemeClr val="lt1"/>
                </a:solidFill>
              </a:ln>
              <a:effectLst/>
            </c:spPr>
            <c:extLst>
              <c:ext xmlns:c16="http://schemas.microsoft.com/office/drawing/2014/chart" uri="{C3380CC4-5D6E-409C-BE32-E72D297353CC}">
                <c16:uniqueId val="{0000002C-1304-4A11-8FC3-05C14E15098E}"/>
              </c:ext>
            </c:extLst>
          </c:dPt>
          <c:val>
            <c:numRef>
              <c:f>'Tablero Mar-26'!$B$71:$C$71</c:f>
              <c:numCache>
                <c:formatCode>0%</c:formatCode>
                <c:ptCount val="2"/>
                <c:pt idx="0">
                  <c:v>0.74</c:v>
                </c:pt>
                <c:pt idx="1">
                  <c:v>0.26</c:v>
                </c:pt>
              </c:numCache>
            </c:numRef>
          </c:val>
          <c:extLst>
            <c:ext xmlns:c16="http://schemas.microsoft.com/office/drawing/2014/chart" uri="{C3380CC4-5D6E-409C-BE32-E72D297353CC}">
              <c16:uniqueId val="{0000002D-1304-4A11-8FC3-05C14E15098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C2F-4E51-B01E-C74D0555D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2F-4E51-B01E-C74D0555D56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C2F-4E51-B01E-C74D0555D56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C2F-4E51-B01E-C74D0555D56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2C2F-4E51-B01E-C74D0555D56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2C2F-4E51-B01E-C74D0555D56E}"/>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2C2F-4E51-B01E-C74D0555D56E}"/>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2C2F-4E51-B01E-C74D0555D56E}"/>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2C2F-4E51-B01E-C74D0555D56E}"/>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2C2F-4E51-B01E-C74D0555D56E}"/>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2C2F-4E51-B01E-C74D0555D56E}"/>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2C2F-4E51-B01E-C74D0555D56E}"/>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2C2F-4E51-B01E-C74D0555D56E}"/>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2C2F-4E51-B01E-C74D0555D56E}"/>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2C2F-4E51-B01E-C74D0555D56E}"/>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2C2F-4E51-B01E-C74D0555D56E}"/>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2C2F-4E51-B01E-C74D0555D56E}"/>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2C2F-4E51-B01E-C74D0555D56E}"/>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2C2F-4E51-B01E-C74D0555D56E}"/>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2C2F-4E51-B01E-C74D0555D56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2C2F-4E51-B01E-C74D0555D56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Mar-26'!$A$72</c:f>
              <c:strCache>
                <c:ptCount val="1"/>
                <c:pt idx="0">
                  <c:v>Liderazgo y Gestión del Equipo Comercial</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2C2F-4E51-B01E-C74D0555D56E}"/>
              </c:ext>
            </c:extLst>
          </c:dPt>
          <c:dPt>
            <c:idx val="1"/>
            <c:bubble3D val="0"/>
            <c:spPr>
              <a:noFill/>
              <a:ln w="19050">
                <a:solidFill>
                  <a:schemeClr val="lt1"/>
                </a:solidFill>
              </a:ln>
              <a:effectLst/>
            </c:spPr>
            <c:extLst>
              <c:ext xmlns:c16="http://schemas.microsoft.com/office/drawing/2014/chart" uri="{C3380CC4-5D6E-409C-BE32-E72D297353CC}">
                <c16:uniqueId val="{0000002C-2C2F-4E51-B01E-C74D0555D56E}"/>
              </c:ext>
            </c:extLst>
          </c:dPt>
          <c:val>
            <c:numRef>
              <c:f>'Tablero Mar-26'!$B$72:$C$72</c:f>
              <c:numCache>
                <c:formatCode>0%</c:formatCode>
                <c:ptCount val="2"/>
                <c:pt idx="0">
                  <c:v>0.83</c:v>
                </c:pt>
                <c:pt idx="1">
                  <c:v>0.17</c:v>
                </c:pt>
              </c:numCache>
            </c:numRef>
          </c:val>
          <c:extLst>
            <c:ext xmlns:c16="http://schemas.microsoft.com/office/drawing/2014/chart" uri="{C3380CC4-5D6E-409C-BE32-E72D297353CC}">
              <c16:uniqueId val="{0000002D-2C2F-4E51-B01E-C74D0555D56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5F4-422B-951D-47DBF4D6DFE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05F4-422B-951D-47DBF4D6DFE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05F4-422B-951D-47DBF4D6DFE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05F4-422B-951D-47DBF4D6DFE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05F4-422B-951D-47DBF4D6DFE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05F4-422B-951D-47DBF4D6DFE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05F4-422B-951D-47DBF4D6DFE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5F4-422B-951D-47DBF4D6DFE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05F4-422B-951D-47DBF4D6DFE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05F4-422B-951D-47DBF4D6DFE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05F4-422B-951D-47DBF4D6DFE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05F4-422B-951D-47DBF4D6DFE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05F4-422B-951D-47DBF4D6DFE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05F4-422B-951D-47DBF4D6DFE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05F4-422B-951D-47DBF4D6DFE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05F4-422B-951D-47DBF4D6DFE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05F4-422B-951D-47DBF4D6DFE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05F4-422B-951D-47DBF4D6DFE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05F4-422B-951D-47DBF4D6DFE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05F4-422B-951D-47DBF4D6DFE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05F4-422B-951D-47DBF4D6DFE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Mar-26'!$A$66</c:f>
              <c:strCache>
                <c:ptCount val="1"/>
                <c:pt idx="0">
                  <c:v>Liderazgo y Gestión del Equipo Comercial</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05F4-422B-951D-47DBF4D6DFE0}"/>
              </c:ext>
            </c:extLst>
          </c:dPt>
          <c:dPt>
            <c:idx val="1"/>
            <c:bubble3D val="0"/>
            <c:spPr>
              <a:noFill/>
              <a:ln w="19050">
                <a:solidFill>
                  <a:schemeClr val="lt1"/>
                </a:solidFill>
              </a:ln>
              <a:effectLst/>
            </c:spPr>
            <c:extLst>
              <c:ext xmlns:c16="http://schemas.microsoft.com/office/drawing/2014/chart" uri="{C3380CC4-5D6E-409C-BE32-E72D297353CC}">
                <c16:uniqueId val="{0000002C-05F4-422B-951D-47DBF4D6DFE0}"/>
              </c:ext>
            </c:extLst>
          </c:dPt>
          <c:val>
            <c:numRef>
              <c:f>'Tablero Mar-26'!$B$66:$C$66</c:f>
              <c:numCache>
                <c:formatCode>0%</c:formatCode>
                <c:ptCount val="2"/>
                <c:pt idx="0">
                  <c:v>0.3</c:v>
                </c:pt>
                <c:pt idx="1">
                  <c:v>0.7</c:v>
                </c:pt>
              </c:numCache>
            </c:numRef>
          </c:val>
          <c:extLst>
            <c:ext xmlns:c16="http://schemas.microsoft.com/office/drawing/2014/chart" uri="{C3380CC4-5D6E-409C-BE32-E72D297353CC}">
              <c16:uniqueId val="{0000002D-05F4-422B-951D-47DBF4D6DFE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498212813795549"/>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B19D-40EC-B9D9-446742F3D2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9D-40EC-B9D9-446742F3D266}"/>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B19D-40EC-B9D9-446742F3D266}"/>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B19D-40EC-B9D9-446742F3D266}"/>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B19D-40EC-B9D9-446742F3D266}"/>
              </c:ext>
            </c:extLst>
          </c:dPt>
          <c:dPt>
            <c:idx val="5"/>
            <c:bubble3D val="0"/>
            <c:spPr>
              <a:noFill/>
              <a:ln w="19050">
                <a:solidFill>
                  <a:schemeClr val="lt1"/>
                </a:solidFill>
              </a:ln>
              <a:effectLst/>
            </c:spPr>
            <c:extLst>
              <c:ext xmlns:c16="http://schemas.microsoft.com/office/drawing/2014/chart" uri="{C3380CC4-5D6E-409C-BE32-E72D297353CC}">
                <c16:uniqueId val="{0000000B-B19D-40EC-B9D9-446742F3D266}"/>
              </c:ext>
            </c:extLst>
          </c:dPt>
          <c:val>
            <c:numRef>
              <c:f>'Tablero Mar-26'!$F$64:$F$69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B19D-40EC-B9D9-446742F3D266}"/>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B19D-40EC-B9D9-446742F3D26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B19D-40EC-B9D9-446742F3D266}"/>
              </c:ext>
            </c:extLst>
          </c:dPt>
          <c:dPt>
            <c:idx val="2"/>
            <c:bubble3D val="0"/>
            <c:spPr>
              <a:noFill/>
              <a:ln w="19050">
                <a:solidFill>
                  <a:schemeClr val="lt1"/>
                </a:solidFill>
              </a:ln>
              <a:effectLst/>
            </c:spPr>
            <c:extLst>
              <c:ext xmlns:c16="http://schemas.microsoft.com/office/drawing/2014/chart" uri="{C3380CC4-5D6E-409C-BE32-E72D297353CC}">
                <c16:uniqueId val="{00000012-B19D-40EC-B9D9-446742F3D266}"/>
              </c:ext>
            </c:extLst>
          </c:dPt>
          <c:val>
            <c:numRef>
              <c:f>'Tablero Mar-26'!$F$73:$F$75</c:f>
              <c:numCache>
                <c:formatCode>General</c:formatCode>
                <c:ptCount val="3"/>
                <c:pt idx="0">
                  <c:v>83.5</c:v>
                </c:pt>
                <c:pt idx="1">
                  <c:v>3</c:v>
                </c:pt>
                <c:pt idx="2">
                  <c:v>113.5</c:v>
                </c:pt>
              </c:numCache>
            </c:numRef>
          </c:val>
          <c:extLst>
            <c:ext xmlns:c16="http://schemas.microsoft.com/office/drawing/2014/chart" uri="{C3380CC4-5D6E-409C-BE32-E72D297353CC}">
              <c16:uniqueId val="{00000013-B19D-40EC-B9D9-446742F3D26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4D4-46AA-BBFC-3993D14ABD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D4-46AA-BBFC-3993D14ABDC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44D4-46AA-BBFC-3993D14ABDC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44D4-46AA-BBFC-3993D14ABDC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44D4-46AA-BBFC-3993D14ABDC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44D4-46AA-BBFC-3993D14ABDC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44D4-46AA-BBFC-3993D14ABDC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44D4-46AA-BBFC-3993D14ABDC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44D4-46AA-BBFC-3993D14ABDC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44D4-46AA-BBFC-3993D14ABDC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44D4-46AA-BBFC-3993D14ABDC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44D4-46AA-BBFC-3993D14ABDC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44D4-46AA-BBFC-3993D14ABDC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44D4-46AA-BBFC-3993D14ABDC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44D4-46AA-BBFC-3993D14ABDC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44D4-46AA-BBFC-3993D14ABDC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44D4-46AA-BBFC-3993D14ABDC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44D4-46AA-BBFC-3993D14ABDC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44D4-46AA-BBFC-3993D14ABDC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44D4-46AA-BBFC-3993D14ABDC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4D4-46AA-BBFC-3993D14ABDC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Mar-26'!$A$73</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4D4-46AA-BBFC-3993D14ABDCD}"/>
              </c:ext>
            </c:extLst>
          </c:dPt>
          <c:dPt>
            <c:idx val="1"/>
            <c:bubble3D val="0"/>
            <c:spPr>
              <a:noFill/>
              <a:ln w="19050">
                <a:solidFill>
                  <a:schemeClr val="lt1"/>
                </a:solidFill>
              </a:ln>
              <a:effectLst/>
            </c:spPr>
            <c:extLst>
              <c:ext xmlns:c16="http://schemas.microsoft.com/office/drawing/2014/chart" uri="{C3380CC4-5D6E-409C-BE32-E72D297353CC}">
                <c16:uniqueId val="{0000002C-44D4-46AA-BBFC-3993D14ABDCD}"/>
              </c:ext>
            </c:extLst>
          </c:dPt>
          <c:val>
            <c:numRef>
              <c:f>'Tablero Mar-26'!$B$73:$C$73</c:f>
              <c:numCache>
                <c:formatCode>0%</c:formatCode>
                <c:ptCount val="2"/>
                <c:pt idx="0">
                  <c:v>0.94</c:v>
                </c:pt>
                <c:pt idx="1">
                  <c:v>0.06</c:v>
                </c:pt>
              </c:numCache>
            </c:numRef>
          </c:val>
          <c:extLst>
            <c:ext xmlns:c16="http://schemas.microsoft.com/office/drawing/2014/chart" uri="{C3380CC4-5D6E-409C-BE32-E72D297353CC}">
              <c16:uniqueId val="{0000002D-44D4-46AA-BBFC-3993D14ABDC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8B3A-419E-B8F9-BBDB9A145AB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B3A-419E-B8F9-BBDB9A145AB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B3A-419E-B8F9-BBDB9A145AB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B3A-419E-B8F9-BBDB9A145AB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8B3A-419E-B8F9-BBDB9A145AB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8B3A-419E-B8F9-BBDB9A145AB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8B3A-419E-B8F9-BBDB9A145AB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8B3A-419E-B8F9-BBDB9A145AB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8B3A-419E-B8F9-BBDB9A145AB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8B3A-419E-B8F9-BBDB9A145AB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8B3A-419E-B8F9-BBDB9A145AB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8B3A-419E-B8F9-BBDB9A145AB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8B3A-419E-B8F9-BBDB9A145AB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8B3A-419E-B8F9-BBDB9A145AB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8B3A-419E-B8F9-BBDB9A145AB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8B3A-419E-B8F9-BBDB9A145AB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8B3A-419E-B8F9-BBDB9A145AB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8B3A-419E-B8F9-BBDB9A145AB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8B3A-419E-B8F9-BBDB9A145AB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8B3A-419E-B8F9-BBDB9A145AB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B3A-419E-B8F9-BBDB9A145AB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Mar-26'!$A$67</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B3A-419E-B8F9-BBDB9A145ABB}"/>
              </c:ext>
            </c:extLst>
          </c:dPt>
          <c:dPt>
            <c:idx val="1"/>
            <c:bubble3D val="0"/>
            <c:spPr>
              <a:noFill/>
              <a:ln w="19050">
                <a:solidFill>
                  <a:schemeClr val="lt1"/>
                </a:solidFill>
              </a:ln>
              <a:effectLst/>
            </c:spPr>
            <c:extLst>
              <c:ext xmlns:c16="http://schemas.microsoft.com/office/drawing/2014/chart" uri="{C3380CC4-5D6E-409C-BE32-E72D297353CC}">
                <c16:uniqueId val="{0000002C-8B3A-419E-B8F9-BBDB9A145ABB}"/>
              </c:ext>
            </c:extLst>
          </c:dPt>
          <c:val>
            <c:numRef>
              <c:f>'Tablero Mar-26'!$B$67:$C$67</c:f>
              <c:numCache>
                <c:formatCode>0%</c:formatCode>
                <c:ptCount val="2"/>
                <c:pt idx="0">
                  <c:v>0.3</c:v>
                </c:pt>
                <c:pt idx="1">
                  <c:v>0.7</c:v>
                </c:pt>
              </c:numCache>
            </c:numRef>
          </c:val>
          <c:extLst>
            <c:ext xmlns:c16="http://schemas.microsoft.com/office/drawing/2014/chart" uri="{C3380CC4-5D6E-409C-BE32-E72D297353CC}">
              <c16:uniqueId val="{0000002D-8B3A-419E-B8F9-BBDB9A145AB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C50-46B8-B298-E7993B39DC7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C50-46B8-B298-E7993B39DC79}"/>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C50-46B8-B298-E7993B39DC79}"/>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C50-46B8-B298-E7993B39DC79}"/>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C50-46B8-B298-E7993B39DC79}"/>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C50-46B8-B298-E7993B39DC79}"/>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C50-46B8-B298-E7993B39DC79}"/>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C50-46B8-B298-E7993B39DC79}"/>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C50-46B8-B298-E7993B39DC79}"/>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C50-46B8-B298-E7993B39DC79}"/>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C50-46B8-B298-E7993B39DC79}"/>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C50-46B8-B298-E7993B39DC79}"/>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C50-46B8-B298-E7993B39DC79}"/>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C50-46B8-B298-E7993B39DC79}"/>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C50-46B8-B298-E7993B39DC79}"/>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C50-46B8-B298-E7993B39DC79}"/>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C50-46B8-B298-E7993B39DC79}"/>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C50-46B8-B298-E7993B39DC79}"/>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C50-46B8-B298-E7993B39DC79}"/>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C50-46B8-B298-E7993B39DC7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C50-46B8-B298-E7993B39DC7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Mar-26'!$A$68</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C50-46B8-B298-E7993B39DC79}"/>
              </c:ext>
            </c:extLst>
          </c:dPt>
          <c:dPt>
            <c:idx val="1"/>
            <c:bubble3D val="0"/>
            <c:spPr>
              <a:noFill/>
              <a:ln w="19050">
                <a:solidFill>
                  <a:schemeClr val="lt1"/>
                </a:solidFill>
              </a:ln>
              <a:effectLst/>
            </c:spPr>
            <c:extLst>
              <c:ext xmlns:c16="http://schemas.microsoft.com/office/drawing/2014/chart" uri="{C3380CC4-5D6E-409C-BE32-E72D297353CC}">
                <c16:uniqueId val="{0000002C-CC50-46B8-B298-E7993B39DC79}"/>
              </c:ext>
            </c:extLst>
          </c:dPt>
          <c:val>
            <c:numRef>
              <c:f>'Tablero Mar-26'!$B$68:$C$68</c:f>
              <c:numCache>
                <c:formatCode>0%</c:formatCode>
                <c:ptCount val="2"/>
                <c:pt idx="0">
                  <c:v>0.1</c:v>
                </c:pt>
                <c:pt idx="1">
                  <c:v>0.9</c:v>
                </c:pt>
              </c:numCache>
            </c:numRef>
          </c:val>
          <c:extLst>
            <c:ext xmlns:c16="http://schemas.microsoft.com/office/drawing/2014/chart" uri="{C3380CC4-5D6E-409C-BE32-E72D297353CC}">
              <c16:uniqueId val="{0000002D-CC50-46B8-B298-E7993B39DC7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F1C-490E-9013-12DE9F1858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1C-490E-9013-12DE9F1858C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F1C-490E-9013-12DE9F1858CD}"/>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F1C-490E-9013-12DE9F1858CD}"/>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7F1C-490E-9013-12DE9F1858CD}"/>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7F1C-490E-9013-12DE9F1858C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7F1C-490E-9013-12DE9F1858CD}"/>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7F1C-490E-9013-12DE9F1858CD}"/>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7F1C-490E-9013-12DE9F1858CD}"/>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7F1C-490E-9013-12DE9F1858CD}"/>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7F1C-490E-9013-12DE9F1858CD}"/>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7F1C-490E-9013-12DE9F1858CD}"/>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7F1C-490E-9013-12DE9F1858CD}"/>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7F1C-490E-9013-12DE9F1858CD}"/>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7F1C-490E-9013-12DE9F1858CD}"/>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7F1C-490E-9013-12DE9F1858CD}"/>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7F1C-490E-9013-12DE9F1858CD}"/>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7F1C-490E-9013-12DE9F1858CD}"/>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7F1C-490E-9013-12DE9F1858CD}"/>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7F1C-490E-9013-12DE9F1858CD}"/>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F1C-490E-9013-12DE9F1858CD}"/>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Mar-26'!$A$74</c:f>
              <c:strCache>
                <c:ptCount val="1"/>
                <c:pt idx="0">
                  <c:v>Gestión Documental y Procesos Legales/Internos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F1C-490E-9013-12DE9F1858CD}"/>
              </c:ext>
            </c:extLst>
          </c:dPt>
          <c:dPt>
            <c:idx val="1"/>
            <c:bubble3D val="0"/>
            <c:spPr>
              <a:noFill/>
              <a:ln w="19050">
                <a:solidFill>
                  <a:schemeClr val="lt1"/>
                </a:solidFill>
              </a:ln>
              <a:effectLst/>
            </c:spPr>
            <c:extLst>
              <c:ext xmlns:c16="http://schemas.microsoft.com/office/drawing/2014/chart" uri="{C3380CC4-5D6E-409C-BE32-E72D297353CC}">
                <c16:uniqueId val="{0000002C-7F1C-490E-9013-12DE9F1858CD}"/>
              </c:ext>
            </c:extLst>
          </c:dPt>
          <c:val>
            <c:numRef>
              <c:f>'Tablero Mar-26'!$B$74:$C$74</c:f>
              <c:numCache>
                <c:formatCode>0%</c:formatCode>
                <c:ptCount val="2"/>
                <c:pt idx="0">
                  <c:v>0.94</c:v>
                </c:pt>
                <c:pt idx="1">
                  <c:v>0.06</c:v>
                </c:pt>
              </c:numCache>
            </c:numRef>
          </c:val>
          <c:extLst>
            <c:ext xmlns:c16="http://schemas.microsoft.com/office/drawing/2014/chart" uri="{C3380CC4-5D6E-409C-BE32-E72D297353CC}">
              <c16:uniqueId val="{0000002D-7F1C-490E-9013-12DE9F1858C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284-4276-83E5-D6EC77287841}"/>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284-4276-83E5-D6EC77287841}"/>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284-4276-83E5-D6EC77287841}"/>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9284-4276-83E5-D6EC77287841}"/>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9284-4276-83E5-D6EC77287841}"/>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9284-4276-83E5-D6EC77287841}"/>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9284-4276-83E5-D6EC77287841}"/>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9284-4276-83E5-D6EC77287841}"/>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9284-4276-83E5-D6EC77287841}"/>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9284-4276-83E5-D6EC77287841}"/>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9284-4276-83E5-D6EC77287841}"/>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9284-4276-83E5-D6EC77287841}"/>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9284-4276-83E5-D6EC77287841}"/>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9284-4276-83E5-D6EC77287841}"/>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9284-4276-83E5-D6EC77287841}"/>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9284-4276-83E5-D6EC77287841}"/>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9284-4276-83E5-D6EC77287841}"/>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9284-4276-83E5-D6EC77287841}"/>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9284-4276-83E5-D6EC77287841}"/>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9284-4276-83E5-D6EC7728784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284-4276-83E5-D6EC7728784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Mar-26'!$A$79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9284-4276-83E5-D6EC77287841}"/>
              </c:ext>
            </c:extLst>
          </c:dPt>
          <c:dPt>
            <c:idx val="1"/>
            <c:bubble3D val="0"/>
            <c:spPr>
              <a:noFill/>
              <a:ln w="19050">
                <a:solidFill>
                  <a:schemeClr val="lt1"/>
                </a:solidFill>
              </a:ln>
              <a:effectLst/>
            </c:spPr>
            <c:extLst>
              <c:ext xmlns:c16="http://schemas.microsoft.com/office/drawing/2014/chart" uri="{C3380CC4-5D6E-409C-BE32-E72D297353CC}">
                <c16:uniqueId val="{0000002C-9284-4276-83E5-D6EC77287841}"/>
              </c:ext>
            </c:extLst>
          </c:dPt>
          <c:val>
            <c:numRef>
              <c:f>'Tablero Mar-26'!$B$79:$C$79</c:f>
              <c:numCache>
                <c:formatCode>0%</c:formatCode>
                <c:ptCount val="2"/>
                <c:pt idx="0">
                  <c:v>0.7</c:v>
                </c:pt>
                <c:pt idx="1">
                  <c:v>0.3</c:v>
                </c:pt>
              </c:numCache>
            </c:numRef>
          </c:val>
          <c:extLst>
            <c:ext xmlns:c16="http://schemas.microsoft.com/office/drawing/2014/chart" uri="{C3380CC4-5D6E-409C-BE32-E72D297353CC}">
              <c16:uniqueId val="{0000002D-9284-4276-83E5-D6EC7728784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C3-4DC0-A926-1D2E337AC2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3-4DC0-A926-1D2E337AC21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8C3-4DC0-A926-1D2E337AC21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38C3-4DC0-A926-1D2E337AC21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38C3-4DC0-A926-1D2E337AC21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38C3-4DC0-A926-1D2E337AC21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38C3-4DC0-A926-1D2E337AC21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38C3-4DC0-A926-1D2E337AC21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38C3-4DC0-A926-1D2E337AC21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38C3-4DC0-A926-1D2E337AC21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38C3-4DC0-A926-1D2E337AC21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38C3-4DC0-A926-1D2E337AC21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38C3-4DC0-A926-1D2E337AC21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38C3-4DC0-A926-1D2E337AC21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38C3-4DC0-A926-1D2E337AC21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38C3-4DC0-A926-1D2E337AC21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38C3-4DC0-A926-1D2E337AC21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38C3-4DC0-A926-1D2E337AC21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38C3-4DC0-A926-1D2E337AC21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38C3-4DC0-A926-1D2E337AC21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8C3-4DC0-A926-1D2E337AC21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Mar-26'!$A$85</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38C3-4DC0-A926-1D2E337AC219}"/>
              </c:ext>
            </c:extLst>
          </c:dPt>
          <c:dPt>
            <c:idx val="1"/>
            <c:bubble3D val="0"/>
            <c:spPr>
              <a:noFill/>
              <a:ln w="19050">
                <a:solidFill>
                  <a:schemeClr val="lt1"/>
                </a:solidFill>
              </a:ln>
              <a:effectLst/>
            </c:spPr>
            <c:extLst>
              <c:ext xmlns:c16="http://schemas.microsoft.com/office/drawing/2014/chart" uri="{C3380CC4-5D6E-409C-BE32-E72D297353CC}">
                <c16:uniqueId val="{0000002C-38C3-4DC0-A926-1D2E337AC219}"/>
              </c:ext>
            </c:extLst>
          </c:dPt>
          <c:val>
            <c:numRef>
              <c:f>'Tablero Mar-26'!$B$85:$C$85</c:f>
              <c:numCache>
                <c:formatCode>0%</c:formatCode>
                <c:ptCount val="2"/>
                <c:pt idx="0">
                  <c:v>0.93</c:v>
                </c:pt>
                <c:pt idx="1">
                  <c:v>7.0000000000000007E-2</c:v>
                </c:pt>
              </c:numCache>
            </c:numRef>
          </c:val>
          <c:extLst>
            <c:ext xmlns:c16="http://schemas.microsoft.com/office/drawing/2014/chart" uri="{C3380CC4-5D6E-409C-BE32-E72D297353CC}">
              <c16:uniqueId val="{0000002D-38C3-4DC0-A926-1D2E337AC21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87E-4E64-91A3-93886D14D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7E-4E64-91A3-93886D14D53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87E-4E64-91A3-93886D14D53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87E-4E64-91A3-93886D14D530}"/>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87E-4E64-91A3-93886D14D530}"/>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87E-4E64-91A3-93886D14D530}"/>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87E-4E64-91A3-93886D14D530}"/>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87E-4E64-91A3-93886D14D530}"/>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87E-4E64-91A3-93886D14D530}"/>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87E-4E64-91A3-93886D14D530}"/>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87E-4E64-91A3-93886D14D530}"/>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87E-4E64-91A3-93886D14D530}"/>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87E-4E64-91A3-93886D14D530}"/>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87E-4E64-91A3-93886D14D530}"/>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87E-4E64-91A3-93886D14D530}"/>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87E-4E64-91A3-93886D14D530}"/>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87E-4E64-91A3-93886D14D530}"/>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87E-4E64-91A3-93886D14D530}"/>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87E-4E64-91A3-93886D14D530}"/>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87E-4E64-91A3-93886D14D53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87E-4E64-91A3-93886D14D53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Mar-26'!$A$86</c:f>
              <c:strCache>
                <c:ptCount val="1"/>
                <c:pt idx="0">
                  <c:v>Formalización Post-Cierre</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87E-4E64-91A3-93886D14D530}"/>
              </c:ext>
            </c:extLst>
          </c:dPt>
          <c:dPt>
            <c:idx val="1"/>
            <c:bubble3D val="0"/>
            <c:spPr>
              <a:noFill/>
              <a:ln w="19050">
                <a:solidFill>
                  <a:schemeClr val="lt1"/>
                </a:solidFill>
              </a:ln>
              <a:effectLst/>
            </c:spPr>
            <c:extLst>
              <c:ext xmlns:c16="http://schemas.microsoft.com/office/drawing/2014/chart" uri="{C3380CC4-5D6E-409C-BE32-E72D297353CC}">
                <c16:uniqueId val="{0000002C-C87E-4E64-91A3-93886D14D530}"/>
              </c:ext>
            </c:extLst>
          </c:dPt>
          <c:val>
            <c:numRef>
              <c:f>'Tablero Mar-26'!$B$86:$C$86</c:f>
              <c:numCache>
                <c:formatCode>0%</c:formatCode>
                <c:ptCount val="2"/>
                <c:pt idx="0">
                  <c:v>0.92</c:v>
                </c:pt>
                <c:pt idx="1">
                  <c:v>0.08</c:v>
                </c:pt>
              </c:numCache>
            </c:numRef>
          </c:val>
          <c:extLst>
            <c:ext xmlns:c16="http://schemas.microsoft.com/office/drawing/2014/chart" uri="{C3380CC4-5D6E-409C-BE32-E72D297353CC}">
              <c16:uniqueId val="{0000002D-C87E-4E64-91A3-93886D14D53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0C4-488C-9916-397D461A508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0C4-488C-9916-397D461A5084}"/>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0C4-488C-9916-397D461A5084}"/>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0C4-488C-9916-397D461A5084}"/>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0C4-488C-9916-397D461A5084}"/>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0C4-488C-9916-397D461A5084}"/>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0C4-488C-9916-397D461A5084}"/>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0C4-488C-9916-397D461A5084}"/>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0C4-488C-9916-397D461A5084}"/>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0C4-488C-9916-397D461A5084}"/>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0C4-488C-9916-397D461A5084}"/>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0C4-488C-9916-397D461A5084}"/>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0C4-488C-9916-397D461A5084}"/>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0C4-488C-9916-397D461A5084}"/>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0C4-488C-9916-397D461A5084}"/>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0C4-488C-9916-397D461A5084}"/>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0C4-488C-9916-397D461A5084}"/>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0C4-488C-9916-397D461A5084}"/>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0C4-488C-9916-397D461A5084}"/>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0C4-488C-9916-397D461A508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0C4-488C-9916-397D461A508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Mar-26'!$A$80</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0C4-488C-9916-397D461A5084}"/>
              </c:ext>
            </c:extLst>
          </c:dPt>
          <c:dPt>
            <c:idx val="1"/>
            <c:bubble3D val="0"/>
            <c:spPr>
              <a:noFill/>
              <a:ln w="19050">
                <a:solidFill>
                  <a:schemeClr val="lt1"/>
                </a:solidFill>
              </a:ln>
              <a:effectLst/>
            </c:spPr>
            <c:extLst>
              <c:ext xmlns:c16="http://schemas.microsoft.com/office/drawing/2014/chart" uri="{C3380CC4-5D6E-409C-BE32-E72D297353CC}">
                <c16:uniqueId val="{0000002C-D0C4-488C-9916-397D461A5084}"/>
              </c:ext>
            </c:extLst>
          </c:dPt>
          <c:val>
            <c:numRef>
              <c:f>'Tablero Mar-26'!$B$80:$C$80</c:f>
              <c:numCache>
                <c:formatCode>0%</c:formatCode>
                <c:ptCount val="2"/>
                <c:pt idx="0">
                  <c:v>0.05</c:v>
                </c:pt>
                <c:pt idx="1">
                  <c:v>0.95</c:v>
                </c:pt>
              </c:numCache>
            </c:numRef>
          </c:val>
          <c:extLst>
            <c:ext xmlns:c16="http://schemas.microsoft.com/office/drawing/2014/chart" uri="{C3380CC4-5D6E-409C-BE32-E72D297353CC}">
              <c16:uniqueId val="{0000002D-D0C4-488C-9916-397D461A508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27B-4F71-8427-8969628F18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7B-4F71-8427-8969628F18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27B-4F71-8427-8969628F1807}"/>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27B-4F71-8427-8969628F1807}"/>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27B-4F71-8427-8969628F1807}"/>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27B-4F71-8427-8969628F1807}"/>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27B-4F71-8427-8969628F1807}"/>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27B-4F71-8427-8969628F1807}"/>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27B-4F71-8427-8969628F1807}"/>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27B-4F71-8427-8969628F1807}"/>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27B-4F71-8427-8969628F1807}"/>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27B-4F71-8427-8969628F1807}"/>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27B-4F71-8427-8969628F1807}"/>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27B-4F71-8427-8969628F1807}"/>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27B-4F71-8427-8969628F1807}"/>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27B-4F71-8427-8969628F1807}"/>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27B-4F71-8427-8969628F1807}"/>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27B-4F71-8427-8969628F1807}"/>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C27B-4F71-8427-8969628F1807}"/>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C27B-4F71-8427-8969628F180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27B-4F71-8427-8969628F180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Mar-26'!$A$87</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27B-4F71-8427-8969628F1807}"/>
              </c:ext>
            </c:extLst>
          </c:dPt>
          <c:dPt>
            <c:idx val="1"/>
            <c:bubble3D val="0"/>
            <c:spPr>
              <a:noFill/>
              <a:ln w="19050">
                <a:solidFill>
                  <a:schemeClr val="lt1"/>
                </a:solidFill>
              </a:ln>
              <a:effectLst/>
            </c:spPr>
            <c:extLst>
              <c:ext xmlns:c16="http://schemas.microsoft.com/office/drawing/2014/chart" uri="{C3380CC4-5D6E-409C-BE32-E72D297353CC}">
                <c16:uniqueId val="{0000002C-C27B-4F71-8427-8969628F1807}"/>
              </c:ext>
            </c:extLst>
          </c:dPt>
          <c:val>
            <c:numRef>
              <c:f>'Tablero Mar-26'!$B$87:$C$87</c:f>
              <c:numCache>
                <c:formatCode>0%</c:formatCode>
                <c:ptCount val="2"/>
                <c:pt idx="0">
                  <c:v>1</c:v>
                </c:pt>
                <c:pt idx="1">
                  <c:v>0</c:v>
                </c:pt>
              </c:numCache>
            </c:numRef>
          </c:val>
          <c:extLst>
            <c:ext xmlns:c16="http://schemas.microsoft.com/office/drawing/2014/chart" uri="{C3380CC4-5D6E-409C-BE32-E72D297353CC}">
              <c16:uniqueId val="{0000002D-C27B-4F71-8427-8969628F180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00A-4BEA-81B6-1953FB62FB1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00A-4BEA-81B6-1953FB62FB15}"/>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700A-4BEA-81B6-1953FB62FB1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700A-4BEA-81B6-1953FB62FB15}"/>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00A-4BEA-81B6-1953FB62FB15}"/>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700A-4BEA-81B6-1953FB62FB15}"/>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700A-4BEA-81B6-1953FB62FB15}"/>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700A-4BEA-81B6-1953FB62FB15}"/>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700A-4BEA-81B6-1953FB62FB15}"/>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700A-4BEA-81B6-1953FB62FB15}"/>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700A-4BEA-81B6-1953FB62FB15}"/>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700A-4BEA-81B6-1953FB62FB15}"/>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700A-4BEA-81B6-1953FB62FB15}"/>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700A-4BEA-81B6-1953FB62FB15}"/>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700A-4BEA-81B6-1953FB62FB15}"/>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700A-4BEA-81B6-1953FB62FB15}"/>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700A-4BEA-81B6-1953FB62FB15}"/>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700A-4BEA-81B6-1953FB62FB15}"/>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700A-4BEA-81B6-1953FB62FB15}"/>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700A-4BEA-81B6-1953FB62FB1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00A-4BEA-81B6-1953FB62FB1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Mar-26'!$A$81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00A-4BEA-81B6-1953FB62FB15}"/>
              </c:ext>
            </c:extLst>
          </c:dPt>
          <c:dPt>
            <c:idx val="1"/>
            <c:bubble3D val="0"/>
            <c:spPr>
              <a:noFill/>
              <a:ln w="19050">
                <a:solidFill>
                  <a:schemeClr val="lt1"/>
                </a:solidFill>
              </a:ln>
              <a:effectLst/>
            </c:spPr>
            <c:extLst>
              <c:ext xmlns:c16="http://schemas.microsoft.com/office/drawing/2014/chart" uri="{C3380CC4-5D6E-409C-BE32-E72D297353CC}">
                <c16:uniqueId val="{0000002C-700A-4BEA-81B6-1953FB62FB15}"/>
              </c:ext>
            </c:extLst>
          </c:dPt>
          <c:val>
            <c:numRef>
              <c:f>'Tablero Mar-26'!$B$81:$C$81</c:f>
              <c:numCache>
                <c:formatCode>0%</c:formatCode>
                <c:ptCount val="2"/>
                <c:pt idx="0">
                  <c:v>0.25</c:v>
                </c:pt>
                <c:pt idx="1">
                  <c:v>0.75</c:v>
                </c:pt>
              </c:numCache>
            </c:numRef>
          </c:val>
          <c:extLst>
            <c:ext xmlns:c16="http://schemas.microsoft.com/office/drawing/2014/chart" uri="{C3380CC4-5D6E-409C-BE32-E72D297353CC}">
              <c16:uniqueId val="{0000002D-700A-4BEA-81B6-1953FB62FB1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C27F-4739-99A2-EFC081580A0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27F-4739-99A2-EFC081580A00}"/>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C27F-4739-99A2-EFC081580A00}"/>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27F-4739-99A2-EFC081580A00}"/>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C27F-4739-99A2-EFC081580A00}"/>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C27F-4739-99A2-EFC081580A00}"/>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C27F-4739-99A2-EFC081580A00}"/>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C27F-4739-99A2-EFC081580A00}"/>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C27F-4739-99A2-EFC081580A00}"/>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C27F-4739-99A2-EFC081580A00}"/>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C27F-4739-99A2-EFC081580A00}"/>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C27F-4739-99A2-EFC081580A00}"/>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C27F-4739-99A2-EFC081580A00}"/>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C27F-4739-99A2-EFC081580A00}"/>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C27F-4739-99A2-EFC081580A00}"/>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C27F-4739-99A2-EFC081580A00}"/>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C27F-4739-99A2-EFC081580A00}"/>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C27F-4739-99A2-EFC081580A00}"/>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C27F-4739-99A2-EFC081580A00}"/>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C27F-4739-99A2-EFC081580A00}"/>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C27F-4739-99A2-EFC081580A00}"/>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Mar-26'!$A$93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C27F-4739-99A2-EFC081580A00}"/>
              </c:ext>
            </c:extLst>
          </c:dPt>
          <c:dPt>
            <c:idx val="1"/>
            <c:bubble3D val="0"/>
            <c:spPr>
              <a:noFill/>
              <a:ln w="19050">
                <a:solidFill>
                  <a:schemeClr val="lt1"/>
                </a:solidFill>
              </a:ln>
              <a:effectLst/>
            </c:spPr>
            <c:extLst>
              <c:ext xmlns:c16="http://schemas.microsoft.com/office/drawing/2014/chart" uri="{C3380CC4-5D6E-409C-BE32-E72D297353CC}">
                <c16:uniqueId val="{0000002C-C27F-4739-99A2-EFC081580A00}"/>
              </c:ext>
            </c:extLst>
          </c:dPt>
          <c:val>
            <c:numRef>
              <c:f>'Tablero Mar-26'!$B$93:$C$93</c:f>
              <c:numCache>
                <c:formatCode>0%</c:formatCode>
                <c:ptCount val="2"/>
                <c:pt idx="0">
                  <c:v>0.7</c:v>
                </c:pt>
                <c:pt idx="1">
                  <c:v>0.3</c:v>
                </c:pt>
              </c:numCache>
            </c:numRef>
          </c:val>
          <c:extLst>
            <c:ext xmlns:c16="http://schemas.microsoft.com/office/drawing/2014/chart" uri="{C3380CC4-5D6E-409C-BE32-E72D297353CC}">
              <c16:uniqueId val="{0000002D-C27F-4739-99A2-EFC081580A0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F69-470E-B3DB-172BB4E90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69-470E-B3DB-172BB4E90D8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F69-470E-B3DB-172BB4E90D81}"/>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F69-470E-B3DB-172BB4E90D81}"/>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DF69-470E-B3DB-172BB4E90D81}"/>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DF69-470E-B3DB-172BB4E90D81}"/>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DF69-470E-B3DB-172BB4E90D81}"/>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DF69-470E-B3DB-172BB4E90D81}"/>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DF69-470E-B3DB-172BB4E90D81}"/>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DF69-470E-B3DB-172BB4E90D81}"/>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DF69-470E-B3DB-172BB4E90D81}"/>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DF69-470E-B3DB-172BB4E90D81}"/>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DF69-470E-B3DB-172BB4E90D81}"/>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DF69-470E-B3DB-172BB4E90D81}"/>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DF69-470E-B3DB-172BB4E90D81}"/>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DF69-470E-B3DB-172BB4E90D81}"/>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DF69-470E-B3DB-172BB4E90D81}"/>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DF69-470E-B3DB-172BB4E90D81}"/>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DF69-470E-B3DB-172BB4E90D81}"/>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DF69-470E-B3DB-172BB4E90D8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F69-470E-B3DB-172BB4E90D8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Mar-26'!$A$99</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F69-470E-B3DB-172BB4E90D81}"/>
              </c:ext>
            </c:extLst>
          </c:dPt>
          <c:dPt>
            <c:idx val="1"/>
            <c:bubble3D val="0"/>
            <c:spPr>
              <a:noFill/>
              <a:ln w="19050">
                <a:solidFill>
                  <a:schemeClr val="lt1"/>
                </a:solidFill>
              </a:ln>
              <a:effectLst/>
            </c:spPr>
            <c:extLst>
              <c:ext xmlns:c16="http://schemas.microsoft.com/office/drawing/2014/chart" uri="{C3380CC4-5D6E-409C-BE32-E72D297353CC}">
                <c16:uniqueId val="{0000002C-DF69-470E-B3DB-172BB4E90D81}"/>
              </c:ext>
            </c:extLst>
          </c:dPt>
          <c:val>
            <c:numRef>
              <c:f>'Tablero Mar-26'!$B$99:$C$99</c:f>
              <c:numCache>
                <c:formatCode>0%</c:formatCode>
                <c:ptCount val="2"/>
                <c:pt idx="0">
                  <c:v>0.9</c:v>
                </c:pt>
                <c:pt idx="1">
                  <c:v>0.1</c:v>
                </c:pt>
              </c:numCache>
            </c:numRef>
          </c:val>
          <c:extLst>
            <c:ext xmlns:c16="http://schemas.microsoft.com/office/drawing/2014/chart" uri="{C3380CC4-5D6E-409C-BE32-E72D297353CC}">
              <c16:uniqueId val="{0000002D-DF69-470E-B3DB-172BB4E90D8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9016268283407"/>
          <c:y val="5.4900720477504585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9E5-4502-9F11-9361E28AD8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E5-4502-9F11-9361E28AD84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9E5-4502-9F11-9361E28AD845}"/>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9E5-4502-9F11-9361E28AD845}"/>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9E5-4502-9F11-9361E28AD845}"/>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9E5-4502-9F11-9361E28AD845}"/>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89E5-4502-9F11-9361E28AD845}"/>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89E5-4502-9F11-9361E28AD845}"/>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89E5-4502-9F11-9361E28AD845}"/>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89E5-4502-9F11-9361E28AD845}"/>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89E5-4502-9F11-9361E28AD845}"/>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89E5-4502-9F11-9361E28AD845}"/>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89E5-4502-9F11-9361E28AD845}"/>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89E5-4502-9F11-9361E28AD845}"/>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89E5-4502-9F11-9361E28AD845}"/>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89E5-4502-9F11-9361E28AD845}"/>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89E5-4502-9F11-9361E28AD845}"/>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89E5-4502-9F11-9361E28AD845}"/>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89E5-4502-9F11-9361E28AD845}"/>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89E5-4502-9F11-9361E28AD84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89E5-4502-9F11-9361E28AD84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Mar-26'!$A$100</c:f>
              <c:strCache>
                <c:ptCount val="1"/>
                <c:pt idx="0">
                  <c:v>Relaciones y Servicio</c:v>
                </c:pt>
              </c:strCache>
            </c:strRef>
          </c:tx>
          <c:explosion val="1"/>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89E5-4502-9F11-9361E28AD845}"/>
              </c:ext>
            </c:extLst>
          </c:dPt>
          <c:dPt>
            <c:idx val="1"/>
            <c:bubble3D val="0"/>
            <c:spPr>
              <a:noFill/>
              <a:ln w="19050">
                <a:solidFill>
                  <a:schemeClr val="lt1"/>
                </a:solidFill>
              </a:ln>
              <a:effectLst/>
            </c:spPr>
            <c:extLst>
              <c:ext xmlns:c16="http://schemas.microsoft.com/office/drawing/2014/chart" uri="{C3380CC4-5D6E-409C-BE32-E72D297353CC}">
                <c16:uniqueId val="{0000002C-89E5-4502-9F11-9361E28AD845}"/>
              </c:ext>
            </c:extLst>
          </c:dPt>
          <c:val>
            <c:numRef>
              <c:f>'Tablero Mar-26'!$B$100:$C$100</c:f>
              <c:numCache>
                <c:formatCode>0%</c:formatCode>
                <c:ptCount val="2"/>
                <c:pt idx="0">
                  <c:v>0.91</c:v>
                </c:pt>
                <c:pt idx="1">
                  <c:v>0.09</c:v>
                </c:pt>
              </c:numCache>
            </c:numRef>
          </c:val>
          <c:extLst>
            <c:ext xmlns:c16="http://schemas.microsoft.com/office/drawing/2014/chart" uri="{C3380CC4-5D6E-409C-BE32-E72D297353CC}">
              <c16:uniqueId val="{0000002D-89E5-4502-9F11-9361E28AD84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D555-4F90-A657-7AEEE9378C5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D555-4F90-A657-7AEEE9378C5B}"/>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D555-4F90-A657-7AEEE9378C5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D555-4F90-A657-7AEEE9378C5B}"/>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D555-4F90-A657-7AEEE9378C5B}"/>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D555-4F90-A657-7AEEE9378C5B}"/>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D555-4F90-A657-7AEEE9378C5B}"/>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D555-4F90-A657-7AEEE9378C5B}"/>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D555-4F90-A657-7AEEE9378C5B}"/>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D555-4F90-A657-7AEEE9378C5B}"/>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D555-4F90-A657-7AEEE9378C5B}"/>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D555-4F90-A657-7AEEE9378C5B}"/>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D555-4F90-A657-7AEEE9378C5B}"/>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D555-4F90-A657-7AEEE9378C5B}"/>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D555-4F90-A657-7AEEE9378C5B}"/>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D555-4F90-A657-7AEEE9378C5B}"/>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D555-4F90-A657-7AEEE9378C5B}"/>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D555-4F90-A657-7AEEE9378C5B}"/>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D555-4F90-A657-7AEEE9378C5B}"/>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D555-4F90-A657-7AEEE9378C5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555-4F90-A657-7AEEE9378C5B}"/>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Mar-26'!$A$94</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D555-4F90-A657-7AEEE9378C5B}"/>
              </c:ext>
            </c:extLst>
          </c:dPt>
          <c:dPt>
            <c:idx val="1"/>
            <c:bubble3D val="0"/>
            <c:spPr>
              <a:noFill/>
              <a:ln w="19050">
                <a:solidFill>
                  <a:schemeClr val="lt1"/>
                </a:solidFill>
              </a:ln>
              <a:effectLst/>
            </c:spPr>
            <c:extLst>
              <c:ext xmlns:c16="http://schemas.microsoft.com/office/drawing/2014/chart" uri="{C3380CC4-5D6E-409C-BE32-E72D297353CC}">
                <c16:uniqueId val="{0000002C-D555-4F90-A657-7AEEE9378C5B}"/>
              </c:ext>
            </c:extLst>
          </c:dPt>
          <c:val>
            <c:numRef>
              <c:f>'Tablero Mar-26'!$B$94:$C$94</c:f>
              <c:numCache>
                <c:formatCode>0%</c:formatCode>
                <c:ptCount val="2"/>
                <c:pt idx="0">
                  <c:v>0.05</c:v>
                </c:pt>
                <c:pt idx="1">
                  <c:v>0.95</c:v>
                </c:pt>
              </c:numCache>
            </c:numRef>
          </c:val>
          <c:extLst>
            <c:ext xmlns:c16="http://schemas.microsoft.com/office/drawing/2014/chart" uri="{C3380CC4-5D6E-409C-BE32-E72D297353CC}">
              <c16:uniqueId val="{0000002D-D555-4F90-A657-7AEEE9378C5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CDC-4D1D-B00D-01164D1FF1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C-4D1D-B00D-01164D1FF19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CDC-4D1D-B00D-01164D1FF19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CDC-4D1D-B00D-01164D1FF19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7CDC-4D1D-B00D-01164D1FF19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7CDC-4D1D-B00D-01164D1FF193}"/>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7CDC-4D1D-B00D-01164D1FF193}"/>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7CDC-4D1D-B00D-01164D1FF193}"/>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7CDC-4D1D-B00D-01164D1FF193}"/>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7CDC-4D1D-B00D-01164D1FF193}"/>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7CDC-4D1D-B00D-01164D1FF193}"/>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7CDC-4D1D-B00D-01164D1FF193}"/>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7CDC-4D1D-B00D-01164D1FF193}"/>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7CDC-4D1D-B00D-01164D1FF193}"/>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7CDC-4D1D-B00D-01164D1FF193}"/>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7CDC-4D1D-B00D-01164D1FF193}"/>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7CDC-4D1D-B00D-01164D1FF193}"/>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7CDC-4D1D-B00D-01164D1FF193}"/>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7CDC-4D1D-B00D-01164D1FF193}"/>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7CDC-4D1D-B00D-01164D1FF193}"/>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CDC-4D1D-B00D-01164D1FF193}"/>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Mar-26'!$A$101</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CDC-4D1D-B00D-01164D1FF193}"/>
              </c:ext>
            </c:extLst>
          </c:dPt>
          <c:dPt>
            <c:idx val="1"/>
            <c:bubble3D val="0"/>
            <c:spPr>
              <a:noFill/>
              <a:ln w="19050">
                <a:solidFill>
                  <a:schemeClr val="lt1"/>
                </a:solidFill>
              </a:ln>
              <a:effectLst/>
            </c:spPr>
            <c:extLst>
              <c:ext xmlns:c16="http://schemas.microsoft.com/office/drawing/2014/chart" uri="{C3380CC4-5D6E-409C-BE32-E72D297353CC}">
                <c16:uniqueId val="{0000002C-7CDC-4D1D-B00D-01164D1FF193}"/>
              </c:ext>
            </c:extLst>
          </c:dPt>
          <c:val>
            <c:numRef>
              <c:f>'Tablero Mar-26'!$B$101:$C$101</c:f>
              <c:numCache>
                <c:formatCode>0%</c:formatCode>
                <c:ptCount val="2"/>
                <c:pt idx="0">
                  <c:v>0.85</c:v>
                </c:pt>
                <c:pt idx="1">
                  <c:v>0.15</c:v>
                </c:pt>
              </c:numCache>
            </c:numRef>
          </c:val>
          <c:extLst>
            <c:ext xmlns:c16="http://schemas.microsoft.com/office/drawing/2014/chart" uri="{C3380CC4-5D6E-409C-BE32-E72D297353CC}">
              <c16:uniqueId val="{0000002D-7CDC-4D1D-B00D-01164D1FF19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92E8-4F10-BF4A-9B9BCC97122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2E8-4F10-BF4A-9B9BCC97122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2E8-4F10-BF4A-9B9BCC97122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92E8-4F10-BF4A-9B9BCC971227}"/>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92E8-4F10-BF4A-9B9BCC971227}"/>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92E8-4F10-BF4A-9B9BCC971227}"/>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92E8-4F10-BF4A-9B9BCC971227}"/>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92E8-4F10-BF4A-9B9BCC971227}"/>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92E8-4F10-BF4A-9B9BCC971227}"/>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92E8-4F10-BF4A-9B9BCC971227}"/>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92E8-4F10-BF4A-9B9BCC971227}"/>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92E8-4F10-BF4A-9B9BCC971227}"/>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92E8-4F10-BF4A-9B9BCC971227}"/>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92E8-4F10-BF4A-9B9BCC971227}"/>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92E8-4F10-BF4A-9B9BCC971227}"/>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92E8-4F10-BF4A-9B9BCC971227}"/>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92E8-4F10-BF4A-9B9BCC971227}"/>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92E8-4F10-BF4A-9B9BCC971227}"/>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92E8-4F10-BF4A-9B9BCC971227}"/>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92E8-4F10-BF4A-9B9BCC971227}"/>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2E8-4F10-BF4A-9B9BCC971227}"/>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Mar-26'!$A$95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92E8-4F10-BF4A-9B9BCC971227}"/>
              </c:ext>
            </c:extLst>
          </c:dPt>
          <c:dPt>
            <c:idx val="1"/>
            <c:bubble3D val="0"/>
            <c:spPr>
              <a:noFill/>
              <a:ln w="19050">
                <a:solidFill>
                  <a:schemeClr val="lt1"/>
                </a:solidFill>
              </a:ln>
              <a:effectLst/>
            </c:spPr>
            <c:extLst>
              <c:ext xmlns:c16="http://schemas.microsoft.com/office/drawing/2014/chart" uri="{C3380CC4-5D6E-409C-BE32-E72D297353CC}">
                <c16:uniqueId val="{0000002C-92E8-4F10-BF4A-9B9BCC971227}"/>
              </c:ext>
            </c:extLst>
          </c:dPt>
          <c:val>
            <c:numRef>
              <c:f>'Tablero Mar-26'!$B$95:$C$95</c:f>
              <c:numCache>
                <c:formatCode>0%</c:formatCode>
                <c:ptCount val="2"/>
                <c:pt idx="0">
                  <c:v>0.25</c:v>
                </c:pt>
                <c:pt idx="1">
                  <c:v>0.75</c:v>
                </c:pt>
              </c:numCache>
            </c:numRef>
          </c:val>
          <c:extLst>
            <c:ext xmlns:c16="http://schemas.microsoft.com/office/drawing/2014/chart" uri="{C3380CC4-5D6E-409C-BE32-E72D297353CC}">
              <c16:uniqueId val="{0000002D-92E8-4F10-BF4A-9B9BCC97122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4C36-4788-B519-50DED1E5D27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C36-4788-B519-50DED1E5D27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C36-4788-B519-50DED1E5D272}"/>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4C36-4788-B519-50DED1E5D272}"/>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4C36-4788-B519-50DED1E5D272}"/>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4C36-4788-B519-50DED1E5D272}"/>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4C36-4788-B519-50DED1E5D272}"/>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4C36-4788-B519-50DED1E5D272}"/>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4C36-4788-B519-50DED1E5D272}"/>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4C36-4788-B519-50DED1E5D272}"/>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4C36-4788-B519-50DED1E5D272}"/>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4C36-4788-B519-50DED1E5D272}"/>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4C36-4788-B519-50DED1E5D272}"/>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4C36-4788-B519-50DED1E5D272}"/>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4C36-4788-B519-50DED1E5D272}"/>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4C36-4788-B519-50DED1E5D272}"/>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4C36-4788-B519-50DED1E5D272}"/>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4C36-4788-B519-50DED1E5D272}"/>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4C36-4788-B519-50DED1E5D272}"/>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4C36-4788-B519-50DED1E5D272}"/>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4C36-4788-B519-50DED1E5D272}"/>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Mar-26'!$A$107</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4C36-4788-B519-50DED1E5D272}"/>
              </c:ext>
            </c:extLst>
          </c:dPt>
          <c:dPt>
            <c:idx val="1"/>
            <c:bubble3D val="0"/>
            <c:spPr>
              <a:noFill/>
              <a:ln w="19050">
                <a:solidFill>
                  <a:schemeClr val="lt1"/>
                </a:solidFill>
              </a:ln>
              <a:effectLst/>
            </c:spPr>
            <c:extLst>
              <c:ext xmlns:c16="http://schemas.microsoft.com/office/drawing/2014/chart" uri="{C3380CC4-5D6E-409C-BE32-E72D297353CC}">
                <c16:uniqueId val="{0000002C-4C36-4788-B519-50DED1E5D272}"/>
              </c:ext>
            </c:extLst>
          </c:dPt>
          <c:val>
            <c:numRef>
              <c:f>'Tablero Mar-26'!$B$107:$C$107</c:f>
              <c:numCache>
                <c:formatCode>0%</c:formatCode>
                <c:ptCount val="2"/>
                <c:pt idx="0">
                  <c:v>0.6</c:v>
                </c:pt>
                <c:pt idx="1">
                  <c:v>0.4</c:v>
                </c:pt>
              </c:numCache>
            </c:numRef>
          </c:val>
          <c:extLst>
            <c:ext xmlns:c16="http://schemas.microsoft.com/office/drawing/2014/chart" uri="{C3380CC4-5D6E-409C-BE32-E72D297353CC}">
              <c16:uniqueId val="{0000002D-4C36-4788-B519-50DED1E5D27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46488434704573"/>
          <c:y val="0.14282124920584269"/>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D6-4B52-B5D0-908A4AF4AB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D6-4B52-B5D0-908A4AF4AB2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BD6-4B52-B5D0-908A4AF4AB21}"/>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EBD6-4B52-B5D0-908A4AF4AB21}"/>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EBD6-4B52-B5D0-908A4AF4AB21}"/>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EBD6-4B52-B5D0-908A4AF4AB21}"/>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EBD6-4B52-B5D0-908A4AF4AB21}"/>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EBD6-4B52-B5D0-908A4AF4AB21}"/>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EBD6-4B52-B5D0-908A4AF4AB21}"/>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EBD6-4B52-B5D0-908A4AF4AB21}"/>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EBD6-4B52-B5D0-908A4AF4AB21}"/>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EBD6-4B52-B5D0-908A4AF4AB21}"/>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EBD6-4B52-B5D0-908A4AF4AB21}"/>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EBD6-4B52-B5D0-908A4AF4AB21}"/>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EBD6-4B52-B5D0-908A4AF4AB21}"/>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EBD6-4B52-B5D0-908A4AF4AB21}"/>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EBD6-4B52-B5D0-908A4AF4AB21}"/>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EBD6-4B52-B5D0-908A4AF4AB21}"/>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EBD6-4B52-B5D0-908A4AF4AB21}"/>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EBD6-4B52-B5D0-908A4AF4AB2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BD6-4B52-B5D0-908A4AF4AB2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Mar-26'!$A$113</c:f>
              <c:strCache>
                <c:ptCount val="1"/>
                <c:pt idx="0">
                  <c:v>Gestión de Clientes y Leads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BD6-4B52-B5D0-908A4AF4AB21}"/>
              </c:ext>
            </c:extLst>
          </c:dPt>
          <c:dPt>
            <c:idx val="1"/>
            <c:bubble3D val="0"/>
            <c:spPr>
              <a:noFill/>
              <a:ln w="19050">
                <a:solidFill>
                  <a:schemeClr val="lt1"/>
                </a:solidFill>
              </a:ln>
              <a:effectLst/>
            </c:spPr>
            <c:extLst>
              <c:ext xmlns:c16="http://schemas.microsoft.com/office/drawing/2014/chart" uri="{C3380CC4-5D6E-409C-BE32-E72D297353CC}">
                <c16:uniqueId val="{0000002C-EBD6-4B52-B5D0-908A4AF4AB21}"/>
              </c:ext>
            </c:extLst>
          </c:dPt>
          <c:val>
            <c:numRef>
              <c:f>'Tablero Mar-26'!$B$113:$C$113</c:f>
              <c:numCache>
                <c:formatCode>0%</c:formatCode>
                <c:ptCount val="2"/>
                <c:pt idx="0">
                  <c:v>0.93</c:v>
                </c:pt>
                <c:pt idx="1">
                  <c:v>0.34</c:v>
                </c:pt>
              </c:numCache>
            </c:numRef>
          </c:val>
          <c:extLst>
            <c:ext xmlns:c16="http://schemas.microsoft.com/office/drawing/2014/chart" uri="{C3380CC4-5D6E-409C-BE32-E72D297353CC}">
              <c16:uniqueId val="{0000002D-EBD6-4B52-B5D0-908A4AF4AB2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E148-47E0-8F0E-F73D0C135E5F}"/>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E148-47E0-8F0E-F73D0C135E5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148-47E0-8F0E-F73D0C135E5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148-47E0-8F0E-F73D0C135E5F}"/>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E148-47E0-8F0E-F73D0C135E5F}"/>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E148-47E0-8F0E-F73D0C135E5F}"/>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E148-47E0-8F0E-F73D0C135E5F}"/>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E148-47E0-8F0E-F73D0C135E5F}"/>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E148-47E0-8F0E-F73D0C135E5F}"/>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E148-47E0-8F0E-F73D0C135E5F}"/>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E148-47E0-8F0E-F73D0C135E5F}"/>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E148-47E0-8F0E-F73D0C135E5F}"/>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E148-47E0-8F0E-F73D0C135E5F}"/>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E148-47E0-8F0E-F73D0C135E5F}"/>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E148-47E0-8F0E-F73D0C135E5F}"/>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E148-47E0-8F0E-F73D0C135E5F}"/>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E148-47E0-8F0E-F73D0C135E5F}"/>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E148-47E0-8F0E-F73D0C135E5F}"/>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E148-47E0-8F0E-F73D0C135E5F}"/>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E148-47E0-8F0E-F73D0C135E5F}"/>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148-47E0-8F0E-F73D0C135E5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Mar-26'!$A$108</c:f>
              <c:strCache>
                <c:ptCount val="1"/>
                <c:pt idx="0">
                  <c:v>Relaciones y Servicio</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E148-47E0-8F0E-F73D0C135E5F}"/>
              </c:ext>
            </c:extLst>
          </c:dPt>
          <c:dPt>
            <c:idx val="1"/>
            <c:bubble3D val="0"/>
            <c:spPr>
              <a:noFill/>
              <a:ln w="19050">
                <a:solidFill>
                  <a:schemeClr val="lt1"/>
                </a:solidFill>
              </a:ln>
              <a:effectLst/>
            </c:spPr>
            <c:extLst>
              <c:ext xmlns:c16="http://schemas.microsoft.com/office/drawing/2014/chart" uri="{C3380CC4-5D6E-409C-BE32-E72D297353CC}">
                <c16:uniqueId val="{0000002C-E148-47E0-8F0E-F73D0C135E5F}"/>
              </c:ext>
            </c:extLst>
          </c:dPt>
          <c:val>
            <c:numRef>
              <c:f>'Tablero Mar-26'!$B$108:$C$108</c:f>
              <c:numCache>
                <c:formatCode>0%</c:formatCode>
                <c:ptCount val="2"/>
                <c:pt idx="0">
                  <c:v>0</c:v>
                </c:pt>
                <c:pt idx="1">
                  <c:v>1</c:v>
                </c:pt>
              </c:numCache>
            </c:numRef>
          </c:val>
          <c:extLst>
            <c:ext xmlns:c16="http://schemas.microsoft.com/office/drawing/2014/chart" uri="{C3380CC4-5D6E-409C-BE32-E72D297353CC}">
              <c16:uniqueId val="{0000002D-E148-47E0-8F0E-F73D0C135E5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0445374980044"/>
          <c:y val="6.5191144247894753E-2"/>
          <c:w val="0.56200650276467012"/>
          <c:h val="0.71435750158831457"/>
        </c:manualLayout>
      </c:layout>
      <c:doughnutChart>
        <c:varyColors val="1"/>
        <c:ser>
          <c:idx val="0"/>
          <c:order val="0"/>
          <c:tx>
            <c:strRef>
              <c:f>'Tablero Mar-26'!$A$65</c:f>
              <c:strCache>
                <c:ptCount val="1"/>
                <c:pt idx="0">
                  <c:v>Estrategia y Planificación Comercial</c:v>
                </c:pt>
              </c:strCache>
            </c:strRef>
          </c:tx>
          <c:spPr>
            <a:solidFill>
              <a:schemeClr val="accent2"/>
            </a:solidFill>
          </c:spPr>
          <c:explosion val="1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172-414C-A1FD-AD24983CF7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72-414C-A1FD-AD24983CF78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172-414C-A1FD-AD24983CF789}"/>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172-414C-A1FD-AD24983CF789}"/>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7172-414C-A1FD-AD24983CF789}"/>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7172-414C-A1FD-AD24983CF789}"/>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7172-414C-A1FD-AD24983CF789}"/>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7172-414C-A1FD-AD24983CF789}"/>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7172-414C-A1FD-AD24983CF789}"/>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7172-414C-A1FD-AD24983CF789}"/>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7172-414C-A1FD-AD24983CF789}"/>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7172-414C-A1FD-AD24983CF789}"/>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7172-414C-A1FD-AD24983CF789}"/>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7172-414C-A1FD-AD24983CF789}"/>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7172-414C-A1FD-AD24983CF789}"/>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7172-414C-A1FD-AD24983CF789}"/>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7172-414C-A1FD-AD24983CF789}"/>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7172-414C-A1FD-AD24983CF789}"/>
              </c:ext>
            </c:extLst>
          </c:dPt>
          <c:dPt>
            <c:idx val="18"/>
            <c:bubble3D val="0"/>
            <c:spPr>
              <a:solidFill>
                <a:schemeClr val="accent2"/>
              </a:solidFill>
              <a:ln w="19050">
                <a:solidFill>
                  <a:schemeClr val="lt1"/>
                </a:solidFill>
              </a:ln>
              <a:effectLst/>
            </c:spPr>
            <c:extLst>
              <c:ext xmlns:c16="http://schemas.microsoft.com/office/drawing/2014/chart" uri="{C3380CC4-5D6E-409C-BE32-E72D297353CC}">
                <c16:uniqueId val="{00000025-7172-414C-A1FD-AD24983CF789}"/>
              </c:ext>
            </c:extLst>
          </c:dPt>
          <c:dPt>
            <c:idx val="19"/>
            <c:bubble3D val="0"/>
            <c:spPr>
              <a:solidFill>
                <a:schemeClr val="accent2"/>
              </a:solidFill>
              <a:ln w="19050">
                <a:solidFill>
                  <a:schemeClr val="lt1"/>
                </a:solidFill>
              </a:ln>
              <a:effectLst/>
            </c:spPr>
            <c:extLst>
              <c:ext xmlns:c16="http://schemas.microsoft.com/office/drawing/2014/chart" uri="{C3380CC4-5D6E-409C-BE32-E72D297353CC}">
                <c16:uniqueId val="{00000027-7172-414C-A1FD-AD24983CF78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7172-414C-A1FD-AD24983CF789}"/>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Mar-26'!$A$115</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7172-414C-A1FD-AD24983CF789}"/>
              </c:ext>
            </c:extLst>
          </c:dPt>
          <c:dPt>
            <c:idx val="1"/>
            <c:bubble3D val="0"/>
            <c:spPr>
              <a:noFill/>
              <a:ln w="19050">
                <a:solidFill>
                  <a:schemeClr val="lt1"/>
                </a:solidFill>
              </a:ln>
              <a:effectLst/>
            </c:spPr>
            <c:extLst>
              <c:ext xmlns:c16="http://schemas.microsoft.com/office/drawing/2014/chart" uri="{C3380CC4-5D6E-409C-BE32-E72D297353CC}">
                <c16:uniqueId val="{0000002C-7172-414C-A1FD-AD24983CF789}"/>
              </c:ext>
            </c:extLst>
          </c:dPt>
          <c:val>
            <c:numRef>
              <c:f>'Tablero Mar-26'!$B$115:$C$115</c:f>
              <c:numCache>
                <c:formatCode>0%</c:formatCode>
                <c:ptCount val="2"/>
                <c:pt idx="0">
                  <c:v>0.6</c:v>
                </c:pt>
                <c:pt idx="1">
                  <c:v>1</c:v>
                </c:pt>
              </c:numCache>
            </c:numRef>
          </c:val>
          <c:extLst>
            <c:ext xmlns:c16="http://schemas.microsoft.com/office/drawing/2014/chart" uri="{C3380CC4-5D6E-409C-BE32-E72D297353CC}">
              <c16:uniqueId val="{0000002D-7172-414C-A1FD-AD24983CF7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6A59-462C-91C3-B53C7A99F51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6A59-462C-91C3-B53C7A99F514}"/>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A59-462C-91C3-B53C7A99F514}"/>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A59-462C-91C3-B53C7A99F514}"/>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6A59-462C-91C3-B53C7A99F514}"/>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6A59-462C-91C3-B53C7A99F514}"/>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6A59-462C-91C3-B53C7A99F514}"/>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6A59-462C-91C3-B53C7A99F514}"/>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6A59-462C-91C3-B53C7A99F514}"/>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6A59-462C-91C3-B53C7A99F514}"/>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6A59-462C-91C3-B53C7A99F514}"/>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6A59-462C-91C3-B53C7A99F514}"/>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6A59-462C-91C3-B53C7A99F514}"/>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6A59-462C-91C3-B53C7A99F514}"/>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6A59-462C-91C3-B53C7A99F514}"/>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6A59-462C-91C3-B53C7A99F514}"/>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6A59-462C-91C3-B53C7A99F514}"/>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6A59-462C-91C3-B53C7A99F514}"/>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6A59-462C-91C3-B53C7A99F514}"/>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6A59-462C-91C3-B53C7A99F514}"/>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A59-462C-91C3-B53C7A99F514}"/>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 Mar-26'!$A$109</c:f>
              <c:strCache>
                <c:ptCount val="1"/>
                <c:pt idx="0">
                  <c:v>Gestión Operativa y Control de Ventas</c:v>
                </c:pt>
              </c:strCache>
            </c:strRef>
          </c:tx>
          <c:dPt>
            <c:idx val="0"/>
            <c:bubble3D val="0"/>
            <c:spPr>
              <a:solidFill>
                <a:schemeClr val="bg1">
                  <a:alpha val="60000"/>
                </a:schemeClr>
              </a:solidFill>
              <a:ln w="19050">
                <a:solidFill>
                  <a:schemeClr val="lt1"/>
                </a:solidFill>
              </a:ln>
              <a:effectLst/>
            </c:spPr>
            <c:extLst>
              <c:ext xmlns:c16="http://schemas.microsoft.com/office/drawing/2014/chart" uri="{C3380CC4-5D6E-409C-BE32-E72D297353CC}">
                <c16:uniqueId val="{0000002A-6A59-462C-91C3-B53C7A99F514}"/>
              </c:ext>
            </c:extLst>
          </c:dPt>
          <c:dPt>
            <c:idx val="1"/>
            <c:bubble3D val="0"/>
            <c:spPr>
              <a:noFill/>
              <a:ln w="19050">
                <a:solidFill>
                  <a:schemeClr val="lt1"/>
                </a:solidFill>
              </a:ln>
              <a:effectLst/>
            </c:spPr>
            <c:extLst>
              <c:ext xmlns:c16="http://schemas.microsoft.com/office/drawing/2014/chart" uri="{C3380CC4-5D6E-409C-BE32-E72D297353CC}">
                <c16:uniqueId val="{0000002C-6A59-462C-91C3-B53C7A99F514}"/>
              </c:ext>
            </c:extLst>
          </c:dPt>
          <c:val>
            <c:numRef>
              <c:f>'Tablero Mar-26'!$B$109:$C$109</c:f>
              <c:numCache>
                <c:formatCode>0%</c:formatCode>
                <c:ptCount val="2"/>
                <c:pt idx="0">
                  <c:v>0.4</c:v>
                </c:pt>
                <c:pt idx="1">
                  <c:v>0.6</c:v>
                </c:pt>
              </c:numCache>
            </c:numRef>
          </c:val>
          <c:extLst>
            <c:ext xmlns:c16="http://schemas.microsoft.com/office/drawing/2014/chart" uri="{C3380CC4-5D6E-409C-BE32-E72D297353CC}">
              <c16:uniqueId val="{0000002D-6A59-462C-91C3-B53C7A99F51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'Tablero Mar-26'!$A$65</c:f>
              <c:strCache>
                <c:ptCount val="1"/>
                <c:pt idx="0">
                  <c:v>Estrategia y Planificación Comercial</c:v>
                </c:pt>
              </c:strCache>
            </c:strRef>
          </c:tx>
          <c:spPr>
            <a:solidFill>
              <a:schemeClr val="tx2">
                <a:lumMod val="50000"/>
                <a:lumOff val="50000"/>
              </a:schemeClr>
            </a:solidFill>
          </c:spPr>
          <c:explosion val="10"/>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C8D-4F06-8F3C-420A0B8F0B3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5C8D-4F06-8F3C-420A0B8F0B3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5C8D-4F06-8F3C-420A0B8F0B3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5C8D-4F06-8F3C-420A0B8F0B38}"/>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C8D-4F06-8F3C-420A0B8F0B38}"/>
              </c:ext>
            </c:extLst>
          </c:dPt>
          <c:dPt>
            <c:idx val="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B-5C8D-4F06-8F3C-420A0B8F0B38}"/>
              </c:ext>
            </c:extLst>
          </c:dPt>
          <c:dPt>
            <c:idx val="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D-5C8D-4F06-8F3C-420A0B8F0B38}"/>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5C8D-4F06-8F3C-420A0B8F0B38}"/>
              </c:ext>
            </c:extLst>
          </c:dPt>
          <c:dPt>
            <c:idx val="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1-5C8D-4F06-8F3C-420A0B8F0B38}"/>
              </c:ext>
            </c:extLst>
          </c:dPt>
          <c:dPt>
            <c:idx val="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3-5C8D-4F06-8F3C-420A0B8F0B38}"/>
              </c:ext>
            </c:extLst>
          </c:dPt>
          <c:dPt>
            <c:idx val="1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5-5C8D-4F06-8F3C-420A0B8F0B38}"/>
              </c:ext>
            </c:extLst>
          </c:dPt>
          <c:dPt>
            <c:idx val="1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7-5C8D-4F06-8F3C-420A0B8F0B38}"/>
              </c:ext>
            </c:extLst>
          </c:dPt>
          <c:dPt>
            <c:idx val="1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9-5C8D-4F06-8F3C-420A0B8F0B38}"/>
              </c:ext>
            </c:extLst>
          </c:dPt>
          <c:dPt>
            <c:idx val="1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B-5C8D-4F06-8F3C-420A0B8F0B38}"/>
              </c:ext>
            </c:extLst>
          </c:dPt>
          <c:dPt>
            <c:idx val="1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D-5C8D-4F06-8F3C-420A0B8F0B38}"/>
              </c:ext>
            </c:extLst>
          </c:dPt>
          <c:dPt>
            <c:idx val="15"/>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1F-5C8D-4F06-8F3C-420A0B8F0B38}"/>
              </c:ext>
            </c:extLst>
          </c:dPt>
          <c:dPt>
            <c:idx val="16"/>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1-5C8D-4F06-8F3C-420A0B8F0B38}"/>
              </c:ext>
            </c:extLst>
          </c:dPt>
          <c:dPt>
            <c:idx val="1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3-5C8D-4F06-8F3C-420A0B8F0B38}"/>
              </c:ext>
            </c:extLst>
          </c:dPt>
          <c:dPt>
            <c:idx val="18"/>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5-5C8D-4F06-8F3C-420A0B8F0B38}"/>
              </c:ext>
            </c:extLst>
          </c:dPt>
          <c:dPt>
            <c:idx val="19"/>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27-5C8D-4F06-8F3C-420A0B8F0B38}"/>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C8D-4F06-8F3C-420A0B8F0B38}"/>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Tablero!#REF!</c:f>
              <c:strCache>
                <c:ptCount val="1"/>
                <c:pt idx="0">
                  <c:v>#REF!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5C8D-4F06-8F3C-420A0B8F0B38}"/>
              </c:ext>
            </c:extLst>
          </c:dPt>
          <c:val>
            <c:numRef>
              <c:f>Tablero!#REF!</c:f>
              <c:numCache>
                <c:formatCode>General</c:formatCode>
                <c:ptCount val="1"/>
                <c:pt idx="0">
                  <c:v>1</c:v>
                </c:pt>
              </c:numCache>
            </c:numRef>
          </c:val>
          <c:extLst>
            <c:ext xmlns:c16="http://schemas.microsoft.com/office/drawing/2014/chart" uri="{C3380CC4-5D6E-409C-BE32-E72D297353CC}">
              <c16:uniqueId val="{0000002B-5C8D-4F06-8F3C-420A0B8F0B3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AC1B-49F3-93FF-DA51B5D7B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1B-49F3-93FF-DA51B5D7B478}"/>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C1B-49F3-93FF-DA51B5D7B478}"/>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AC1B-49F3-93FF-DA51B5D7B478}"/>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AC1B-49F3-93FF-DA51B5D7B478}"/>
              </c:ext>
            </c:extLst>
          </c:dPt>
          <c:dPt>
            <c:idx val="5"/>
            <c:bubble3D val="0"/>
            <c:spPr>
              <a:noFill/>
              <a:ln w="19050">
                <a:solidFill>
                  <a:schemeClr val="lt1"/>
                </a:solidFill>
              </a:ln>
              <a:effectLst/>
            </c:spPr>
            <c:extLst>
              <c:ext xmlns:c16="http://schemas.microsoft.com/office/drawing/2014/chart" uri="{C3380CC4-5D6E-409C-BE32-E72D297353CC}">
                <c16:uniqueId val="{0000000B-AC1B-49F3-93FF-DA51B5D7B478}"/>
              </c:ext>
            </c:extLst>
          </c:dPt>
          <c:val>
            <c:numRef>
              <c:f>'Tablero Mar-26'!$F$64:$F$69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AC1B-49F3-93FF-DA51B5D7B478}"/>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AC1B-49F3-93FF-DA51B5D7B478}"/>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AC1B-49F3-93FF-DA51B5D7B478}"/>
              </c:ext>
            </c:extLst>
          </c:dPt>
          <c:dPt>
            <c:idx val="2"/>
            <c:bubble3D val="0"/>
            <c:spPr>
              <a:noFill/>
              <a:ln w="19050">
                <a:solidFill>
                  <a:schemeClr val="lt1"/>
                </a:solidFill>
              </a:ln>
              <a:effectLst/>
            </c:spPr>
            <c:extLst>
              <c:ext xmlns:c16="http://schemas.microsoft.com/office/drawing/2014/chart" uri="{C3380CC4-5D6E-409C-BE32-E72D297353CC}">
                <c16:uniqueId val="{00000012-AC1B-49F3-93FF-DA51B5D7B478}"/>
              </c:ext>
            </c:extLst>
          </c:dPt>
          <c:val>
            <c:numRef>
              <c:f>'Tablero Mar-26'!$F$87:$F$89</c:f>
              <c:numCache>
                <c:formatCode>General</c:formatCode>
                <c:ptCount val="3"/>
                <c:pt idx="0">
                  <c:v>92.5</c:v>
                </c:pt>
                <c:pt idx="1">
                  <c:v>3</c:v>
                </c:pt>
                <c:pt idx="2">
                  <c:v>104.5</c:v>
                </c:pt>
              </c:numCache>
            </c:numRef>
          </c:val>
          <c:extLst>
            <c:ext xmlns:c16="http://schemas.microsoft.com/office/drawing/2014/chart" uri="{C3380CC4-5D6E-409C-BE32-E72D297353CC}">
              <c16:uniqueId val="{00000013-AC1B-49F3-93FF-DA51B5D7B47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6275-4795-9EE0-1FAF548FDE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75-4795-9EE0-1FAF548FDEC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6275-4795-9EE0-1FAF548FDEC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6275-4795-9EE0-1FAF548FDEC2}"/>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6275-4795-9EE0-1FAF548FDEC2}"/>
              </c:ext>
            </c:extLst>
          </c:dPt>
          <c:dPt>
            <c:idx val="5"/>
            <c:bubble3D val="0"/>
            <c:spPr>
              <a:noFill/>
              <a:ln w="19050">
                <a:solidFill>
                  <a:schemeClr val="lt1"/>
                </a:solidFill>
              </a:ln>
              <a:effectLst/>
            </c:spPr>
            <c:extLst>
              <c:ext xmlns:c16="http://schemas.microsoft.com/office/drawing/2014/chart" uri="{C3380CC4-5D6E-409C-BE32-E72D297353CC}">
                <c16:uniqueId val="{0000000B-6275-4795-9EE0-1FAF548FDEC2}"/>
              </c:ext>
            </c:extLst>
          </c:dPt>
          <c:val>
            <c:numRef>
              <c:f>'Tablero Mar-26'!$F$64:$F$69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6275-4795-9EE0-1FAF548FDEC2}"/>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6275-4795-9EE0-1FAF548FDEC2}"/>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6275-4795-9EE0-1FAF548FDEC2}"/>
              </c:ext>
            </c:extLst>
          </c:dPt>
          <c:dPt>
            <c:idx val="2"/>
            <c:bubble3D val="0"/>
            <c:spPr>
              <a:noFill/>
              <a:ln w="19050">
                <a:solidFill>
                  <a:schemeClr val="lt1"/>
                </a:solidFill>
              </a:ln>
              <a:effectLst/>
            </c:spPr>
            <c:extLst>
              <c:ext xmlns:c16="http://schemas.microsoft.com/office/drawing/2014/chart" uri="{C3380CC4-5D6E-409C-BE32-E72D297353CC}">
                <c16:uniqueId val="{00000012-6275-4795-9EE0-1FAF548FDEC2}"/>
              </c:ext>
            </c:extLst>
          </c:dPt>
          <c:val>
            <c:numRef>
              <c:f>'Tablero Mar-26'!$F$101:$F$103</c:f>
              <c:numCache>
                <c:formatCode>General</c:formatCode>
                <c:ptCount val="3"/>
                <c:pt idx="0">
                  <c:v>87.5</c:v>
                </c:pt>
                <c:pt idx="1">
                  <c:v>3</c:v>
                </c:pt>
                <c:pt idx="2">
                  <c:v>109.5</c:v>
                </c:pt>
              </c:numCache>
            </c:numRef>
          </c:val>
          <c:extLst>
            <c:ext xmlns:c16="http://schemas.microsoft.com/office/drawing/2014/chart" uri="{C3380CC4-5D6E-409C-BE32-E72D297353CC}">
              <c16:uniqueId val="{00000013-6275-4795-9EE0-1FAF548FDEC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r>
              <a:rPr lang="es-CO">
                <a:solidFill>
                  <a:sysClr val="windowText" lastClr="000000"/>
                </a:solidFill>
                <a:latin typeface="Bahnschrift SemiBold SemiConden" panose="020B0502040204020203" pitchFamily="34" charset="0"/>
              </a:rPr>
              <a:t>CALIFICACIÓN</a:t>
            </a:r>
          </a:p>
        </c:rich>
      </c:tx>
      <c:layout>
        <c:manualLayout>
          <c:xMode val="edge"/>
          <c:yMode val="edge"/>
          <c:x val="0.35129481357431142"/>
          <c:y val="8.2146769697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SemiConden" panose="020B0502040204020203" pitchFamily="34" charset="0"/>
              <a:ea typeface="+mn-ea"/>
              <a:cs typeface="+mn-cs"/>
            </a:defRPr>
          </a:pPr>
          <a:endParaRPr lang="es-CO"/>
        </a:p>
      </c:txPr>
    </c:title>
    <c:autoTitleDeleted val="0"/>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0B36-4059-94DF-EF5D9183C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36-4059-94DF-EF5D9183CFC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0B36-4059-94DF-EF5D9183CFCF}"/>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0B36-4059-94DF-EF5D9183CFCF}"/>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0B36-4059-94DF-EF5D9183CFCF}"/>
              </c:ext>
            </c:extLst>
          </c:dPt>
          <c:dPt>
            <c:idx val="5"/>
            <c:bubble3D val="0"/>
            <c:spPr>
              <a:noFill/>
              <a:ln w="19050">
                <a:solidFill>
                  <a:schemeClr val="lt1"/>
                </a:solidFill>
              </a:ln>
              <a:effectLst/>
            </c:spPr>
            <c:extLst>
              <c:ext xmlns:c16="http://schemas.microsoft.com/office/drawing/2014/chart" uri="{C3380CC4-5D6E-409C-BE32-E72D297353CC}">
                <c16:uniqueId val="{0000000B-0B36-4059-94DF-EF5D9183CFCF}"/>
              </c:ext>
            </c:extLst>
          </c:dPt>
          <c:val>
            <c:numRef>
              <c:f>'Tablero Mar-26'!$F$64:$F$69</c:f>
              <c:numCache>
                <c:formatCode>General</c:formatCode>
                <c:ptCount val="6"/>
                <c:pt idx="0">
                  <c:v>20</c:v>
                </c:pt>
                <c:pt idx="1">
                  <c:v>20</c:v>
                </c:pt>
                <c:pt idx="2">
                  <c:v>20</c:v>
                </c:pt>
                <c:pt idx="3">
                  <c:v>20</c:v>
                </c:pt>
                <c:pt idx="4">
                  <c:v>20</c:v>
                </c:pt>
                <c:pt idx="5">
                  <c:v>100</c:v>
                </c:pt>
              </c:numCache>
            </c:numRef>
          </c:val>
          <c:extLst>
            <c:ext xmlns:c16="http://schemas.microsoft.com/office/drawing/2014/chart" uri="{C3380CC4-5D6E-409C-BE32-E72D297353CC}">
              <c16:uniqueId val="{0000000C-0B36-4059-94DF-EF5D9183CFCF}"/>
            </c:ext>
          </c:extLst>
        </c:ser>
        <c:dLbls>
          <c:showLegendKey val="0"/>
          <c:showVal val="0"/>
          <c:showCatName val="0"/>
          <c:showSerName val="0"/>
          <c:showPercent val="0"/>
          <c:showBubbleSize val="0"/>
          <c:showLeaderLines val="1"/>
        </c:dLbls>
        <c:firstSliceAng val="270"/>
        <c:holeSize val="75"/>
      </c:doughnutChart>
      <c:pieChart>
        <c:varyColors val="1"/>
        <c:ser>
          <c:idx val="1"/>
          <c:order val="1"/>
          <c:tx>
            <c:v>Puntero</c:v>
          </c:tx>
          <c:dPt>
            <c:idx val="0"/>
            <c:bubble3D val="0"/>
            <c:spPr>
              <a:noFill/>
              <a:ln w="19050">
                <a:solidFill>
                  <a:schemeClr val="lt1"/>
                </a:solidFill>
              </a:ln>
              <a:effectLst/>
            </c:spPr>
            <c:extLst>
              <c:ext xmlns:c16="http://schemas.microsoft.com/office/drawing/2014/chart" uri="{C3380CC4-5D6E-409C-BE32-E72D297353CC}">
                <c16:uniqueId val="{0000000E-0B36-4059-94DF-EF5D9183CFCF}"/>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0-0B36-4059-94DF-EF5D9183CFCF}"/>
              </c:ext>
            </c:extLst>
          </c:dPt>
          <c:dPt>
            <c:idx val="2"/>
            <c:bubble3D val="0"/>
            <c:spPr>
              <a:noFill/>
              <a:ln w="19050">
                <a:solidFill>
                  <a:schemeClr val="lt1"/>
                </a:solidFill>
              </a:ln>
              <a:effectLst/>
            </c:spPr>
            <c:extLst>
              <c:ext xmlns:c16="http://schemas.microsoft.com/office/drawing/2014/chart" uri="{C3380CC4-5D6E-409C-BE32-E72D297353CC}">
                <c16:uniqueId val="{00000012-0B36-4059-94DF-EF5D9183CFCF}"/>
              </c:ext>
            </c:extLst>
          </c:dPt>
          <c:val>
            <c:numRef>
              <c:f>'Tablero Mar-26'!$F$115:$F$117</c:f>
              <c:numCache>
                <c:formatCode>General</c:formatCode>
                <c:ptCount val="3"/>
                <c:pt idx="0">
                  <c:v>78.5</c:v>
                </c:pt>
                <c:pt idx="1">
                  <c:v>3</c:v>
                </c:pt>
                <c:pt idx="2">
                  <c:v>118.5</c:v>
                </c:pt>
              </c:numCache>
            </c:numRef>
          </c:val>
          <c:extLst>
            <c:ext xmlns:c16="http://schemas.microsoft.com/office/drawing/2014/chart" uri="{C3380CC4-5D6E-409C-BE32-E72D297353CC}">
              <c16:uniqueId val="{00000013-0B36-4059-94DF-EF5D9183CFC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Mar-26!TablaDinámica1</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'Tablero Mar-26'!$AK$18</c:f>
              <c:strCache>
                <c:ptCount val="1"/>
                <c:pt idx="0">
                  <c:v>Suma de INCIDENCIA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'Tablero Mar-26'!$AJ$19:$AJ$35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Mar-26'!$AK$19:$AK$35</c:f>
              <c:numCache>
                <c:formatCode>0%</c:formatCode>
                <c:ptCount val="13"/>
                <c:pt idx="0">
                  <c:v>0.7</c:v>
                </c:pt>
                <c:pt idx="1">
                  <c:v>0.25</c:v>
                </c:pt>
                <c:pt idx="2">
                  <c:v>0.05</c:v>
                </c:pt>
                <c:pt idx="3">
                  <c:v>0.6</c:v>
                </c:pt>
                <c:pt idx="4">
                  <c:v>0.4</c:v>
                </c:pt>
                <c:pt idx="5">
                  <c:v>0</c:v>
                </c:pt>
                <c:pt idx="6">
                  <c:v>0.3</c:v>
                </c:pt>
                <c:pt idx="7">
                  <c:v>0.1</c:v>
                </c:pt>
                <c:pt idx="8">
                  <c:v>0.3</c:v>
                </c:pt>
                <c:pt idx="9">
                  <c:v>0.3</c:v>
                </c:pt>
                <c:pt idx="10">
                  <c:v>0.7</c:v>
                </c:pt>
                <c:pt idx="11">
                  <c:v>0.25</c:v>
                </c:pt>
                <c:pt idx="12">
                  <c:v>0.05</c:v>
                </c:pt>
              </c:numCache>
            </c:numRef>
          </c:val>
          <c:smooth val="0"/>
          <c:extLst>
            <c:ext xmlns:c16="http://schemas.microsoft.com/office/drawing/2014/chart" uri="{C3380CC4-5D6E-409C-BE32-E72D297353CC}">
              <c16:uniqueId val="{00000000-F075-4F3F-94C2-5A93B7C0F71D}"/>
            </c:ext>
          </c:extLst>
        </c:ser>
        <c:ser>
          <c:idx val="1"/>
          <c:order val="1"/>
          <c:tx>
            <c:strRef>
              <c:f>'Tablero Mar-26'!$AL$18</c:f>
              <c:strCache>
                <c:ptCount val="1"/>
                <c:pt idx="0">
                  <c:v>Suma de CALIFICACIÓN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'Tablero Mar-26'!$AJ$19:$AJ$35</c:f>
              <c:multiLvlStrCache>
                <c:ptCount val="13"/>
                <c:lvl>
                  <c:pt idx="0">
                    <c:v>Gestión de Clientes y Leads</c:v>
                  </c:pt>
                  <c:pt idx="1">
                    <c:v>Gestión Operativa y Control de Ventas</c:v>
                  </c:pt>
                  <c:pt idx="2">
                    <c:v>Relaciones y Servicio</c:v>
                  </c:pt>
                  <c:pt idx="3">
                    <c:v>Gestión de Clientes y Leads</c:v>
                  </c:pt>
                  <c:pt idx="4">
                    <c:v>Gestión Operativa y Control de Ventas</c:v>
                  </c:pt>
                  <c:pt idx="5">
                    <c:v>Relaciones y Servicio</c:v>
                  </c:pt>
                  <c:pt idx="6">
                    <c:v>Estrategia y Planificación Comercial</c:v>
                  </c:pt>
                  <c:pt idx="7">
                    <c:v>Gestión Documental y Procesos Legales/Internos</c:v>
                  </c:pt>
                  <c:pt idx="8">
                    <c:v>Gestión Operativa y Control de Ventas</c:v>
                  </c:pt>
                  <c:pt idx="9">
                    <c:v>Liderazgo y Gestión del Equipo Comercial</c:v>
                  </c:pt>
                  <c:pt idx="10">
                    <c:v>Gestión de Clientes y Leads</c:v>
                  </c:pt>
                  <c:pt idx="11">
                    <c:v>Gestión Operativa y Control de Ventas</c:v>
                  </c:pt>
                  <c:pt idx="12">
                    <c:v>Relaciones y Servicio</c:v>
                  </c:pt>
                </c:lvl>
                <c:lvl>
                  <c:pt idx="0">
                    <c:v>ASESORA COMERCIAL</c:v>
                  </c:pt>
                  <c:pt idx="3">
                    <c:v>ASESORA COMERCIAL ADMIN</c:v>
                  </c:pt>
                  <c:pt idx="6">
                    <c:v>DIRECTORA COMERCIAL</c:v>
                  </c:pt>
                  <c:pt idx="10">
                    <c:v>LIDER SALA DE VENTAS</c:v>
                  </c:pt>
                </c:lvl>
              </c:multiLvlStrCache>
            </c:multiLvlStrRef>
          </c:cat>
          <c:val>
            <c:numRef>
              <c:f>'Tablero Mar-26'!$AL$19:$AL$35</c:f>
              <c:numCache>
                <c:formatCode>0%</c:formatCode>
                <c:ptCount val="13"/>
                <c:pt idx="0">
                  <c:v>0.63</c:v>
                </c:pt>
                <c:pt idx="1">
                  <c:v>0.21</c:v>
                </c:pt>
                <c:pt idx="2">
                  <c:v>0.05</c:v>
                </c:pt>
                <c:pt idx="3">
                  <c:v>0.56000000000000005</c:v>
                </c:pt>
                <c:pt idx="4">
                  <c:v>0.24</c:v>
                </c:pt>
                <c:pt idx="5">
                  <c:v>0</c:v>
                </c:pt>
                <c:pt idx="6">
                  <c:v>0.22</c:v>
                </c:pt>
                <c:pt idx="7">
                  <c:v>0.09</c:v>
                </c:pt>
                <c:pt idx="8">
                  <c:v>0.28000000000000003</c:v>
                </c:pt>
                <c:pt idx="9">
                  <c:v>0.25</c:v>
                </c:pt>
                <c:pt idx="10">
                  <c:v>0.65</c:v>
                </c:pt>
                <c:pt idx="11">
                  <c:v>0.25</c:v>
                </c:pt>
                <c:pt idx="12">
                  <c:v>0.05</c:v>
                </c:pt>
              </c:numCache>
            </c:numRef>
          </c:val>
          <c:smooth val="0"/>
          <c:extLst>
            <c:ext xmlns:c16="http://schemas.microsoft.com/office/drawing/2014/chart" uri="{C3380CC4-5D6E-409C-BE32-E72D297353CC}">
              <c16:uniqueId val="{00000001-F075-4F3F-94C2-5A93B7C0F71D}"/>
            </c:ext>
          </c:extLst>
        </c:ser>
        <c:dLbls>
          <c:showLegendKey val="0"/>
          <c:showVal val="0"/>
          <c:showCatName val="0"/>
          <c:showSerName val="0"/>
          <c:showPercent val="0"/>
          <c:showBubbleSize val="0"/>
        </c:dLbls>
        <c:marker val="1"/>
        <c:smooth val="0"/>
        <c:axId val="523912880"/>
        <c:axId val="523911440"/>
      </c:lineChart>
      <c:catAx>
        <c:axId val="5239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1440"/>
        <c:crosses val="autoZero"/>
        <c:auto val="1"/>
        <c:lblAlgn val="ctr"/>
        <c:lblOffset val="100"/>
        <c:noMultiLvlLbl val="0"/>
      </c:catAx>
      <c:valAx>
        <c:axId val="52391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3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[KPI´s_Área comercial.xlsx]Tablero Mar-26!TablaDinámica2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'Tablero Mar-26'!$AQ$18</c:f>
              <c:strCache>
                <c:ptCount val="1"/>
                <c:pt idx="0">
                  <c:v>Suma de Agosto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Mar-26'!$AQ$19:$AQ$22</c:f>
              <c:numCache>
                <c:formatCode>General</c:formatCode>
                <c:ptCount val="4"/>
                <c:pt idx="0">
                  <c:v>69</c:v>
                </c:pt>
              </c:numCache>
            </c:numRef>
          </c:val>
          <c:extLst>
            <c:ext xmlns:c16="http://schemas.microsoft.com/office/drawing/2014/chart" uri="{C3380CC4-5D6E-409C-BE32-E72D297353CC}">
              <c16:uniqueId val="{00000000-7D4C-4E41-BA09-691E062BEEB4}"/>
            </c:ext>
          </c:extLst>
        </c:ser>
        <c:ser>
          <c:idx val="1"/>
          <c:order val="1"/>
          <c:tx>
            <c:strRef>
              <c:f>'Tablero Mar-26'!$AR$18</c:f>
              <c:strCache>
                <c:ptCount val="1"/>
                <c:pt idx="0">
                  <c:v>Suma de Septiembre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Mar-26'!$AR$19:$AR$22</c:f>
              <c:numCache>
                <c:formatCode>General</c:formatCode>
                <c:ptCount val="4"/>
                <c:pt idx="0">
                  <c:v>74</c:v>
                </c:pt>
              </c:numCache>
            </c:numRef>
          </c:val>
          <c:extLst>
            <c:ext xmlns:c16="http://schemas.microsoft.com/office/drawing/2014/chart" uri="{C3380CC4-5D6E-409C-BE32-E72D297353CC}">
              <c16:uniqueId val="{00000001-7D4C-4E41-BA09-691E062BEEB4}"/>
            </c:ext>
          </c:extLst>
        </c:ser>
        <c:ser>
          <c:idx val="2"/>
          <c:order val="2"/>
          <c:tx>
            <c:strRef>
              <c:f>'Tablero Mar-26'!$AS$18</c:f>
              <c:strCache>
                <c:ptCount val="1"/>
                <c:pt idx="0">
                  <c:v>Suma de Octubre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Mar-26'!$AS$19:$AS$22</c:f>
              <c:numCache>
                <c:formatCode>0</c:formatCode>
                <c:ptCount val="4"/>
                <c:pt idx="0">
                  <c:v>80</c:v>
                </c:pt>
                <c:pt idx="1">
                  <c:v>68</c:v>
                </c:pt>
                <c:pt idx="2">
                  <c:v>74</c:v>
                </c:pt>
                <c:pt idx="3">
                  <c:v>57</c:v>
                </c:pt>
              </c:numCache>
            </c:numRef>
          </c:val>
          <c:extLst>
            <c:ext xmlns:c16="http://schemas.microsoft.com/office/drawing/2014/chart" uri="{C3380CC4-5D6E-409C-BE32-E72D297353CC}">
              <c16:uniqueId val="{00000002-7D4C-4E41-BA09-691E062BEEB4}"/>
            </c:ext>
          </c:extLst>
        </c:ser>
        <c:ser>
          <c:idx val="3"/>
          <c:order val="3"/>
          <c:tx>
            <c:strRef>
              <c:f>'Tablero Mar-26'!$AT$18</c:f>
              <c:strCache>
                <c:ptCount val="1"/>
                <c:pt idx="0">
                  <c:v>Suma de Noviembre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Mar-26'!$AT$19:$AT$22</c:f>
              <c:numCache>
                <c:formatCode>General</c:formatCode>
                <c:ptCount val="4"/>
                <c:pt idx="0">
                  <c:v>82</c:v>
                </c:pt>
                <c:pt idx="1">
                  <c:v>76</c:v>
                </c:pt>
                <c:pt idx="2">
                  <c:v>69</c:v>
                </c:pt>
                <c:pt idx="3">
                  <c:v>88</c:v>
                </c:pt>
              </c:numCache>
            </c:numRef>
          </c:val>
          <c:extLst>
            <c:ext xmlns:c16="http://schemas.microsoft.com/office/drawing/2014/chart" uri="{C3380CC4-5D6E-409C-BE32-E72D297353CC}">
              <c16:uniqueId val="{00000003-7D4C-4E41-BA09-691E062BEEB4}"/>
            </c:ext>
          </c:extLst>
        </c:ser>
        <c:ser>
          <c:idx val="4"/>
          <c:order val="4"/>
          <c:tx>
            <c:strRef>
              <c:f>'Tablero Mar-26'!$AU$18</c:f>
              <c:strCache>
                <c:ptCount val="1"/>
                <c:pt idx="0">
                  <c:v>Suma de Diciembre-Enero</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Mar-26'!$AU$19:$AU$22</c:f>
              <c:numCache>
                <c:formatCode>General</c:formatCode>
                <c:ptCount val="4"/>
                <c:pt idx="0">
                  <c:v>72</c:v>
                </c:pt>
                <c:pt idx="1">
                  <c:v>52</c:v>
                </c:pt>
                <c:pt idx="2">
                  <c:v>58</c:v>
                </c:pt>
                <c:pt idx="3">
                  <c:v>51</c:v>
                </c:pt>
              </c:numCache>
            </c:numRef>
          </c:val>
          <c:extLst>
            <c:ext xmlns:c16="http://schemas.microsoft.com/office/drawing/2014/chart" uri="{C3380CC4-5D6E-409C-BE32-E72D297353CC}">
              <c16:uniqueId val="{00000004-7D4C-4E41-BA09-691E062BEEB4}"/>
            </c:ext>
          </c:extLst>
        </c:ser>
        <c:ser>
          <c:idx val="5"/>
          <c:order val="5"/>
          <c:tx>
            <c:strRef>
              <c:f>'Tablero Mar-26'!$AV$18</c:f>
              <c:strCache>
                <c:ptCount val="1"/>
                <c:pt idx="0">
                  <c:v>Suma de Febrero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Mar-26'!$AV$19:$AV$22</c:f>
              <c:numCache>
                <c:formatCode>General</c:formatCode>
                <c:ptCount val="4"/>
                <c:pt idx="0">
                  <c:v>72</c:v>
                </c:pt>
                <c:pt idx="1">
                  <c:v>92</c:v>
                </c:pt>
                <c:pt idx="2">
                  <c:v>54</c:v>
                </c:pt>
                <c:pt idx="3">
                  <c:v>51</c:v>
                </c:pt>
              </c:numCache>
            </c:numRef>
          </c:val>
          <c:extLst>
            <c:ext xmlns:c16="http://schemas.microsoft.com/office/drawing/2014/chart" uri="{C3380CC4-5D6E-409C-BE32-E72D297353CC}">
              <c16:uniqueId val="{00000005-7D4C-4E41-BA09-691E062BEEB4}"/>
            </c:ext>
          </c:extLst>
        </c:ser>
        <c:ser>
          <c:idx val="6"/>
          <c:order val="6"/>
          <c:tx>
            <c:strRef>
              <c:f>'Tablero Mar-26'!$AW$18</c:f>
              <c:strCache>
                <c:ptCount val="1"/>
                <c:pt idx="0">
                  <c:v>Suma de Marzo</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'Tablero Mar-26'!$AP$19:$AP$22</c:f>
              <c:strCache>
                <c:ptCount val="4"/>
                <c:pt idx="0">
                  <c:v>DIRECTORA COMERCIAL</c:v>
                </c:pt>
                <c:pt idx="1">
                  <c:v>LIDER SALA DE VENTAS</c:v>
                </c:pt>
                <c:pt idx="2">
                  <c:v>ASESORA COMERCIAL NATALIA</c:v>
                </c:pt>
                <c:pt idx="3">
                  <c:v>ASESORA COMERCIAL PAOLA</c:v>
                </c:pt>
              </c:strCache>
            </c:strRef>
          </c:cat>
          <c:val>
            <c:numRef>
              <c:f>'Tablero Mar-26'!$AW$19:$AW$22</c:f>
              <c:numCache>
                <c:formatCode>General</c:formatCode>
                <c:ptCount val="4"/>
                <c:pt idx="0">
                  <c:v>85</c:v>
                </c:pt>
                <c:pt idx="1">
                  <c:v>94</c:v>
                </c:pt>
                <c:pt idx="2">
                  <c:v>89</c:v>
                </c:pt>
                <c:pt idx="3">
                  <c:v>80</c:v>
                </c:pt>
              </c:numCache>
            </c:numRef>
          </c:val>
          <c:extLst>
            <c:ext xmlns:c16="http://schemas.microsoft.com/office/drawing/2014/chart" uri="{C3380CC4-5D6E-409C-BE32-E72D297353CC}">
              <c16:uniqueId val="{00000000-BDB0-4DE7-A800-1FFE7D5A5F47}"/>
            </c:ext>
          </c:extLst>
        </c:ser>
        <c:dLbls>
          <c:showLegendKey val="0"/>
          <c:showVal val="1"/>
          <c:showCatName val="0"/>
          <c:showSerName val="0"/>
          <c:showPercent val="0"/>
          <c:showBubbleSize val="0"/>
        </c:dLbls>
        <c:gapWidth val="150"/>
        <c:shape val="box"/>
        <c:axId val="276415696"/>
        <c:axId val="276418096"/>
        <c:axId val="0"/>
      </c:bar3DChart>
      <c:catAx>
        <c:axId val="27641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8096"/>
        <c:crosses val="autoZero"/>
        <c:auto val="1"/>
        <c:lblAlgn val="ctr"/>
        <c:lblOffset val="100"/>
        <c:noMultiLvlLbl val="0"/>
      </c:catAx>
      <c:valAx>
        <c:axId val="27641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png"/><Relationship Id="rId18" Type="http://schemas.openxmlformats.org/officeDocument/2006/relationships/image" Target="../media/image3.png"/><Relationship Id="rId26" Type="http://schemas.openxmlformats.org/officeDocument/2006/relationships/hyperlink" Target="#'KPI&#180;s Alzurak'!A1"/><Relationship Id="rId39" Type="http://schemas.openxmlformats.org/officeDocument/2006/relationships/chart" Target="../charts/chart25.xml"/><Relationship Id="rId21" Type="http://schemas.openxmlformats.org/officeDocument/2006/relationships/hyperlink" Target="../Manuales%20de%20funciones%20y%20competencias/INGRID%20PAOLA%20OSPICIO%20PACHECO/2.Manual%20de%20funciones%20y%20competencias%20Lider%20de%20sala.pdf" TargetMode="External"/><Relationship Id="rId34" Type="http://schemas.openxmlformats.org/officeDocument/2006/relationships/chart" Target="../charts/chart20.xml"/><Relationship Id="rId42" Type="http://schemas.openxmlformats.org/officeDocument/2006/relationships/chart" Target="../charts/chart28.xml"/><Relationship Id="rId47" Type="http://schemas.openxmlformats.org/officeDocument/2006/relationships/chart" Target="../charts/chart33.xml"/><Relationship Id="rId50" Type="http://schemas.openxmlformats.org/officeDocument/2006/relationships/chart" Target="../charts/chart36.xml"/><Relationship Id="rId7"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hyperlink" Target="#'KPI&#180;s Sara'!A1"/><Relationship Id="rId29" Type="http://schemas.openxmlformats.org/officeDocument/2006/relationships/chart" Target="../charts/chart15.xml"/><Relationship Id="rId11" Type="http://schemas.openxmlformats.org/officeDocument/2006/relationships/chart" Target="../charts/chart10.xml"/><Relationship Id="rId24" Type="http://schemas.openxmlformats.org/officeDocument/2006/relationships/hyperlink" Target="#'KPI&#180;s Ingrid'!A1"/><Relationship Id="rId32" Type="http://schemas.openxmlformats.org/officeDocument/2006/relationships/chart" Target="../charts/chart18.xml"/><Relationship Id="rId37" Type="http://schemas.openxmlformats.org/officeDocument/2006/relationships/chart" Target="../charts/chart23.xml"/><Relationship Id="rId40" Type="http://schemas.openxmlformats.org/officeDocument/2006/relationships/chart" Target="../charts/chart26.xml"/><Relationship Id="rId45" Type="http://schemas.openxmlformats.org/officeDocument/2006/relationships/chart" Target="../charts/chart31.xml"/><Relationship Id="rId53" Type="http://schemas.openxmlformats.org/officeDocument/2006/relationships/chart" Target="../charts/chart39.xml"/><Relationship Id="rId5" Type="http://schemas.openxmlformats.org/officeDocument/2006/relationships/chart" Target="../charts/chart4.xml"/><Relationship Id="rId10" Type="http://schemas.openxmlformats.org/officeDocument/2006/relationships/chart" Target="../charts/chart9.xml"/><Relationship Id="rId19" Type="http://schemas.openxmlformats.org/officeDocument/2006/relationships/image" Target="../media/image4.png"/><Relationship Id="rId31" Type="http://schemas.openxmlformats.org/officeDocument/2006/relationships/chart" Target="../charts/chart17.xml"/><Relationship Id="rId44" Type="http://schemas.openxmlformats.org/officeDocument/2006/relationships/chart" Target="../charts/chart30.xml"/><Relationship Id="rId52" Type="http://schemas.openxmlformats.org/officeDocument/2006/relationships/chart" Target="../charts/chart38.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2.png"/><Relationship Id="rId22" Type="http://schemas.openxmlformats.org/officeDocument/2006/relationships/hyperlink" Target="../Manuales%20de%20funciones%20y%20competencias/NATALIA%20ANDREA%20POSADA%20RAVE/2.Manual%20de%20funciones%20y%20competencias%20Asesora%20Comercial%20(Natalia).pdf" TargetMode="External"/><Relationship Id="rId27" Type="http://schemas.openxmlformats.org/officeDocument/2006/relationships/chart" Target="../charts/chart13.xml"/><Relationship Id="rId30" Type="http://schemas.openxmlformats.org/officeDocument/2006/relationships/chart" Target="../charts/chart16.xml"/><Relationship Id="rId35" Type="http://schemas.openxmlformats.org/officeDocument/2006/relationships/chart" Target="../charts/chart21.xml"/><Relationship Id="rId43" Type="http://schemas.openxmlformats.org/officeDocument/2006/relationships/chart" Target="../charts/chart29.xml"/><Relationship Id="rId48" Type="http://schemas.openxmlformats.org/officeDocument/2006/relationships/chart" Target="../charts/chart34.xml"/><Relationship Id="rId8" Type="http://schemas.openxmlformats.org/officeDocument/2006/relationships/chart" Target="../charts/chart7.xml"/><Relationship Id="rId51" Type="http://schemas.openxmlformats.org/officeDocument/2006/relationships/chart" Target="../charts/chart37.xml"/><Relationship Id="rId3" Type="http://schemas.openxmlformats.org/officeDocument/2006/relationships/hyperlink" Target="../Manuales%20de%20funciones%20y%20competencias/SARA%20ELENA%20MORENO%20OROZCO/1.Pol&#237;ticas%20del%20&#225;rea%20Comercial.pdf" TargetMode="External"/><Relationship Id="rId12" Type="http://schemas.openxmlformats.org/officeDocument/2006/relationships/chart" Target="../charts/chart11.xml"/><Relationship Id="rId17" Type="http://schemas.openxmlformats.org/officeDocument/2006/relationships/chart" Target="../charts/chart12.xml"/><Relationship Id="rId25" Type="http://schemas.openxmlformats.org/officeDocument/2006/relationships/hyperlink" Target="#'KPI&#180;s Natalia'!A1"/><Relationship Id="rId33" Type="http://schemas.openxmlformats.org/officeDocument/2006/relationships/chart" Target="../charts/chart19.xml"/><Relationship Id="rId38" Type="http://schemas.openxmlformats.org/officeDocument/2006/relationships/chart" Target="../charts/chart24.xml"/><Relationship Id="rId46" Type="http://schemas.openxmlformats.org/officeDocument/2006/relationships/chart" Target="../charts/chart32.xml"/><Relationship Id="rId20" Type="http://schemas.openxmlformats.org/officeDocument/2006/relationships/image" Target="../media/image5.png"/><Relationship Id="rId41" Type="http://schemas.openxmlformats.org/officeDocument/2006/relationships/chart" Target="../charts/chart27.xml"/><Relationship Id="rId1" Type="http://schemas.openxmlformats.org/officeDocument/2006/relationships/chart" Target="../charts/chart1.xml"/><Relationship Id="rId6" Type="http://schemas.openxmlformats.org/officeDocument/2006/relationships/chart" Target="../charts/chart5.xml"/><Relationship Id="rId15" Type="http://schemas.openxmlformats.org/officeDocument/2006/relationships/hyperlink" Target="../Manuales%20de%20funciones%20y%20competencias/SARA%20ELENA%20MORENO%20OROZCO/2.Manual%20de%20funciones%20y%20competencias%20Director%20Comercial.pdf" TargetMode="External"/><Relationship Id="rId23" Type="http://schemas.openxmlformats.org/officeDocument/2006/relationships/hyperlink" Target="../Manuales%20de%20funciones%20y%20competencias/ALZURAK%20DELIROSS%20MENDOZA%20DE%20FRANCO/2.Manual%20de%20funciones%20y%20competencias%20Asesora%20Comercial%20(Alzurak).pdf" TargetMode="External"/><Relationship Id="rId28" Type="http://schemas.openxmlformats.org/officeDocument/2006/relationships/chart" Target="../charts/chart14.xml"/><Relationship Id="rId36" Type="http://schemas.openxmlformats.org/officeDocument/2006/relationships/chart" Target="../charts/chart22.xml"/><Relationship Id="rId49" Type="http://schemas.openxmlformats.org/officeDocument/2006/relationships/chart" Target="../charts/chart35.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png"/><Relationship Id="rId18" Type="http://schemas.openxmlformats.org/officeDocument/2006/relationships/image" Target="../media/image3.png"/><Relationship Id="rId26" Type="http://schemas.openxmlformats.org/officeDocument/2006/relationships/hyperlink" Target="#'KPI&#180;s Alzurak'!A1"/><Relationship Id="rId39" Type="http://schemas.openxmlformats.org/officeDocument/2006/relationships/chart" Target="../charts/chart64.xml"/><Relationship Id="rId21" Type="http://schemas.openxmlformats.org/officeDocument/2006/relationships/hyperlink" Target="../Manuales%20de%20funciones%20y%20competencias/INGRID%20PAOLA%20OSPICIO%20PACHECO/2.Manual%20de%20funciones%20y%20competencias%20Lider%20de%20sala.pdf" TargetMode="External"/><Relationship Id="rId34" Type="http://schemas.openxmlformats.org/officeDocument/2006/relationships/chart" Target="../charts/chart59.xml"/><Relationship Id="rId42" Type="http://schemas.openxmlformats.org/officeDocument/2006/relationships/chart" Target="../charts/chart67.xml"/><Relationship Id="rId47" Type="http://schemas.openxmlformats.org/officeDocument/2006/relationships/chart" Target="../charts/chart72.xml"/><Relationship Id="rId50" Type="http://schemas.openxmlformats.org/officeDocument/2006/relationships/chart" Target="../charts/chart75.xml"/><Relationship Id="rId7" Type="http://schemas.openxmlformats.org/officeDocument/2006/relationships/chart" Target="../charts/chart45.xml"/><Relationship Id="rId2" Type="http://schemas.openxmlformats.org/officeDocument/2006/relationships/chart" Target="../charts/chart41.xml"/><Relationship Id="rId16" Type="http://schemas.openxmlformats.org/officeDocument/2006/relationships/hyperlink" Target="#'KPI&#180;s Sara'!A1"/><Relationship Id="rId29" Type="http://schemas.openxmlformats.org/officeDocument/2006/relationships/chart" Target="../charts/chart54.xml"/><Relationship Id="rId11" Type="http://schemas.openxmlformats.org/officeDocument/2006/relationships/chart" Target="../charts/chart49.xml"/><Relationship Id="rId24" Type="http://schemas.openxmlformats.org/officeDocument/2006/relationships/hyperlink" Target="#'KPI&#180;s Ingrid'!A1"/><Relationship Id="rId32" Type="http://schemas.openxmlformats.org/officeDocument/2006/relationships/chart" Target="../charts/chart57.xml"/><Relationship Id="rId37" Type="http://schemas.openxmlformats.org/officeDocument/2006/relationships/chart" Target="../charts/chart62.xml"/><Relationship Id="rId40" Type="http://schemas.openxmlformats.org/officeDocument/2006/relationships/chart" Target="../charts/chart65.xml"/><Relationship Id="rId45" Type="http://schemas.openxmlformats.org/officeDocument/2006/relationships/chart" Target="../charts/chart70.xml"/><Relationship Id="rId53" Type="http://schemas.openxmlformats.org/officeDocument/2006/relationships/chart" Target="../charts/chart78.xml"/><Relationship Id="rId5" Type="http://schemas.openxmlformats.org/officeDocument/2006/relationships/chart" Target="../charts/chart43.xml"/><Relationship Id="rId10" Type="http://schemas.openxmlformats.org/officeDocument/2006/relationships/chart" Target="../charts/chart48.xml"/><Relationship Id="rId19" Type="http://schemas.openxmlformats.org/officeDocument/2006/relationships/image" Target="../media/image4.png"/><Relationship Id="rId31" Type="http://schemas.openxmlformats.org/officeDocument/2006/relationships/chart" Target="../charts/chart56.xml"/><Relationship Id="rId44" Type="http://schemas.openxmlformats.org/officeDocument/2006/relationships/chart" Target="../charts/chart69.xml"/><Relationship Id="rId52" Type="http://schemas.openxmlformats.org/officeDocument/2006/relationships/chart" Target="../charts/chart77.xml"/><Relationship Id="rId4" Type="http://schemas.openxmlformats.org/officeDocument/2006/relationships/chart" Target="../charts/chart42.xml"/><Relationship Id="rId9" Type="http://schemas.openxmlformats.org/officeDocument/2006/relationships/chart" Target="../charts/chart47.xml"/><Relationship Id="rId14" Type="http://schemas.openxmlformats.org/officeDocument/2006/relationships/image" Target="../media/image2.png"/><Relationship Id="rId22" Type="http://schemas.openxmlformats.org/officeDocument/2006/relationships/hyperlink" Target="../Manuales%20de%20funciones%20y%20competencias/NATALIA%20ANDREA%20POSADA%20RAVE/2.Manual%20de%20funciones%20y%20competencias%20Asesora%20Comercial%20(Natalia).pdf" TargetMode="External"/><Relationship Id="rId27" Type="http://schemas.openxmlformats.org/officeDocument/2006/relationships/chart" Target="../charts/chart52.xml"/><Relationship Id="rId30" Type="http://schemas.openxmlformats.org/officeDocument/2006/relationships/chart" Target="../charts/chart55.xml"/><Relationship Id="rId35" Type="http://schemas.openxmlformats.org/officeDocument/2006/relationships/chart" Target="../charts/chart60.xml"/><Relationship Id="rId43" Type="http://schemas.openxmlformats.org/officeDocument/2006/relationships/chart" Target="../charts/chart68.xml"/><Relationship Id="rId48" Type="http://schemas.openxmlformats.org/officeDocument/2006/relationships/chart" Target="../charts/chart73.xml"/><Relationship Id="rId8" Type="http://schemas.openxmlformats.org/officeDocument/2006/relationships/chart" Target="../charts/chart46.xml"/><Relationship Id="rId51" Type="http://schemas.openxmlformats.org/officeDocument/2006/relationships/chart" Target="../charts/chart76.xml"/><Relationship Id="rId3" Type="http://schemas.openxmlformats.org/officeDocument/2006/relationships/hyperlink" Target="../Manuales%20de%20funciones%20y%20competencias/SARA%20ELENA%20MORENO%20OROZCO/1.Pol&#237;ticas%20del%20&#225;rea%20Comercial.pdf" TargetMode="External"/><Relationship Id="rId12" Type="http://schemas.openxmlformats.org/officeDocument/2006/relationships/chart" Target="../charts/chart50.xml"/><Relationship Id="rId17" Type="http://schemas.openxmlformats.org/officeDocument/2006/relationships/chart" Target="../charts/chart51.xml"/><Relationship Id="rId25" Type="http://schemas.openxmlformats.org/officeDocument/2006/relationships/hyperlink" Target="#'KPI&#180;s Natalia'!A1"/><Relationship Id="rId33" Type="http://schemas.openxmlformats.org/officeDocument/2006/relationships/chart" Target="../charts/chart58.xml"/><Relationship Id="rId38" Type="http://schemas.openxmlformats.org/officeDocument/2006/relationships/chart" Target="../charts/chart63.xml"/><Relationship Id="rId46" Type="http://schemas.openxmlformats.org/officeDocument/2006/relationships/chart" Target="../charts/chart71.xml"/><Relationship Id="rId20" Type="http://schemas.openxmlformats.org/officeDocument/2006/relationships/image" Target="../media/image5.png"/><Relationship Id="rId41" Type="http://schemas.openxmlformats.org/officeDocument/2006/relationships/chart" Target="../charts/chart66.xml"/><Relationship Id="rId1" Type="http://schemas.openxmlformats.org/officeDocument/2006/relationships/chart" Target="../charts/chart40.xml"/><Relationship Id="rId6" Type="http://schemas.openxmlformats.org/officeDocument/2006/relationships/chart" Target="../charts/chart44.xml"/><Relationship Id="rId15" Type="http://schemas.openxmlformats.org/officeDocument/2006/relationships/hyperlink" Target="../Manuales%20de%20funciones%20y%20competencias/SARA%20ELENA%20MORENO%20OROZCO/2.Manual%20de%20funciones%20y%20competencias%20Director%20Comercial.pdf" TargetMode="External"/><Relationship Id="rId23" Type="http://schemas.openxmlformats.org/officeDocument/2006/relationships/hyperlink" Target="../Manuales%20de%20funciones%20y%20competencias/ALZURAK%20DELIROSS%20MENDOZA%20DE%20FRANCO/2.Manual%20de%20funciones%20y%20competencias%20Asesora%20Comercial%20(Alzurak).pdf" TargetMode="External"/><Relationship Id="rId28" Type="http://schemas.openxmlformats.org/officeDocument/2006/relationships/chart" Target="../charts/chart53.xml"/><Relationship Id="rId36" Type="http://schemas.openxmlformats.org/officeDocument/2006/relationships/chart" Target="../charts/chart61.xml"/><Relationship Id="rId49" Type="http://schemas.openxmlformats.org/officeDocument/2006/relationships/chart" Target="../charts/chart74.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png"/><Relationship Id="rId18" Type="http://schemas.openxmlformats.org/officeDocument/2006/relationships/image" Target="../media/image3.png"/><Relationship Id="rId26" Type="http://schemas.openxmlformats.org/officeDocument/2006/relationships/hyperlink" Target="#'KPI&#180;s Alzurak'!A1"/><Relationship Id="rId39" Type="http://schemas.openxmlformats.org/officeDocument/2006/relationships/chart" Target="../charts/chart103.xml"/><Relationship Id="rId21" Type="http://schemas.openxmlformats.org/officeDocument/2006/relationships/hyperlink" Target="../Manuales%20de%20funciones%20y%20competencias/INGRID%20PAOLA%20OSPICIO%20PACHECO/2.Manual%20de%20funciones%20y%20competencias%20Lider%20de%20sala.pdf" TargetMode="External"/><Relationship Id="rId34" Type="http://schemas.openxmlformats.org/officeDocument/2006/relationships/chart" Target="../charts/chart98.xml"/><Relationship Id="rId42" Type="http://schemas.openxmlformats.org/officeDocument/2006/relationships/chart" Target="../charts/chart106.xml"/><Relationship Id="rId47" Type="http://schemas.openxmlformats.org/officeDocument/2006/relationships/chart" Target="../charts/chart111.xml"/><Relationship Id="rId50" Type="http://schemas.openxmlformats.org/officeDocument/2006/relationships/chart" Target="../charts/chart114.xml"/><Relationship Id="rId7" Type="http://schemas.openxmlformats.org/officeDocument/2006/relationships/chart" Target="../charts/chart84.xml"/><Relationship Id="rId2" Type="http://schemas.openxmlformats.org/officeDocument/2006/relationships/chart" Target="../charts/chart80.xml"/><Relationship Id="rId16" Type="http://schemas.openxmlformats.org/officeDocument/2006/relationships/hyperlink" Target="#'KPI&#180;s Sara'!A1"/><Relationship Id="rId29" Type="http://schemas.openxmlformats.org/officeDocument/2006/relationships/chart" Target="../charts/chart93.xml"/><Relationship Id="rId11" Type="http://schemas.openxmlformats.org/officeDocument/2006/relationships/chart" Target="../charts/chart88.xml"/><Relationship Id="rId24" Type="http://schemas.openxmlformats.org/officeDocument/2006/relationships/hyperlink" Target="#'KPI&#180;s Ingrid'!A1"/><Relationship Id="rId32" Type="http://schemas.openxmlformats.org/officeDocument/2006/relationships/chart" Target="../charts/chart96.xml"/><Relationship Id="rId37" Type="http://schemas.openxmlformats.org/officeDocument/2006/relationships/chart" Target="../charts/chart101.xml"/><Relationship Id="rId40" Type="http://schemas.openxmlformats.org/officeDocument/2006/relationships/chart" Target="../charts/chart104.xml"/><Relationship Id="rId45" Type="http://schemas.openxmlformats.org/officeDocument/2006/relationships/chart" Target="../charts/chart109.xml"/><Relationship Id="rId53" Type="http://schemas.openxmlformats.org/officeDocument/2006/relationships/chart" Target="../charts/chart117.xml"/><Relationship Id="rId5" Type="http://schemas.openxmlformats.org/officeDocument/2006/relationships/chart" Target="../charts/chart82.xml"/><Relationship Id="rId10" Type="http://schemas.openxmlformats.org/officeDocument/2006/relationships/chart" Target="../charts/chart87.xml"/><Relationship Id="rId19" Type="http://schemas.openxmlformats.org/officeDocument/2006/relationships/image" Target="../media/image4.png"/><Relationship Id="rId31" Type="http://schemas.openxmlformats.org/officeDocument/2006/relationships/chart" Target="../charts/chart95.xml"/><Relationship Id="rId44" Type="http://schemas.openxmlformats.org/officeDocument/2006/relationships/chart" Target="../charts/chart108.xml"/><Relationship Id="rId52" Type="http://schemas.openxmlformats.org/officeDocument/2006/relationships/chart" Target="../charts/chart116.xml"/><Relationship Id="rId4" Type="http://schemas.openxmlformats.org/officeDocument/2006/relationships/chart" Target="../charts/chart81.xml"/><Relationship Id="rId9" Type="http://schemas.openxmlformats.org/officeDocument/2006/relationships/chart" Target="../charts/chart86.xml"/><Relationship Id="rId14" Type="http://schemas.openxmlformats.org/officeDocument/2006/relationships/image" Target="../media/image2.png"/><Relationship Id="rId22" Type="http://schemas.openxmlformats.org/officeDocument/2006/relationships/hyperlink" Target="../Manuales%20de%20funciones%20y%20competencias/NATALIA%20ANDREA%20POSADA%20RAVE/2.Manual%20de%20funciones%20y%20competencias%20Asesora%20Comercial%20(Natalia).pdf" TargetMode="External"/><Relationship Id="rId27" Type="http://schemas.openxmlformats.org/officeDocument/2006/relationships/chart" Target="../charts/chart91.xml"/><Relationship Id="rId30" Type="http://schemas.openxmlformats.org/officeDocument/2006/relationships/chart" Target="../charts/chart94.xml"/><Relationship Id="rId35" Type="http://schemas.openxmlformats.org/officeDocument/2006/relationships/chart" Target="../charts/chart99.xml"/><Relationship Id="rId43" Type="http://schemas.openxmlformats.org/officeDocument/2006/relationships/chart" Target="../charts/chart107.xml"/><Relationship Id="rId48" Type="http://schemas.openxmlformats.org/officeDocument/2006/relationships/chart" Target="../charts/chart112.xml"/><Relationship Id="rId8" Type="http://schemas.openxmlformats.org/officeDocument/2006/relationships/chart" Target="../charts/chart85.xml"/><Relationship Id="rId51" Type="http://schemas.openxmlformats.org/officeDocument/2006/relationships/chart" Target="../charts/chart115.xml"/><Relationship Id="rId3" Type="http://schemas.openxmlformats.org/officeDocument/2006/relationships/hyperlink" Target="../Manuales%20de%20funciones%20y%20competencias/SARA%20ELENA%20MORENO%20OROZCO/1.Pol&#237;ticas%20del%20&#225;rea%20Comercial.pdf" TargetMode="External"/><Relationship Id="rId12" Type="http://schemas.openxmlformats.org/officeDocument/2006/relationships/chart" Target="../charts/chart89.xml"/><Relationship Id="rId17" Type="http://schemas.openxmlformats.org/officeDocument/2006/relationships/chart" Target="../charts/chart90.xml"/><Relationship Id="rId25" Type="http://schemas.openxmlformats.org/officeDocument/2006/relationships/hyperlink" Target="#'KPI&#180;s Natalia'!A1"/><Relationship Id="rId33" Type="http://schemas.openxmlformats.org/officeDocument/2006/relationships/chart" Target="../charts/chart97.xml"/><Relationship Id="rId38" Type="http://schemas.openxmlformats.org/officeDocument/2006/relationships/chart" Target="../charts/chart102.xml"/><Relationship Id="rId46" Type="http://schemas.openxmlformats.org/officeDocument/2006/relationships/chart" Target="../charts/chart110.xml"/><Relationship Id="rId20" Type="http://schemas.openxmlformats.org/officeDocument/2006/relationships/image" Target="../media/image5.png"/><Relationship Id="rId41" Type="http://schemas.openxmlformats.org/officeDocument/2006/relationships/chart" Target="../charts/chart105.xml"/><Relationship Id="rId1" Type="http://schemas.openxmlformats.org/officeDocument/2006/relationships/chart" Target="../charts/chart79.xml"/><Relationship Id="rId6" Type="http://schemas.openxmlformats.org/officeDocument/2006/relationships/chart" Target="../charts/chart83.xml"/><Relationship Id="rId15" Type="http://schemas.openxmlformats.org/officeDocument/2006/relationships/hyperlink" Target="../Manuales%20de%20funciones%20y%20competencias/SARA%20ELENA%20MORENO%20OROZCO/2.Manual%20de%20funciones%20y%20competencias%20Director%20Comercial.pdf" TargetMode="External"/><Relationship Id="rId23" Type="http://schemas.openxmlformats.org/officeDocument/2006/relationships/hyperlink" Target="../Manuales%20de%20funciones%20y%20competencias/ALZURAK%20DELIROSS%20MENDOZA%20DE%20FRANCO/2.Manual%20de%20funciones%20y%20competencias%20Asesora%20Comercial%20(Alzurak).pdf" TargetMode="External"/><Relationship Id="rId28" Type="http://schemas.openxmlformats.org/officeDocument/2006/relationships/chart" Target="../charts/chart92.xml"/><Relationship Id="rId36" Type="http://schemas.openxmlformats.org/officeDocument/2006/relationships/chart" Target="../charts/chart100.xml"/><Relationship Id="rId49" Type="http://schemas.openxmlformats.org/officeDocument/2006/relationships/chart" Target="../charts/chart113.xml"/></Relationships>
</file>

<file path=xl/drawings/_rels/drawing4.xml.rels><?xml version="1.0" encoding="UTF-8" standalone="yes"?>
<Relationships xmlns="http://schemas.openxmlformats.org/package/2006/relationships"><Relationship Id="rId13" Type="http://schemas.openxmlformats.org/officeDocument/2006/relationships/image" Target="../media/image1.png"/><Relationship Id="rId18" Type="http://schemas.openxmlformats.org/officeDocument/2006/relationships/image" Target="../media/image3.png"/><Relationship Id="rId26" Type="http://schemas.openxmlformats.org/officeDocument/2006/relationships/hyperlink" Target="#'KPI&#180;s Alzurak'!A1"/><Relationship Id="rId39" Type="http://schemas.openxmlformats.org/officeDocument/2006/relationships/chart" Target="../charts/chart142.xml"/><Relationship Id="rId21" Type="http://schemas.openxmlformats.org/officeDocument/2006/relationships/hyperlink" Target="../Manuales%20de%20funciones%20y%20competencias/INGRID%20PAOLA%20OSPICIO%20PACHECO/2.Manual%20de%20funciones%20y%20competencias%20Lider%20de%20sala.pdf" TargetMode="External"/><Relationship Id="rId34" Type="http://schemas.openxmlformats.org/officeDocument/2006/relationships/chart" Target="../charts/chart137.xml"/><Relationship Id="rId42" Type="http://schemas.openxmlformats.org/officeDocument/2006/relationships/chart" Target="../charts/chart145.xml"/><Relationship Id="rId47" Type="http://schemas.openxmlformats.org/officeDocument/2006/relationships/chart" Target="../charts/chart150.xml"/><Relationship Id="rId50" Type="http://schemas.openxmlformats.org/officeDocument/2006/relationships/chart" Target="../charts/chart153.xml"/><Relationship Id="rId7" Type="http://schemas.openxmlformats.org/officeDocument/2006/relationships/chart" Target="../charts/chart123.xml"/><Relationship Id="rId2" Type="http://schemas.openxmlformats.org/officeDocument/2006/relationships/chart" Target="../charts/chart119.xml"/><Relationship Id="rId16" Type="http://schemas.openxmlformats.org/officeDocument/2006/relationships/hyperlink" Target="#'KPI&#180;s Sara'!A1"/><Relationship Id="rId29" Type="http://schemas.openxmlformats.org/officeDocument/2006/relationships/chart" Target="../charts/chart132.xml"/><Relationship Id="rId11" Type="http://schemas.openxmlformats.org/officeDocument/2006/relationships/chart" Target="../charts/chart127.xml"/><Relationship Id="rId24" Type="http://schemas.openxmlformats.org/officeDocument/2006/relationships/hyperlink" Target="#'KPI&#180;s Ingrid'!A1"/><Relationship Id="rId32" Type="http://schemas.openxmlformats.org/officeDocument/2006/relationships/chart" Target="../charts/chart135.xml"/><Relationship Id="rId37" Type="http://schemas.openxmlformats.org/officeDocument/2006/relationships/chart" Target="../charts/chart140.xml"/><Relationship Id="rId40" Type="http://schemas.openxmlformats.org/officeDocument/2006/relationships/chart" Target="../charts/chart143.xml"/><Relationship Id="rId45" Type="http://schemas.openxmlformats.org/officeDocument/2006/relationships/chart" Target="../charts/chart148.xml"/><Relationship Id="rId53" Type="http://schemas.openxmlformats.org/officeDocument/2006/relationships/chart" Target="../charts/chart156.xml"/><Relationship Id="rId5" Type="http://schemas.openxmlformats.org/officeDocument/2006/relationships/chart" Target="../charts/chart121.xml"/><Relationship Id="rId10" Type="http://schemas.openxmlformats.org/officeDocument/2006/relationships/chart" Target="../charts/chart126.xml"/><Relationship Id="rId19" Type="http://schemas.openxmlformats.org/officeDocument/2006/relationships/image" Target="../media/image4.png"/><Relationship Id="rId31" Type="http://schemas.openxmlformats.org/officeDocument/2006/relationships/chart" Target="../charts/chart134.xml"/><Relationship Id="rId44" Type="http://schemas.openxmlformats.org/officeDocument/2006/relationships/chart" Target="../charts/chart147.xml"/><Relationship Id="rId52" Type="http://schemas.openxmlformats.org/officeDocument/2006/relationships/chart" Target="../charts/chart155.xml"/><Relationship Id="rId4" Type="http://schemas.openxmlformats.org/officeDocument/2006/relationships/chart" Target="../charts/chart120.xml"/><Relationship Id="rId9" Type="http://schemas.openxmlformats.org/officeDocument/2006/relationships/chart" Target="../charts/chart125.xml"/><Relationship Id="rId14" Type="http://schemas.openxmlformats.org/officeDocument/2006/relationships/image" Target="../media/image2.png"/><Relationship Id="rId22" Type="http://schemas.openxmlformats.org/officeDocument/2006/relationships/hyperlink" Target="../Manuales%20de%20funciones%20y%20competencias/NATALIA%20ANDREA%20POSADA%20RAVE/2.Manual%20de%20funciones%20y%20competencias%20Asesora%20Comercial%20(Natalia).pdf" TargetMode="External"/><Relationship Id="rId27" Type="http://schemas.openxmlformats.org/officeDocument/2006/relationships/chart" Target="../charts/chart130.xml"/><Relationship Id="rId30" Type="http://schemas.openxmlformats.org/officeDocument/2006/relationships/chart" Target="../charts/chart133.xml"/><Relationship Id="rId35" Type="http://schemas.openxmlformats.org/officeDocument/2006/relationships/chart" Target="../charts/chart138.xml"/><Relationship Id="rId43" Type="http://schemas.openxmlformats.org/officeDocument/2006/relationships/chart" Target="../charts/chart146.xml"/><Relationship Id="rId48" Type="http://schemas.openxmlformats.org/officeDocument/2006/relationships/chart" Target="../charts/chart151.xml"/><Relationship Id="rId8" Type="http://schemas.openxmlformats.org/officeDocument/2006/relationships/chart" Target="../charts/chart124.xml"/><Relationship Id="rId51" Type="http://schemas.openxmlformats.org/officeDocument/2006/relationships/chart" Target="../charts/chart154.xml"/><Relationship Id="rId3" Type="http://schemas.openxmlformats.org/officeDocument/2006/relationships/hyperlink" Target="../Manuales%20de%20funciones%20y%20competencias/SARA%20ELENA%20MORENO%20OROZCO/1.Pol&#237;ticas%20del%20&#225;rea%20Comercial.pdf" TargetMode="External"/><Relationship Id="rId12" Type="http://schemas.openxmlformats.org/officeDocument/2006/relationships/chart" Target="../charts/chart128.xml"/><Relationship Id="rId17" Type="http://schemas.openxmlformats.org/officeDocument/2006/relationships/chart" Target="../charts/chart129.xml"/><Relationship Id="rId25" Type="http://schemas.openxmlformats.org/officeDocument/2006/relationships/hyperlink" Target="#'KPI&#180;s Natalia'!A1"/><Relationship Id="rId33" Type="http://schemas.openxmlformats.org/officeDocument/2006/relationships/chart" Target="../charts/chart136.xml"/><Relationship Id="rId38" Type="http://schemas.openxmlformats.org/officeDocument/2006/relationships/chart" Target="../charts/chart141.xml"/><Relationship Id="rId46" Type="http://schemas.openxmlformats.org/officeDocument/2006/relationships/chart" Target="../charts/chart149.xml"/><Relationship Id="rId20" Type="http://schemas.openxmlformats.org/officeDocument/2006/relationships/image" Target="../media/image5.png"/><Relationship Id="rId41" Type="http://schemas.openxmlformats.org/officeDocument/2006/relationships/chart" Target="../charts/chart144.xml"/><Relationship Id="rId1" Type="http://schemas.openxmlformats.org/officeDocument/2006/relationships/chart" Target="../charts/chart118.xml"/><Relationship Id="rId6" Type="http://schemas.openxmlformats.org/officeDocument/2006/relationships/chart" Target="../charts/chart122.xml"/><Relationship Id="rId15" Type="http://schemas.openxmlformats.org/officeDocument/2006/relationships/hyperlink" Target="../Manuales%20de%20funciones%20y%20competencias/SARA%20ELENA%20MORENO%20OROZCO/2.Manual%20de%20funciones%20y%20competencias%20Director%20Comercial.pdf" TargetMode="External"/><Relationship Id="rId23" Type="http://schemas.openxmlformats.org/officeDocument/2006/relationships/hyperlink" Target="../Manuales%20de%20funciones%20y%20competencias/ALZURAK%20DELIROSS%20MENDOZA%20DE%20FRANCO/2.Manual%20de%20funciones%20y%20competencias%20Asesora%20Comercial%20(Alzurak).pdf" TargetMode="External"/><Relationship Id="rId28" Type="http://schemas.openxmlformats.org/officeDocument/2006/relationships/chart" Target="../charts/chart131.xml"/><Relationship Id="rId36" Type="http://schemas.openxmlformats.org/officeDocument/2006/relationships/chart" Target="../charts/chart139.xml"/><Relationship Id="rId49" Type="http://schemas.openxmlformats.org/officeDocument/2006/relationships/chart" Target="../charts/chart152.xml"/></Relationships>
</file>

<file path=xl/drawings/_rels/drawing5.xml.rels><?xml version="1.0" encoding="UTF-8" standalone="yes"?>
<Relationships xmlns="http://schemas.openxmlformats.org/package/2006/relationships"><Relationship Id="rId13" Type="http://schemas.openxmlformats.org/officeDocument/2006/relationships/image" Target="../media/image1.png"/><Relationship Id="rId18" Type="http://schemas.openxmlformats.org/officeDocument/2006/relationships/image" Target="../media/image3.png"/><Relationship Id="rId26" Type="http://schemas.openxmlformats.org/officeDocument/2006/relationships/hyperlink" Target="#'KPI&#180;s Alzurak'!A1"/><Relationship Id="rId39" Type="http://schemas.openxmlformats.org/officeDocument/2006/relationships/chart" Target="../charts/chart181.xml"/><Relationship Id="rId21" Type="http://schemas.openxmlformats.org/officeDocument/2006/relationships/hyperlink" Target="../Manuales%20de%20funciones%20y%20competencias/INGRID%20PAOLA%20OSPICIO%20PACHECO/2.Manual%20de%20funciones%20y%20competencias%20Lider%20de%20sala.pdf" TargetMode="External"/><Relationship Id="rId34" Type="http://schemas.openxmlformats.org/officeDocument/2006/relationships/chart" Target="../charts/chart176.xml"/><Relationship Id="rId42" Type="http://schemas.openxmlformats.org/officeDocument/2006/relationships/chart" Target="../charts/chart184.xml"/><Relationship Id="rId47" Type="http://schemas.openxmlformats.org/officeDocument/2006/relationships/chart" Target="../charts/chart189.xml"/><Relationship Id="rId50" Type="http://schemas.openxmlformats.org/officeDocument/2006/relationships/chart" Target="../charts/chart192.xml"/><Relationship Id="rId7" Type="http://schemas.openxmlformats.org/officeDocument/2006/relationships/chart" Target="../charts/chart162.xml"/><Relationship Id="rId2" Type="http://schemas.openxmlformats.org/officeDocument/2006/relationships/chart" Target="../charts/chart158.xml"/><Relationship Id="rId16" Type="http://schemas.openxmlformats.org/officeDocument/2006/relationships/hyperlink" Target="#'KPI&#180;s Sara'!A1"/><Relationship Id="rId29" Type="http://schemas.openxmlformats.org/officeDocument/2006/relationships/chart" Target="../charts/chart171.xml"/><Relationship Id="rId11" Type="http://schemas.openxmlformats.org/officeDocument/2006/relationships/chart" Target="../charts/chart166.xml"/><Relationship Id="rId24" Type="http://schemas.openxmlformats.org/officeDocument/2006/relationships/hyperlink" Target="#'KPI&#180;s Ingrid'!A1"/><Relationship Id="rId32" Type="http://schemas.openxmlformats.org/officeDocument/2006/relationships/chart" Target="../charts/chart174.xml"/><Relationship Id="rId37" Type="http://schemas.openxmlformats.org/officeDocument/2006/relationships/chart" Target="../charts/chart179.xml"/><Relationship Id="rId40" Type="http://schemas.openxmlformats.org/officeDocument/2006/relationships/chart" Target="../charts/chart182.xml"/><Relationship Id="rId45" Type="http://schemas.openxmlformats.org/officeDocument/2006/relationships/chart" Target="../charts/chart187.xml"/><Relationship Id="rId53" Type="http://schemas.openxmlformats.org/officeDocument/2006/relationships/chart" Target="../charts/chart195.xml"/><Relationship Id="rId5" Type="http://schemas.openxmlformats.org/officeDocument/2006/relationships/chart" Target="../charts/chart160.xml"/><Relationship Id="rId10" Type="http://schemas.openxmlformats.org/officeDocument/2006/relationships/chart" Target="../charts/chart165.xml"/><Relationship Id="rId19" Type="http://schemas.openxmlformats.org/officeDocument/2006/relationships/image" Target="../media/image4.png"/><Relationship Id="rId31" Type="http://schemas.openxmlformats.org/officeDocument/2006/relationships/chart" Target="../charts/chart173.xml"/><Relationship Id="rId44" Type="http://schemas.openxmlformats.org/officeDocument/2006/relationships/chart" Target="../charts/chart186.xml"/><Relationship Id="rId52" Type="http://schemas.openxmlformats.org/officeDocument/2006/relationships/chart" Target="../charts/chart194.xml"/><Relationship Id="rId4" Type="http://schemas.openxmlformats.org/officeDocument/2006/relationships/chart" Target="../charts/chart159.xml"/><Relationship Id="rId9" Type="http://schemas.openxmlformats.org/officeDocument/2006/relationships/chart" Target="../charts/chart164.xml"/><Relationship Id="rId14" Type="http://schemas.openxmlformats.org/officeDocument/2006/relationships/image" Target="../media/image2.png"/><Relationship Id="rId22" Type="http://schemas.openxmlformats.org/officeDocument/2006/relationships/hyperlink" Target="../Manuales%20de%20funciones%20y%20competencias/NATALIA%20ANDREA%20POSADA%20RAVE/2.Manual%20de%20funciones%20y%20competencias%20Asesora%20Comercial%20(Natalia).pdf" TargetMode="External"/><Relationship Id="rId27" Type="http://schemas.openxmlformats.org/officeDocument/2006/relationships/chart" Target="../charts/chart169.xml"/><Relationship Id="rId30" Type="http://schemas.openxmlformats.org/officeDocument/2006/relationships/chart" Target="../charts/chart172.xml"/><Relationship Id="rId35" Type="http://schemas.openxmlformats.org/officeDocument/2006/relationships/chart" Target="../charts/chart177.xml"/><Relationship Id="rId43" Type="http://schemas.openxmlformats.org/officeDocument/2006/relationships/chart" Target="../charts/chart185.xml"/><Relationship Id="rId48" Type="http://schemas.openxmlformats.org/officeDocument/2006/relationships/chart" Target="../charts/chart190.xml"/><Relationship Id="rId8" Type="http://schemas.openxmlformats.org/officeDocument/2006/relationships/chart" Target="../charts/chart163.xml"/><Relationship Id="rId51" Type="http://schemas.openxmlformats.org/officeDocument/2006/relationships/chart" Target="../charts/chart193.xml"/><Relationship Id="rId3" Type="http://schemas.openxmlformats.org/officeDocument/2006/relationships/hyperlink" Target="../Manuales%20de%20funciones%20y%20competencias/SARA%20ELENA%20MORENO%20OROZCO/1.Pol&#237;ticas%20del%20&#225;rea%20Comercial.pdf" TargetMode="External"/><Relationship Id="rId12" Type="http://schemas.openxmlformats.org/officeDocument/2006/relationships/chart" Target="../charts/chart167.xml"/><Relationship Id="rId17" Type="http://schemas.openxmlformats.org/officeDocument/2006/relationships/chart" Target="../charts/chart168.xml"/><Relationship Id="rId25" Type="http://schemas.openxmlformats.org/officeDocument/2006/relationships/hyperlink" Target="#'KPI&#180;s Natalia'!A1"/><Relationship Id="rId33" Type="http://schemas.openxmlformats.org/officeDocument/2006/relationships/chart" Target="../charts/chart175.xml"/><Relationship Id="rId38" Type="http://schemas.openxmlformats.org/officeDocument/2006/relationships/chart" Target="../charts/chart180.xml"/><Relationship Id="rId46" Type="http://schemas.openxmlformats.org/officeDocument/2006/relationships/chart" Target="../charts/chart188.xml"/><Relationship Id="rId20" Type="http://schemas.openxmlformats.org/officeDocument/2006/relationships/image" Target="../media/image5.png"/><Relationship Id="rId41" Type="http://schemas.openxmlformats.org/officeDocument/2006/relationships/chart" Target="../charts/chart183.xml"/><Relationship Id="rId1" Type="http://schemas.openxmlformats.org/officeDocument/2006/relationships/chart" Target="../charts/chart157.xml"/><Relationship Id="rId6" Type="http://schemas.openxmlformats.org/officeDocument/2006/relationships/chart" Target="../charts/chart161.xml"/><Relationship Id="rId15" Type="http://schemas.openxmlformats.org/officeDocument/2006/relationships/hyperlink" Target="../Manuales%20de%20funciones%20y%20competencias/SARA%20ELENA%20MORENO%20OROZCO/2.Manual%20de%20funciones%20y%20competencias%20Director%20Comercial.pdf" TargetMode="External"/><Relationship Id="rId23" Type="http://schemas.openxmlformats.org/officeDocument/2006/relationships/hyperlink" Target="../Manuales%20de%20funciones%20y%20competencias/ALZURAK%20DELIROSS%20MENDOZA%20DE%20FRANCO/2.Manual%20de%20funciones%20y%20competencias%20Asesora%20Comercial%20(Alzurak).pdf" TargetMode="External"/><Relationship Id="rId28" Type="http://schemas.openxmlformats.org/officeDocument/2006/relationships/chart" Target="../charts/chart170.xml"/><Relationship Id="rId36" Type="http://schemas.openxmlformats.org/officeDocument/2006/relationships/chart" Target="../charts/chart178.xml"/><Relationship Id="rId49" Type="http://schemas.openxmlformats.org/officeDocument/2006/relationships/chart" Target="../charts/chart191.xml"/></Relationships>
</file>

<file path=xl/drawings/_rels/drawing6.xml.rels><?xml version="1.0" encoding="UTF-8" standalone="yes"?>
<Relationships xmlns="http://schemas.openxmlformats.org/package/2006/relationships"><Relationship Id="rId1" Type="http://schemas.openxmlformats.org/officeDocument/2006/relationships/hyperlink" Target="#Tablero!A1"/></Relationships>
</file>

<file path=xl/drawings/_rels/drawing7.xml.rels><?xml version="1.0" encoding="UTF-8" standalone="yes"?>
<Relationships xmlns="http://schemas.openxmlformats.org/package/2006/relationships"><Relationship Id="rId1" Type="http://schemas.openxmlformats.org/officeDocument/2006/relationships/hyperlink" Target="#Tablero!A1"/></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hyperlink" Target="#Tablero!A1"/></Relationships>
</file>

<file path=xl/drawings/_rels/drawing9.xml.rels><?xml version="1.0" encoding="UTF-8" standalone="yes"?>
<Relationships xmlns="http://schemas.openxmlformats.org/package/2006/relationships"><Relationship Id="rId1" Type="http://schemas.openxmlformats.org/officeDocument/2006/relationships/hyperlink" Target="#Tablero!A1"/></Relationships>
</file>

<file path=xl/drawings/_rels/drawing10.xml.rels><?xml version="1.0" encoding="UTF-8" standalone="yes"?>
<Relationships xmlns="http://schemas.openxmlformats.org/package/2006/relationships"><Relationship Id="rId1" Type="http://schemas.openxmlformats.org/officeDocument/2006/relationships/hyperlink" Target="#Tablero!A1"/></Relationships>
</file>

<file path=xl/drawings/_rels/drawing11.xml.rels><?xml version="1.0" encoding="UTF-8" standalone="yes"?>
<Relationships xmlns="http://schemas.openxmlformats.org/package/2006/relationships"><Relationship Id="rId1" Type="http://schemas.openxmlformats.org/officeDocument/2006/relationships/hyperlink" Target="#Tablero!A1"/></Relationships>
</file>

<file path=xl/drawings/drawing1.xml><?xml version="1.0" encoding="utf-8"?>
<xdr:wsDr xmlns:xdr="http://schemas.openxmlformats.org/drawingml/2006/spreadsheetDrawing" xmlns:a="http://schemas.openxmlformats.org/drawingml/2006/main">
  <xdr:twoCellAnchor>
    <xdr:from>
      <xdr:col>6</xdr:col>
      <xdr:colOff>1181100</xdr:colOff>
      <xdr:row>35</xdr:row>
      <xdr:rowOff>12700</xdr:rowOff>
    </xdr:from>
    <xdr:to>
      <xdr:col>8</xdr:col>
      <xdr:colOff>279400</xdr:colOff>
      <xdr:row>49</xdr:row>
      <xdr:rowOff>63500</xdr:rowOff>
    </xdr:to>
    <xdr:graphicFrame macro="">
      <xdr:nvGraphicFramePr>
        <xdr:cNvPr id="9" name="Gráfico 8">
          <a:extLst>
            <a:ext uri="{FF2B5EF4-FFF2-40B4-BE49-F238E27FC236}">
              <a16:creationId xmlns:a16="http://schemas.microsoft.com/office/drawing/2014/main" id="{B4556D12-65A4-4142-9567-193B0E9FC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36</xdr:row>
      <xdr:rowOff>50800</xdr:rowOff>
    </xdr:from>
    <xdr:to>
      <xdr:col>7</xdr:col>
      <xdr:colOff>299026</xdr:colOff>
      <xdr:row>46</xdr:row>
      <xdr:rowOff>50387</xdr:rowOff>
    </xdr:to>
    <xdr:graphicFrame macro="">
      <xdr:nvGraphicFramePr>
        <xdr:cNvPr id="10" name="Gráfico 9">
          <a:extLst>
            <a:ext uri="{FF2B5EF4-FFF2-40B4-BE49-F238E27FC236}">
              <a16:creationId xmlns:a16="http://schemas.microsoft.com/office/drawing/2014/main" id="{4126469C-6457-47AF-8738-6C9DFF07C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29</xdr:row>
      <xdr:rowOff>22760</xdr:rowOff>
    </xdr:from>
    <xdr:to>
      <xdr:col>1</xdr:col>
      <xdr:colOff>714375</xdr:colOff>
      <xdr:row>38</xdr:row>
      <xdr:rowOff>60960</xdr:rowOff>
    </xdr:to>
    <xdr:sp macro="" textlink="">
      <xdr:nvSpPr>
        <xdr:cNvPr id="188" name="Rectángulo: esquinas redondeadas 187">
          <a:hlinkClick xmlns:r="http://schemas.openxmlformats.org/officeDocument/2006/relationships" r:id="rId3"/>
          <a:extLst>
            <a:ext uri="{FF2B5EF4-FFF2-40B4-BE49-F238E27FC236}">
              <a16:creationId xmlns:a16="http://schemas.microsoft.com/office/drawing/2014/main" id="{1CCB6407-252D-4BC9-BBB1-9F8FAB665814}"/>
            </a:ext>
          </a:extLst>
        </xdr:cNvPr>
        <xdr:cNvSpPr/>
      </xdr:nvSpPr>
      <xdr:spPr>
        <a:xfrm>
          <a:off x="66675" y="5600600"/>
          <a:ext cx="1440180" cy="168412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400">
              <a:solidFill>
                <a:schemeClr val="accent1"/>
              </a:solidFill>
              <a:latin typeface="Artifakt Element Heavy" panose="020B0B03050000020004" pitchFamily="34" charset="0"/>
              <a:ea typeface="Artifakt Element Heavy" panose="020B0B03050000020004" pitchFamily="34" charset="0"/>
            </a:rPr>
            <a:t>POLÍTICAS ÁREA COMERCIAL</a:t>
          </a:r>
        </a:p>
      </xdr:txBody>
    </xdr:sp>
    <xdr:clientData/>
  </xdr:twoCellAnchor>
  <xdr:twoCellAnchor>
    <xdr:from>
      <xdr:col>12</xdr:col>
      <xdr:colOff>1130300</xdr:colOff>
      <xdr:row>35</xdr:row>
      <xdr:rowOff>0</xdr:rowOff>
    </xdr:from>
    <xdr:to>
      <xdr:col>14</xdr:col>
      <xdr:colOff>228600</xdr:colOff>
      <xdr:row>49</xdr:row>
      <xdr:rowOff>50800</xdr:rowOff>
    </xdr:to>
    <xdr:graphicFrame macro="">
      <xdr:nvGraphicFramePr>
        <xdr:cNvPr id="4" name="Gráfico 3">
          <a:extLst>
            <a:ext uri="{FF2B5EF4-FFF2-40B4-BE49-F238E27FC236}">
              <a16:creationId xmlns:a16="http://schemas.microsoft.com/office/drawing/2014/main" id="{536D92E5-CE39-45E0-98D5-C7E3C65AE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36</xdr:row>
      <xdr:rowOff>38100</xdr:rowOff>
    </xdr:from>
    <xdr:to>
      <xdr:col>13</xdr:col>
      <xdr:colOff>248226</xdr:colOff>
      <xdr:row>46</xdr:row>
      <xdr:rowOff>37687</xdr:rowOff>
    </xdr:to>
    <xdr:graphicFrame macro="">
      <xdr:nvGraphicFramePr>
        <xdr:cNvPr id="5" name="Gráfico 4">
          <a:extLst>
            <a:ext uri="{FF2B5EF4-FFF2-40B4-BE49-F238E27FC236}">
              <a16:creationId xmlns:a16="http://schemas.microsoft.com/office/drawing/2014/main" id="{3C50A7F4-12CA-4DB7-BED0-F73537D11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1168400</xdr:colOff>
      <xdr:row>17</xdr:row>
      <xdr:rowOff>76200</xdr:rowOff>
    </xdr:from>
    <xdr:to>
      <xdr:col>14</xdr:col>
      <xdr:colOff>228600</xdr:colOff>
      <xdr:row>30</xdr:row>
      <xdr:rowOff>25400</xdr:rowOff>
    </xdr:to>
    <xdr:graphicFrame macro="">
      <xdr:nvGraphicFramePr>
        <xdr:cNvPr id="6" name="Gráfico 5">
          <a:extLst>
            <a:ext uri="{FF2B5EF4-FFF2-40B4-BE49-F238E27FC236}">
              <a16:creationId xmlns:a16="http://schemas.microsoft.com/office/drawing/2014/main" id="{15B40444-F518-498E-9E95-90F3E062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1117600</xdr:colOff>
      <xdr:row>35</xdr:row>
      <xdr:rowOff>0</xdr:rowOff>
    </xdr:from>
    <xdr:to>
      <xdr:col>11</xdr:col>
      <xdr:colOff>215900</xdr:colOff>
      <xdr:row>49</xdr:row>
      <xdr:rowOff>50800</xdr:rowOff>
    </xdr:to>
    <xdr:graphicFrame macro="">
      <xdr:nvGraphicFramePr>
        <xdr:cNvPr id="7" name="Gráfico 6">
          <a:extLst>
            <a:ext uri="{FF2B5EF4-FFF2-40B4-BE49-F238E27FC236}">
              <a16:creationId xmlns:a16="http://schemas.microsoft.com/office/drawing/2014/main" id="{E4197F48-59AD-4BBE-ABA1-275DAD31B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330200</xdr:colOff>
      <xdr:row>36</xdr:row>
      <xdr:rowOff>38100</xdr:rowOff>
    </xdr:from>
    <xdr:to>
      <xdr:col>10</xdr:col>
      <xdr:colOff>235526</xdr:colOff>
      <xdr:row>46</xdr:row>
      <xdr:rowOff>37687</xdr:rowOff>
    </xdr:to>
    <xdr:graphicFrame macro="">
      <xdr:nvGraphicFramePr>
        <xdr:cNvPr id="8" name="Gráfico 7">
          <a:extLst>
            <a:ext uri="{FF2B5EF4-FFF2-40B4-BE49-F238E27FC236}">
              <a16:creationId xmlns:a16="http://schemas.microsoft.com/office/drawing/2014/main" id="{76B7A417-5CDA-4EB3-944B-5B636EA5F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113851</xdr:colOff>
      <xdr:row>9</xdr:row>
      <xdr:rowOff>19792</xdr:rowOff>
    </xdr:from>
    <xdr:to>
      <xdr:col>4</xdr:col>
      <xdr:colOff>150586</xdr:colOff>
      <xdr:row>19</xdr:row>
      <xdr:rowOff>39585</xdr:rowOff>
    </xdr:to>
    <xdr:graphicFrame macro="">
      <xdr:nvGraphicFramePr>
        <xdr:cNvPr id="11" name="Gráfico 10">
          <a:extLst>
            <a:ext uri="{FF2B5EF4-FFF2-40B4-BE49-F238E27FC236}">
              <a16:creationId xmlns:a16="http://schemas.microsoft.com/office/drawing/2014/main" id="{DE7345D1-6040-4CB2-9D58-6805409E0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1215240</xdr:colOff>
      <xdr:row>6</xdr:row>
      <xdr:rowOff>104570</xdr:rowOff>
    </xdr:from>
    <xdr:to>
      <xdr:col>5</xdr:col>
      <xdr:colOff>228599</xdr:colOff>
      <xdr:row>21</xdr:row>
      <xdr:rowOff>127000</xdr:rowOff>
    </xdr:to>
    <xdr:graphicFrame macro="">
      <xdr:nvGraphicFramePr>
        <xdr:cNvPr id="12" name="Gráfico 11">
          <a:extLst>
            <a:ext uri="{FF2B5EF4-FFF2-40B4-BE49-F238E27FC236}">
              <a16:creationId xmlns:a16="http://schemas.microsoft.com/office/drawing/2014/main" id="{02BF8F62-4681-4B00-BFBF-19FF6CEA6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1232848</xdr:colOff>
      <xdr:row>16</xdr:row>
      <xdr:rowOff>125102</xdr:rowOff>
    </xdr:from>
    <xdr:to>
      <xdr:col>5</xdr:col>
      <xdr:colOff>330200</xdr:colOff>
      <xdr:row>31</xdr:row>
      <xdr:rowOff>63500</xdr:rowOff>
    </xdr:to>
    <xdr:graphicFrame macro="">
      <xdr:nvGraphicFramePr>
        <xdr:cNvPr id="13" name="Gráfico 12">
          <a:extLst>
            <a:ext uri="{FF2B5EF4-FFF2-40B4-BE49-F238E27FC236}">
              <a16:creationId xmlns:a16="http://schemas.microsoft.com/office/drawing/2014/main" id="{2A507271-7B41-47EE-A6AC-F63F686B4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99297</xdr:colOff>
      <xdr:row>18</xdr:row>
      <xdr:rowOff>328</xdr:rowOff>
    </xdr:from>
    <xdr:to>
      <xdr:col>4</xdr:col>
      <xdr:colOff>184562</xdr:colOff>
      <xdr:row>28</xdr:row>
      <xdr:rowOff>9896</xdr:rowOff>
    </xdr:to>
    <xdr:graphicFrame macro="">
      <xdr:nvGraphicFramePr>
        <xdr:cNvPr id="14" name="Gráfico 13">
          <a:extLst>
            <a:ext uri="{FF2B5EF4-FFF2-40B4-BE49-F238E27FC236}">
              <a16:creationId xmlns:a16="http://schemas.microsoft.com/office/drawing/2014/main" id="{7F91AB79-DD01-4562-9B87-45BF4089F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xdr:col>
      <xdr:colOff>506056</xdr:colOff>
      <xdr:row>1</xdr:row>
      <xdr:rowOff>20168</xdr:rowOff>
    </xdr:from>
    <xdr:ext cx="1454655" cy="885826"/>
    <xdr:pic>
      <xdr:nvPicPr>
        <xdr:cNvPr id="15" name="Imagen 14">
          <a:extLst>
            <a:ext uri="{FF2B5EF4-FFF2-40B4-BE49-F238E27FC236}">
              <a16:creationId xmlns:a16="http://schemas.microsoft.com/office/drawing/2014/main" id="{2A60401B-3721-46BB-A2C2-F8CE0011EA7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30056" y="286868"/>
          <a:ext cx="1454655" cy="885826"/>
        </a:xfrm>
        <a:prstGeom prst="rect">
          <a:avLst/>
        </a:prstGeom>
      </xdr:spPr>
    </xdr:pic>
    <xdr:clientData/>
  </xdr:oneCellAnchor>
  <xdr:oneCellAnchor>
    <xdr:from>
      <xdr:col>0</xdr:col>
      <xdr:colOff>99060</xdr:colOff>
      <xdr:row>0</xdr:row>
      <xdr:rowOff>137160</xdr:rowOff>
    </xdr:from>
    <xdr:ext cx="1401072" cy="943048"/>
    <xdr:pic>
      <xdr:nvPicPr>
        <xdr:cNvPr id="16" name="Imagen 15">
          <a:extLst>
            <a:ext uri="{FF2B5EF4-FFF2-40B4-BE49-F238E27FC236}">
              <a16:creationId xmlns:a16="http://schemas.microsoft.com/office/drawing/2014/main" id="{BDB0685B-B38F-4D98-B50B-C09600E1F274}"/>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910" r="13534"/>
        <a:stretch/>
      </xdr:blipFill>
      <xdr:spPr>
        <a:xfrm>
          <a:off x="99060" y="137160"/>
          <a:ext cx="1401072" cy="943048"/>
        </a:xfrm>
        <a:prstGeom prst="rect">
          <a:avLst/>
        </a:prstGeom>
      </xdr:spPr>
    </xdr:pic>
    <xdr:clientData/>
  </xdr:oneCellAnchor>
  <xdr:twoCellAnchor>
    <xdr:from>
      <xdr:col>0</xdr:col>
      <xdr:colOff>66675</xdr:colOff>
      <xdr:row>5</xdr:row>
      <xdr:rowOff>114200</xdr:rowOff>
    </xdr:from>
    <xdr:to>
      <xdr:col>1</xdr:col>
      <xdr:colOff>714375</xdr:colOff>
      <xdr:row>10</xdr:row>
      <xdr:rowOff>167170</xdr:rowOff>
    </xdr:to>
    <xdr:sp macro="" textlink="">
      <xdr:nvSpPr>
        <xdr:cNvPr id="17" name="Rectángulo: esquinas redondeadas 16">
          <a:hlinkClick xmlns:r="http://schemas.openxmlformats.org/officeDocument/2006/relationships" r:id="rId15"/>
          <a:extLst>
            <a:ext uri="{FF2B5EF4-FFF2-40B4-BE49-F238E27FC236}">
              <a16:creationId xmlns:a16="http://schemas.microsoft.com/office/drawing/2014/main" id="{31D7C89E-F999-40E6-AD06-7CF4A5147D1A}"/>
            </a:ext>
          </a:extLst>
        </xdr:cNvPr>
        <xdr:cNvSpPr/>
      </xdr:nvSpPr>
      <xdr:spPr>
        <a:xfrm>
          <a:off x="66675" y="1241960"/>
          <a:ext cx="1440180" cy="98261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DIRECTORA COMERCIAL</a:t>
          </a:r>
        </a:p>
      </xdr:txBody>
    </xdr:sp>
    <xdr:clientData/>
  </xdr:twoCellAnchor>
  <xdr:twoCellAnchor>
    <xdr:from>
      <xdr:col>24</xdr:col>
      <xdr:colOff>66675</xdr:colOff>
      <xdr:row>5</xdr:row>
      <xdr:rowOff>125310</xdr:rowOff>
    </xdr:from>
    <xdr:to>
      <xdr:col>24</xdr:col>
      <xdr:colOff>1506063</xdr:colOff>
      <xdr:row>10</xdr:row>
      <xdr:rowOff>168012</xdr:rowOff>
    </xdr:to>
    <xdr:sp macro="" textlink="">
      <xdr:nvSpPr>
        <xdr:cNvPr id="18" name="Rectángulo: esquinas redondeadas 17">
          <a:hlinkClick xmlns:r="http://schemas.openxmlformats.org/officeDocument/2006/relationships" r:id="rId16"/>
          <a:extLst>
            <a:ext uri="{FF2B5EF4-FFF2-40B4-BE49-F238E27FC236}">
              <a16:creationId xmlns:a16="http://schemas.microsoft.com/office/drawing/2014/main" id="{091CBD46-D361-4C1B-AB9B-890FEEB7B0D2}"/>
            </a:ext>
          </a:extLst>
        </xdr:cNvPr>
        <xdr:cNvSpPr/>
      </xdr:nvSpPr>
      <xdr:spPr>
        <a:xfrm>
          <a:off x="27224355" y="1253070"/>
          <a:ext cx="1439388" cy="97234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DIRECTORA COMERCIAL</a:t>
          </a:r>
        </a:p>
      </xdr:txBody>
    </xdr:sp>
    <xdr:clientData/>
  </xdr:twoCellAnchor>
  <xdr:twoCellAnchor>
    <xdr:from>
      <xdr:col>3</xdr:col>
      <xdr:colOff>393700</xdr:colOff>
      <xdr:row>12</xdr:row>
      <xdr:rowOff>131288</xdr:rowOff>
    </xdr:from>
    <xdr:to>
      <xdr:col>3</xdr:col>
      <xdr:colOff>1266042</xdr:colOff>
      <xdr:row>16</xdr:row>
      <xdr:rowOff>98903</xdr:rowOff>
    </xdr:to>
    <xdr:sp macro="" textlink="$B$65">
      <xdr:nvSpPr>
        <xdr:cNvPr id="19" name="Rectángulo 18">
          <a:extLst>
            <a:ext uri="{FF2B5EF4-FFF2-40B4-BE49-F238E27FC236}">
              <a16:creationId xmlns:a16="http://schemas.microsoft.com/office/drawing/2014/main" id="{A20E3392-5515-44A2-9EC1-CCD61052863E}"/>
            </a:ext>
          </a:extLst>
        </xdr:cNvPr>
        <xdr:cNvSpPr/>
      </xdr:nvSpPr>
      <xdr:spPr>
        <a:xfrm>
          <a:off x="2420620" y="25544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535373-67D4-4052-B754-AC66BB4F54EC}"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34290</xdr:colOff>
      <xdr:row>18</xdr:row>
      <xdr:rowOff>55245</xdr:rowOff>
    </xdr:from>
    <xdr:to>
      <xdr:col>4</xdr:col>
      <xdr:colOff>1068780</xdr:colOff>
      <xdr:row>20</xdr:row>
      <xdr:rowOff>0</xdr:rowOff>
    </xdr:to>
    <xdr:sp macro="" textlink="$A$66">
      <xdr:nvSpPr>
        <xdr:cNvPr id="20" name="Rectángulo 19">
          <a:extLst>
            <a:ext uri="{FF2B5EF4-FFF2-40B4-BE49-F238E27FC236}">
              <a16:creationId xmlns:a16="http://schemas.microsoft.com/office/drawing/2014/main" id="{71746254-9FBF-4C60-9865-9D13AFE287E2}"/>
            </a:ext>
          </a:extLst>
        </xdr:cNvPr>
        <xdr:cNvSpPr/>
      </xdr:nvSpPr>
      <xdr:spPr>
        <a:xfrm>
          <a:off x="2061210" y="3575685"/>
          <a:ext cx="264231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278BB8-8729-4A4B-A8EB-9C84E7E1F12D}" type="TxLink">
            <a:rPr lang="en-US" sz="900" b="1" i="0" u="none" strike="noStrike">
              <a:solidFill>
                <a:srgbClr val="000000"/>
              </a:solidFill>
              <a:latin typeface="Aptos Narrow"/>
            </a:rPr>
            <a:pPr algn="l"/>
            <a:t>Liderazgo y Gestión del Equipo Comercial</a:t>
          </a:fld>
          <a:endParaRPr lang="es-CO" sz="1100">
            <a:solidFill>
              <a:sysClr val="windowText" lastClr="000000"/>
            </a:solidFill>
          </a:endParaRPr>
        </a:p>
      </xdr:txBody>
    </xdr:sp>
    <xdr:clientData/>
  </xdr:twoCellAnchor>
  <xdr:twoCellAnchor>
    <xdr:from>
      <xdr:col>3</xdr:col>
      <xdr:colOff>406400</xdr:colOff>
      <xdr:row>21</xdr:row>
      <xdr:rowOff>122662</xdr:rowOff>
    </xdr:from>
    <xdr:to>
      <xdr:col>3</xdr:col>
      <xdr:colOff>1242126</xdr:colOff>
      <xdr:row>25</xdr:row>
      <xdr:rowOff>95992</xdr:rowOff>
    </xdr:to>
    <xdr:sp macro="" textlink="$B$66">
      <xdr:nvSpPr>
        <xdr:cNvPr id="21" name="Rectángulo 20">
          <a:extLst>
            <a:ext uri="{FF2B5EF4-FFF2-40B4-BE49-F238E27FC236}">
              <a16:creationId xmlns:a16="http://schemas.microsoft.com/office/drawing/2014/main" id="{B89E5B84-1FBA-4B24-9462-E32C401F3924}"/>
            </a:ext>
          </a:extLst>
        </xdr:cNvPr>
        <xdr:cNvSpPr/>
      </xdr:nvSpPr>
      <xdr:spPr>
        <a:xfrm>
          <a:off x="2433320" y="41917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315A53-CCDF-41F8-B98F-D21D689EE071}"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4</xdr:col>
      <xdr:colOff>457201</xdr:colOff>
      <xdr:row>12</xdr:row>
      <xdr:rowOff>107052</xdr:rowOff>
    </xdr:from>
    <xdr:to>
      <xdr:col>4</xdr:col>
      <xdr:colOff>1326351</xdr:colOff>
      <xdr:row>16</xdr:row>
      <xdr:rowOff>86097</xdr:rowOff>
    </xdr:to>
    <xdr:sp macro="" textlink="$B$71">
      <xdr:nvSpPr>
        <xdr:cNvPr id="22" name="Rectángulo 21">
          <a:extLst>
            <a:ext uri="{FF2B5EF4-FFF2-40B4-BE49-F238E27FC236}">
              <a16:creationId xmlns:a16="http://schemas.microsoft.com/office/drawing/2014/main" id="{6CBDE5EC-D327-4AE0-9133-04904D57030D}"/>
            </a:ext>
          </a:extLst>
        </xdr:cNvPr>
        <xdr:cNvSpPr/>
      </xdr:nvSpPr>
      <xdr:spPr>
        <a:xfrm>
          <a:off x="4091941" y="25302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BAD03B-9DF8-433B-BC00-B1D4C2D28DCF}" type="TxLink">
            <a:rPr lang="en-US" sz="2400" b="1" i="0" u="none" strike="noStrike">
              <a:solidFill>
                <a:schemeClr val="accent2"/>
              </a:solidFill>
              <a:latin typeface="Bahnschrift SemiBold SemiConden" panose="020B0502040204020203" pitchFamily="34" charset="0"/>
            </a:rPr>
            <a:pPr algn="l"/>
            <a:t>76%</a:t>
          </a:fld>
          <a:endParaRPr lang="es-CO" sz="2400" b="1">
            <a:solidFill>
              <a:schemeClr val="accent2"/>
            </a:solidFill>
            <a:latin typeface="Bahnschrift SemiBold SemiConden" panose="020B0502040204020203" pitchFamily="34" charset="0"/>
          </a:endParaRPr>
        </a:p>
      </xdr:txBody>
    </xdr:sp>
    <xdr:clientData/>
  </xdr:twoCellAnchor>
  <xdr:twoCellAnchor>
    <xdr:from>
      <xdr:col>4</xdr:col>
      <xdr:colOff>419100</xdr:colOff>
      <xdr:row>21</xdr:row>
      <xdr:rowOff>64664</xdr:rowOff>
    </xdr:from>
    <xdr:to>
      <xdr:col>4</xdr:col>
      <xdr:colOff>1420973</xdr:colOff>
      <xdr:row>25</xdr:row>
      <xdr:rowOff>45614</xdr:rowOff>
    </xdr:to>
    <xdr:sp macro="" textlink="$B$72">
      <xdr:nvSpPr>
        <xdr:cNvPr id="23" name="Rectángulo 22">
          <a:extLst>
            <a:ext uri="{FF2B5EF4-FFF2-40B4-BE49-F238E27FC236}">
              <a16:creationId xmlns:a16="http://schemas.microsoft.com/office/drawing/2014/main" id="{3F39571A-1506-4683-8F2C-686D97FFF0CB}"/>
            </a:ext>
          </a:extLst>
        </xdr:cNvPr>
        <xdr:cNvSpPr/>
      </xdr:nvSpPr>
      <xdr:spPr>
        <a:xfrm>
          <a:off x="4053840" y="41337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658D7-C757-475F-B2B1-89153B1B31BE}" type="TxLink">
            <a:rPr lang="en-US" sz="2400" b="0" i="0" u="none" strike="noStrike">
              <a:solidFill>
                <a:schemeClr val="accent2"/>
              </a:solidFill>
              <a:latin typeface="Bahnschrift SemiBold SemiConden" panose="020B0502040204020203" pitchFamily="34" charset="0"/>
            </a:rPr>
            <a:pPr algn="l"/>
            <a:t>77%</a:t>
          </a:fld>
          <a:endParaRPr lang="es-CO" sz="4000" b="1">
            <a:solidFill>
              <a:schemeClr val="accent2"/>
            </a:solidFill>
            <a:latin typeface="Bahnschrift SemiBold SemiConden" panose="020B0502040204020203" pitchFamily="34" charset="0"/>
          </a:endParaRPr>
        </a:p>
      </xdr:txBody>
    </xdr:sp>
    <xdr:clientData/>
  </xdr:twoCellAnchor>
  <xdr:oneCellAnchor>
    <xdr:from>
      <xdr:col>15</xdr:col>
      <xdr:colOff>0</xdr:colOff>
      <xdr:row>63</xdr:row>
      <xdr:rowOff>64770</xdr:rowOff>
    </xdr:from>
    <xdr:ext cx="184731" cy="264560"/>
    <xdr:sp macro="" textlink="">
      <xdr:nvSpPr>
        <xdr:cNvPr id="24" name="CuadroTexto 23">
          <a:extLst>
            <a:ext uri="{FF2B5EF4-FFF2-40B4-BE49-F238E27FC236}">
              <a16:creationId xmlns:a16="http://schemas.microsoft.com/office/drawing/2014/main" id="{EE7F7868-D795-4B2E-85C5-9A2A4524738B}"/>
            </a:ext>
          </a:extLst>
        </xdr:cNvPr>
        <xdr:cNvSpPr txBox="1"/>
      </xdr:nvSpPr>
      <xdr:spPr>
        <a:xfrm>
          <a:off x="19812000" y="1183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2</xdr:col>
      <xdr:colOff>304802</xdr:colOff>
      <xdr:row>44</xdr:row>
      <xdr:rowOff>15240</xdr:rowOff>
    </xdr:from>
    <xdr:to>
      <xdr:col>5</xdr:col>
      <xdr:colOff>137162</xdr:colOff>
      <xdr:row>66</xdr:row>
      <xdr:rowOff>66040</xdr:rowOff>
    </xdr:to>
    <xdr:grpSp>
      <xdr:nvGrpSpPr>
        <xdr:cNvPr id="25" name="Grupo 24">
          <a:extLst>
            <a:ext uri="{FF2B5EF4-FFF2-40B4-BE49-F238E27FC236}">
              <a16:creationId xmlns:a16="http://schemas.microsoft.com/office/drawing/2014/main" id="{5FC03D05-E453-4927-8FE2-F83CBE4B05E5}"/>
            </a:ext>
          </a:extLst>
        </xdr:cNvPr>
        <xdr:cNvGrpSpPr/>
      </xdr:nvGrpSpPr>
      <xdr:grpSpPr>
        <a:xfrm>
          <a:off x="1887417" y="8034704"/>
          <a:ext cx="3492012" cy="3943008"/>
          <a:chOff x="5275897" y="7883842"/>
          <a:chExt cx="4608644" cy="2743200"/>
        </a:xfrm>
      </xdr:grpSpPr>
      <xdr:graphicFrame macro="">
        <xdr:nvGraphicFramePr>
          <xdr:cNvPr id="26" name="Gráfico 25">
            <a:extLst>
              <a:ext uri="{FF2B5EF4-FFF2-40B4-BE49-F238E27FC236}">
                <a16:creationId xmlns:a16="http://schemas.microsoft.com/office/drawing/2014/main" id="{B58DE6BE-70A3-685B-B1B7-BC107A6EEDF2}"/>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7" name="CuadroTexto 26">
            <a:extLst>
              <a:ext uri="{FF2B5EF4-FFF2-40B4-BE49-F238E27FC236}">
                <a16:creationId xmlns:a16="http://schemas.microsoft.com/office/drawing/2014/main" id="{1CB138F8-AC80-48EF-A098-17151750D096}"/>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28" name="CuadroTexto 27">
            <a:extLst>
              <a:ext uri="{FF2B5EF4-FFF2-40B4-BE49-F238E27FC236}">
                <a16:creationId xmlns:a16="http://schemas.microsoft.com/office/drawing/2014/main" id="{ACDF2A6B-683A-8D08-82C3-C04C67D9E733}"/>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29" name="CuadroTexto 28">
            <a:extLst>
              <a:ext uri="{FF2B5EF4-FFF2-40B4-BE49-F238E27FC236}">
                <a16:creationId xmlns:a16="http://schemas.microsoft.com/office/drawing/2014/main" id="{6DEF79C0-DE77-83FE-F66C-BDF5DD0D39EA}"/>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30" name="CuadroTexto 29">
            <a:extLst>
              <a:ext uri="{FF2B5EF4-FFF2-40B4-BE49-F238E27FC236}">
                <a16:creationId xmlns:a16="http://schemas.microsoft.com/office/drawing/2014/main" id="{FB74E668-7EF3-94A1-B4E1-A2B4EBD6105B}"/>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31" name="CuadroTexto 30">
            <a:extLst>
              <a:ext uri="{FF2B5EF4-FFF2-40B4-BE49-F238E27FC236}">
                <a16:creationId xmlns:a16="http://schemas.microsoft.com/office/drawing/2014/main" id="{9F99C22D-D477-A089-3FEE-0C256B2BDC62}"/>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32" name="CuadroTexto 31">
            <a:extLst>
              <a:ext uri="{FF2B5EF4-FFF2-40B4-BE49-F238E27FC236}">
                <a16:creationId xmlns:a16="http://schemas.microsoft.com/office/drawing/2014/main" id="{2040BB1E-6FC4-472E-7E77-8996C8F60768}"/>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71">
        <xdr:nvSpPr>
          <xdr:cNvPr id="33" name="Rectángulo 32">
            <a:extLst>
              <a:ext uri="{FF2B5EF4-FFF2-40B4-BE49-F238E27FC236}">
                <a16:creationId xmlns:a16="http://schemas.microsoft.com/office/drawing/2014/main" id="{DCF4AA33-CEDA-F1B3-BD06-4ADB09B945CA}"/>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E1DC04-80CC-4542-9A93-B580AF936541}" type="TxLink">
              <a:rPr lang="en-US" sz="3600" b="0" i="0" u="none" strike="noStrike">
                <a:solidFill>
                  <a:srgbClr val="000000"/>
                </a:solidFill>
                <a:latin typeface="Bahnschrift SemiBold SemiConden" panose="020B0502040204020203" pitchFamily="34" charset="0"/>
              </a:rPr>
              <a:pPr algn="l"/>
              <a:t>80</a:t>
            </a:fld>
            <a:endParaRPr lang="es-CO" sz="6000" b="1">
              <a:latin typeface="Bahnschrift SemiBold SemiConden" panose="020B0502040204020203" pitchFamily="34" charset="0"/>
            </a:endParaRPr>
          </a:p>
        </xdr:txBody>
      </xdr:sp>
    </xdr:grpSp>
    <xdr:clientData/>
  </xdr:twoCellAnchor>
  <xdr:twoCellAnchor>
    <xdr:from>
      <xdr:col>3</xdr:col>
      <xdr:colOff>15240</xdr:colOff>
      <xdr:row>18</xdr:row>
      <xdr:rowOff>0</xdr:rowOff>
    </xdr:from>
    <xdr:to>
      <xdr:col>5</xdr:col>
      <xdr:colOff>9525</xdr:colOff>
      <xdr:row>18</xdr:row>
      <xdr:rowOff>0</xdr:rowOff>
    </xdr:to>
    <xdr:cxnSp macro="">
      <xdr:nvCxnSpPr>
        <xdr:cNvPr id="34" name="Conector recto 33">
          <a:extLst>
            <a:ext uri="{FF2B5EF4-FFF2-40B4-BE49-F238E27FC236}">
              <a16:creationId xmlns:a16="http://schemas.microsoft.com/office/drawing/2014/main" id="{99A16A78-3CB3-40D1-9277-4FCD99EEEB21}"/>
            </a:ext>
          </a:extLst>
        </xdr:cNvPr>
        <xdr:cNvCxnSpPr/>
      </xdr:nvCxnSpPr>
      <xdr:spPr>
        <a:xfrm>
          <a:off x="2042160" y="3520440"/>
          <a:ext cx="320992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27</xdr:row>
      <xdr:rowOff>0</xdr:rowOff>
    </xdr:from>
    <xdr:to>
      <xdr:col>5</xdr:col>
      <xdr:colOff>0</xdr:colOff>
      <xdr:row>27</xdr:row>
      <xdr:rowOff>0</xdr:rowOff>
    </xdr:to>
    <xdr:cxnSp macro="">
      <xdr:nvCxnSpPr>
        <xdr:cNvPr id="35" name="Conector recto 34">
          <a:extLst>
            <a:ext uri="{FF2B5EF4-FFF2-40B4-BE49-F238E27FC236}">
              <a16:creationId xmlns:a16="http://schemas.microsoft.com/office/drawing/2014/main" id="{CE67BFCE-FAE0-49F2-9E78-84D8F19336BE}"/>
            </a:ext>
          </a:extLst>
        </xdr:cNvPr>
        <xdr:cNvCxnSpPr/>
      </xdr:nvCxnSpPr>
      <xdr:spPr>
        <a:xfrm>
          <a:off x="2036445" y="5166360"/>
          <a:ext cx="320611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xdr:colOff>
      <xdr:row>36</xdr:row>
      <xdr:rowOff>0</xdr:rowOff>
    </xdr:from>
    <xdr:to>
      <xdr:col>5</xdr:col>
      <xdr:colOff>0</xdr:colOff>
      <xdr:row>36</xdr:row>
      <xdr:rowOff>0</xdr:rowOff>
    </xdr:to>
    <xdr:cxnSp macro="">
      <xdr:nvCxnSpPr>
        <xdr:cNvPr id="36" name="Conector recto 35">
          <a:extLst>
            <a:ext uri="{FF2B5EF4-FFF2-40B4-BE49-F238E27FC236}">
              <a16:creationId xmlns:a16="http://schemas.microsoft.com/office/drawing/2014/main" id="{AE4FC1E7-3298-478A-9C3B-2D949CC60846}"/>
            </a:ext>
          </a:extLst>
        </xdr:cNvPr>
        <xdr:cNvCxnSpPr/>
      </xdr:nvCxnSpPr>
      <xdr:spPr>
        <a:xfrm>
          <a:off x="2028825" y="6812280"/>
          <a:ext cx="321373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70697</xdr:colOff>
      <xdr:row>54</xdr:row>
      <xdr:rowOff>177165</xdr:rowOff>
    </xdr:from>
    <xdr:ext cx="1408863" cy="732906"/>
    <xdr:pic>
      <xdr:nvPicPr>
        <xdr:cNvPr id="37" name="Imagen 36">
          <a:extLst>
            <a:ext uri="{FF2B5EF4-FFF2-40B4-BE49-F238E27FC236}">
              <a16:creationId xmlns:a16="http://schemas.microsoft.com/office/drawing/2014/main" id="{8284AD14-20B1-4C91-AD4F-825784C7E73B}"/>
            </a:ext>
          </a:extLst>
        </xdr:cNvPr>
        <xdr:cNvPicPr>
          <a:picLocks noChangeAspect="1"/>
        </xdr:cNvPicPr>
      </xdr:nvPicPr>
      <xdr:blipFill>
        <a:blip xmlns:r="http://schemas.openxmlformats.org/officeDocument/2006/relationships" r:embed="rId18"/>
        <a:stretch>
          <a:fillRect/>
        </a:stretch>
      </xdr:blipFill>
      <xdr:spPr>
        <a:xfrm>
          <a:off x="70697" y="10281285"/>
          <a:ext cx="1408863" cy="732906"/>
        </a:xfrm>
        <a:prstGeom prst="rect">
          <a:avLst/>
        </a:prstGeom>
      </xdr:spPr>
    </xdr:pic>
    <xdr:clientData/>
  </xdr:oneCellAnchor>
  <xdr:oneCellAnchor>
    <xdr:from>
      <xdr:col>0</xdr:col>
      <xdr:colOff>504700</xdr:colOff>
      <xdr:row>5</xdr:row>
      <xdr:rowOff>165643</xdr:rowOff>
    </xdr:from>
    <xdr:ext cx="524494" cy="524494"/>
    <xdr:pic>
      <xdr:nvPicPr>
        <xdr:cNvPr id="38" name="Imagen 37">
          <a:extLst>
            <a:ext uri="{FF2B5EF4-FFF2-40B4-BE49-F238E27FC236}">
              <a16:creationId xmlns:a16="http://schemas.microsoft.com/office/drawing/2014/main" id="{49C0D0F7-5AB2-4266-99E6-9C8B20E67E4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4700" y="1293403"/>
          <a:ext cx="524494" cy="524494"/>
        </a:xfrm>
        <a:prstGeom prst="rect">
          <a:avLst/>
        </a:prstGeom>
      </xdr:spPr>
    </xdr:pic>
    <xdr:clientData/>
  </xdr:oneCellAnchor>
  <xdr:oneCellAnchor>
    <xdr:from>
      <xdr:col>24</xdr:col>
      <xdr:colOff>534391</xdr:colOff>
      <xdr:row>6</xdr:row>
      <xdr:rowOff>22558</xdr:rowOff>
    </xdr:from>
    <xdr:ext cx="484907" cy="484907"/>
    <xdr:pic>
      <xdr:nvPicPr>
        <xdr:cNvPr id="39" name="Imagen 38">
          <a:extLst>
            <a:ext uri="{FF2B5EF4-FFF2-40B4-BE49-F238E27FC236}">
              <a16:creationId xmlns:a16="http://schemas.microsoft.com/office/drawing/2014/main" id="{BDD0F1DA-B763-48D4-AB30-96F6E115322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692071" y="1333198"/>
          <a:ext cx="484907" cy="484907"/>
        </a:xfrm>
        <a:prstGeom prst="rect">
          <a:avLst/>
        </a:prstGeom>
      </xdr:spPr>
    </xdr:pic>
    <xdr:clientData/>
  </xdr:oneCellAnchor>
  <xdr:twoCellAnchor>
    <xdr:from>
      <xdr:col>0</xdr:col>
      <xdr:colOff>56779</xdr:colOff>
      <xdr:row>11</xdr:row>
      <xdr:rowOff>43345</xdr:rowOff>
    </xdr:from>
    <xdr:to>
      <xdr:col>1</xdr:col>
      <xdr:colOff>704479</xdr:colOff>
      <xdr:row>16</xdr:row>
      <xdr:rowOff>126003</xdr:rowOff>
    </xdr:to>
    <xdr:sp macro="" textlink="">
      <xdr:nvSpPr>
        <xdr:cNvPr id="40" name="Rectángulo: esquinas redondeadas 39">
          <a:hlinkClick xmlns:r="http://schemas.openxmlformats.org/officeDocument/2006/relationships" r:id="rId21"/>
          <a:extLst>
            <a:ext uri="{FF2B5EF4-FFF2-40B4-BE49-F238E27FC236}">
              <a16:creationId xmlns:a16="http://schemas.microsoft.com/office/drawing/2014/main" id="{76C8C88A-AA2A-4836-AEA8-F04EA0F0A6A8}"/>
            </a:ext>
          </a:extLst>
        </xdr:cNvPr>
        <xdr:cNvSpPr/>
      </xdr:nvSpPr>
      <xdr:spPr>
        <a:xfrm>
          <a:off x="56779" y="2283625"/>
          <a:ext cx="1440180" cy="99705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LIDER SALA VENTAS</a:t>
          </a:r>
        </a:p>
      </xdr:txBody>
    </xdr:sp>
    <xdr:clientData/>
  </xdr:twoCellAnchor>
  <xdr:twoCellAnchor>
    <xdr:from>
      <xdr:col>0</xdr:col>
      <xdr:colOff>60736</xdr:colOff>
      <xdr:row>16</xdr:row>
      <xdr:rowOff>166057</xdr:rowOff>
    </xdr:from>
    <xdr:to>
      <xdr:col>1</xdr:col>
      <xdr:colOff>708436</xdr:colOff>
      <xdr:row>22</xdr:row>
      <xdr:rowOff>70584</xdr:rowOff>
    </xdr:to>
    <xdr:sp macro="" textlink="">
      <xdr:nvSpPr>
        <xdr:cNvPr id="41" name="Rectángulo: esquinas redondeadas 40">
          <a:hlinkClick xmlns:r="http://schemas.openxmlformats.org/officeDocument/2006/relationships" r:id="rId22"/>
          <a:extLst>
            <a:ext uri="{FF2B5EF4-FFF2-40B4-BE49-F238E27FC236}">
              <a16:creationId xmlns:a16="http://schemas.microsoft.com/office/drawing/2014/main" id="{E64B9984-2EFE-4E3C-8AAB-446A10003F8F}"/>
            </a:ext>
          </a:extLst>
        </xdr:cNvPr>
        <xdr:cNvSpPr/>
      </xdr:nvSpPr>
      <xdr:spPr>
        <a:xfrm>
          <a:off x="60736" y="3366457"/>
          <a:ext cx="1440180" cy="1001807"/>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ASESOR COMERCIAL</a:t>
          </a:r>
        </a:p>
      </xdr:txBody>
    </xdr:sp>
    <xdr:clientData/>
  </xdr:twoCellAnchor>
  <xdr:twoCellAnchor>
    <xdr:from>
      <xdr:col>0</xdr:col>
      <xdr:colOff>44903</xdr:colOff>
      <xdr:row>22</xdr:row>
      <xdr:rowOff>120533</xdr:rowOff>
    </xdr:from>
    <xdr:to>
      <xdr:col>1</xdr:col>
      <xdr:colOff>692603</xdr:colOff>
      <xdr:row>28</xdr:row>
      <xdr:rowOff>25061</xdr:rowOff>
    </xdr:to>
    <xdr:sp macro="" textlink="">
      <xdr:nvSpPr>
        <xdr:cNvPr id="42" name="Rectángulo: esquinas redondeadas 41">
          <a:hlinkClick xmlns:r="http://schemas.openxmlformats.org/officeDocument/2006/relationships" r:id="rId23"/>
          <a:extLst>
            <a:ext uri="{FF2B5EF4-FFF2-40B4-BE49-F238E27FC236}">
              <a16:creationId xmlns:a16="http://schemas.microsoft.com/office/drawing/2014/main" id="{84B0C90A-5FBF-4422-87CD-B84A9BC0F144}"/>
            </a:ext>
          </a:extLst>
        </xdr:cNvPr>
        <xdr:cNvSpPr/>
      </xdr:nvSpPr>
      <xdr:spPr>
        <a:xfrm>
          <a:off x="44903" y="4372493"/>
          <a:ext cx="1440180" cy="100180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t>
          </a:r>
          <a:r>
            <a:rPr lang="es-CO" sz="600">
              <a:solidFill>
                <a:schemeClr val="accent1"/>
              </a:solidFill>
              <a:latin typeface="Artifakt Element Heavy" panose="020B0B03050000020004" pitchFamily="34" charset="0"/>
              <a:ea typeface="Artifakt Element Heavy" panose="020B0B03050000020004" pitchFamily="34" charset="0"/>
            </a:rPr>
            <a:t>ASESOR COMERCIAL ADMON</a:t>
          </a:r>
          <a:endParaRPr lang="es-CO" sz="700">
            <a:solidFill>
              <a:schemeClr val="accent1"/>
            </a:solidFill>
            <a:latin typeface="Artifakt Element Heavy" panose="020B0B03050000020004" pitchFamily="34" charset="0"/>
            <a:ea typeface="Artifakt Element Heavy" panose="020B0B03050000020004" pitchFamily="34" charset="0"/>
          </a:endParaRPr>
        </a:p>
      </xdr:txBody>
    </xdr:sp>
    <xdr:clientData/>
  </xdr:twoCellAnchor>
  <xdr:oneCellAnchor>
    <xdr:from>
      <xdr:col>0</xdr:col>
      <xdr:colOff>508659</xdr:colOff>
      <xdr:row>11</xdr:row>
      <xdr:rowOff>80537</xdr:rowOff>
    </xdr:from>
    <xdr:ext cx="524494" cy="524494"/>
    <xdr:pic>
      <xdr:nvPicPr>
        <xdr:cNvPr id="43" name="Imagen 42">
          <a:extLst>
            <a:ext uri="{FF2B5EF4-FFF2-40B4-BE49-F238E27FC236}">
              <a16:creationId xmlns:a16="http://schemas.microsoft.com/office/drawing/2014/main" id="{1DD5F44C-6E6E-4CC5-B713-63804D78BAC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8659" y="2320817"/>
          <a:ext cx="524494" cy="524494"/>
        </a:xfrm>
        <a:prstGeom prst="rect">
          <a:avLst/>
        </a:prstGeom>
      </xdr:spPr>
    </xdr:pic>
    <xdr:clientData/>
  </xdr:oneCellAnchor>
  <xdr:oneCellAnchor>
    <xdr:from>
      <xdr:col>0</xdr:col>
      <xdr:colOff>502721</xdr:colOff>
      <xdr:row>17</xdr:row>
      <xdr:rowOff>15223</xdr:rowOff>
    </xdr:from>
    <xdr:ext cx="524494" cy="524494"/>
    <xdr:pic>
      <xdr:nvPicPr>
        <xdr:cNvPr id="44" name="Imagen 43">
          <a:extLst>
            <a:ext uri="{FF2B5EF4-FFF2-40B4-BE49-F238E27FC236}">
              <a16:creationId xmlns:a16="http://schemas.microsoft.com/office/drawing/2014/main" id="{02AB1EA4-EC42-40BC-A2E5-BE01A453B26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2721" y="3352783"/>
          <a:ext cx="524494" cy="524494"/>
        </a:xfrm>
        <a:prstGeom prst="rect">
          <a:avLst/>
        </a:prstGeom>
      </xdr:spPr>
    </xdr:pic>
    <xdr:clientData/>
  </xdr:oneCellAnchor>
  <xdr:oneCellAnchor>
    <xdr:from>
      <xdr:col>0</xdr:col>
      <xdr:colOff>506679</xdr:colOff>
      <xdr:row>22</xdr:row>
      <xdr:rowOff>157726</xdr:rowOff>
    </xdr:from>
    <xdr:ext cx="524494" cy="524494"/>
    <xdr:pic>
      <xdr:nvPicPr>
        <xdr:cNvPr id="45" name="Imagen 44">
          <a:extLst>
            <a:ext uri="{FF2B5EF4-FFF2-40B4-BE49-F238E27FC236}">
              <a16:creationId xmlns:a16="http://schemas.microsoft.com/office/drawing/2014/main" id="{4A71BCF2-E17F-4969-8BBD-0F5E57BF748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6679" y="4409686"/>
          <a:ext cx="524494" cy="524494"/>
        </a:xfrm>
        <a:prstGeom prst="rect">
          <a:avLst/>
        </a:prstGeom>
      </xdr:spPr>
    </xdr:pic>
    <xdr:clientData/>
  </xdr:oneCellAnchor>
  <xdr:twoCellAnchor>
    <xdr:from>
      <xdr:col>24</xdr:col>
      <xdr:colOff>60738</xdr:colOff>
      <xdr:row>11</xdr:row>
      <xdr:rowOff>50099</xdr:rowOff>
    </xdr:from>
    <xdr:to>
      <xdr:col>24</xdr:col>
      <xdr:colOff>1500126</xdr:colOff>
      <xdr:row>16</xdr:row>
      <xdr:rowOff>122489</xdr:rowOff>
    </xdr:to>
    <xdr:sp macro="" textlink="">
      <xdr:nvSpPr>
        <xdr:cNvPr id="48" name="Rectángulo: esquinas redondeadas 47">
          <a:hlinkClick xmlns:r="http://schemas.openxmlformats.org/officeDocument/2006/relationships" r:id="rId24"/>
          <a:extLst>
            <a:ext uri="{FF2B5EF4-FFF2-40B4-BE49-F238E27FC236}">
              <a16:creationId xmlns:a16="http://schemas.microsoft.com/office/drawing/2014/main" id="{5F8AB815-4E9A-4D62-BBCD-2160C69E8A7A}"/>
            </a:ext>
          </a:extLst>
        </xdr:cNvPr>
        <xdr:cNvSpPr/>
      </xdr:nvSpPr>
      <xdr:spPr>
        <a:xfrm>
          <a:off x="27218418" y="2290379"/>
          <a:ext cx="1439388" cy="98679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LIDER SALA DE VENTAS</a:t>
          </a:r>
        </a:p>
      </xdr:txBody>
    </xdr:sp>
    <xdr:clientData/>
  </xdr:twoCellAnchor>
  <xdr:oneCellAnchor>
    <xdr:from>
      <xdr:col>24</xdr:col>
      <xdr:colOff>528454</xdr:colOff>
      <xdr:row>11</xdr:row>
      <xdr:rowOff>135373</xdr:rowOff>
    </xdr:from>
    <xdr:ext cx="484907" cy="484907"/>
    <xdr:pic>
      <xdr:nvPicPr>
        <xdr:cNvPr id="49" name="Imagen 48">
          <a:extLst>
            <a:ext uri="{FF2B5EF4-FFF2-40B4-BE49-F238E27FC236}">
              <a16:creationId xmlns:a16="http://schemas.microsoft.com/office/drawing/2014/main" id="{5E0A3ED6-3CCE-4D3A-9CF6-EA20A0728D7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686134" y="2375653"/>
          <a:ext cx="484907" cy="484907"/>
        </a:xfrm>
        <a:prstGeom prst="rect">
          <a:avLst/>
        </a:prstGeom>
      </xdr:spPr>
    </xdr:pic>
    <xdr:clientData/>
  </xdr:oneCellAnchor>
  <xdr:twoCellAnchor>
    <xdr:from>
      <xdr:col>24</xdr:col>
      <xdr:colOff>64698</xdr:colOff>
      <xdr:row>16</xdr:row>
      <xdr:rowOff>172811</xdr:rowOff>
    </xdr:from>
    <xdr:to>
      <xdr:col>24</xdr:col>
      <xdr:colOff>1504086</xdr:colOff>
      <xdr:row>22</xdr:row>
      <xdr:rowOff>67070</xdr:rowOff>
    </xdr:to>
    <xdr:sp macro="" textlink="">
      <xdr:nvSpPr>
        <xdr:cNvPr id="50" name="Rectángulo: esquinas redondeadas 49">
          <a:hlinkClick xmlns:r="http://schemas.openxmlformats.org/officeDocument/2006/relationships" r:id="rId25"/>
          <a:extLst>
            <a:ext uri="{FF2B5EF4-FFF2-40B4-BE49-F238E27FC236}">
              <a16:creationId xmlns:a16="http://schemas.microsoft.com/office/drawing/2014/main" id="{CCA98EF3-B0EE-4CBF-B73E-A1565D4C08CD}"/>
            </a:ext>
          </a:extLst>
        </xdr:cNvPr>
        <xdr:cNvSpPr/>
      </xdr:nvSpPr>
      <xdr:spPr>
        <a:xfrm>
          <a:off x="27222378" y="3327491"/>
          <a:ext cx="1439388" cy="99153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ASESOR COMERCIAL</a:t>
          </a:r>
        </a:p>
      </xdr:txBody>
    </xdr:sp>
    <xdr:clientData/>
  </xdr:twoCellAnchor>
  <xdr:oneCellAnchor>
    <xdr:from>
      <xdr:col>24</xdr:col>
      <xdr:colOff>532414</xdr:colOff>
      <xdr:row>17</xdr:row>
      <xdr:rowOff>79955</xdr:rowOff>
    </xdr:from>
    <xdr:ext cx="484907" cy="484907"/>
    <xdr:pic>
      <xdr:nvPicPr>
        <xdr:cNvPr id="51" name="Imagen 50">
          <a:extLst>
            <a:ext uri="{FF2B5EF4-FFF2-40B4-BE49-F238E27FC236}">
              <a16:creationId xmlns:a16="http://schemas.microsoft.com/office/drawing/2014/main" id="{93D17F90-1CF1-48F0-B0EB-323529C54B4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690094" y="3417515"/>
          <a:ext cx="484907" cy="484907"/>
        </a:xfrm>
        <a:prstGeom prst="rect">
          <a:avLst/>
        </a:prstGeom>
      </xdr:spPr>
    </xdr:pic>
    <xdr:clientData/>
  </xdr:oneCellAnchor>
  <xdr:twoCellAnchor>
    <xdr:from>
      <xdr:col>24</xdr:col>
      <xdr:colOff>58760</xdr:colOff>
      <xdr:row>22</xdr:row>
      <xdr:rowOff>117392</xdr:rowOff>
    </xdr:from>
    <xdr:to>
      <xdr:col>24</xdr:col>
      <xdr:colOff>1498148</xdr:colOff>
      <xdr:row>28</xdr:row>
      <xdr:rowOff>11652</xdr:rowOff>
    </xdr:to>
    <xdr:sp macro="" textlink="">
      <xdr:nvSpPr>
        <xdr:cNvPr id="52" name="Rectángulo: esquinas redondeadas 51">
          <a:hlinkClick xmlns:r="http://schemas.openxmlformats.org/officeDocument/2006/relationships" r:id="rId26"/>
          <a:extLst>
            <a:ext uri="{FF2B5EF4-FFF2-40B4-BE49-F238E27FC236}">
              <a16:creationId xmlns:a16="http://schemas.microsoft.com/office/drawing/2014/main" id="{62634EA4-4CE1-4B11-AF9C-3F13CF7F1CA1}"/>
            </a:ext>
          </a:extLst>
        </xdr:cNvPr>
        <xdr:cNvSpPr/>
      </xdr:nvSpPr>
      <xdr:spPr>
        <a:xfrm>
          <a:off x="27216440" y="4369352"/>
          <a:ext cx="1439388" cy="99154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ASESOR COMERCIAL ADMON</a:t>
          </a:r>
        </a:p>
      </xdr:txBody>
    </xdr:sp>
    <xdr:clientData/>
  </xdr:twoCellAnchor>
  <xdr:oneCellAnchor>
    <xdr:from>
      <xdr:col>24</xdr:col>
      <xdr:colOff>526476</xdr:colOff>
      <xdr:row>23</xdr:row>
      <xdr:rowOff>24536</xdr:rowOff>
    </xdr:from>
    <xdr:ext cx="484907" cy="484907"/>
    <xdr:pic>
      <xdr:nvPicPr>
        <xdr:cNvPr id="53" name="Imagen 52">
          <a:extLst>
            <a:ext uri="{FF2B5EF4-FFF2-40B4-BE49-F238E27FC236}">
              <a16:creationId xmlns:a16="http://schemas.microsoft.com/office/drawing/2014/main" id="{1F0700C0-645C-4AD4-AD03-9A453A93AC1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684156" y="4459376"/>
          <a:ext cx="484907" cy="484907"/>
        </a:xfrm>
        <a:prstGeom prst="rect">
          <a:avLst/>
        </a:prstGeom>
      </xdr:spPr>
    </xdr:pic>
    <xdr:clientData/>
  </xdr:oneCellAnchor>
  <xdr:twoCellAnchor>
    <xdr:from>
      <xdr:col>3</xdr:col>
      <xdr:colOff>57149</xdr:colOff>
      <xdr:row>9</xdr:row>
      <xdr:rowOff>20956</xdr:rowOff>
    </xdr:from>
    <xdr:to>
      <xdr:col>4</xdr:col>
      <xdr:colOff>1227116</xdr:colOff>
      <xdr:row>10</xdr:row>
      <xdr:rowOff>98962</xdr:rowOff>
    </xdr:to>
    <xdr:sp macro="" textlink="$A$65">
      <xdr:nvSpPr>
        <xdr:cNvPr id="56" name="Rectángulo 55">
          <a:extLst>
            <a:ext uri="{FF2B5EF4-FFF2-40B4-BE49-F238E27FC236}">
              <a16:creationId xmlns:a16="http://schemas.microsoft.com/office/drawing/2014/main" id="{603F1638-EED4-4789-B192-3DB6552AAD40}"/>
            </a:ext>
          </a:extLst>
        </xdr:cNvPr>
        <xdr:cNvSpPr/>
      </xdr:nvSpPr>
      <xdr:spPr>
        <a:xfrm>
          <a:off x="2084069" y="1895476"/>
          <a:ext cx="277778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3D07D8-2C8A-4E10-82FE-573E7CD5990F}" type="TxLink">
            <a:rPr lang="en-US" sz="900" b="1" i="0" u="none" strike="noStrike">
              <a:solidFill>
                <a:srgbClr val="000000"/>
              </a:solidFill>
              <a:latin typeface="Aptos Narrow"/>
            </a:rPr>
            <a:pPr algn="l"/>
            <a:t>Estrategia y Planificación Comercial</a:t>
          </a:fld>
          <a:endParaRPr lang="es-CO" sz="1100">
            <a:solidFill>
              <a:sysClr val="windowText" lastClr="000000"/>
            </a:solidFill>
          </a:endParaRPr>
        </a:p>
      </xdr:txBody>
    </xdr:sp>
    <xdr:clientData/>
  </xdr:twoCellAnchor>
  <xdr:twoCellAnchor>
    <xdr:from>
      <xdr:col>3</xdr:col>
      <xdr:colOff>1206500</xdr:colOff>
      <xdr:row>26</xdr:row>
      <xdr:rowOff>127001</xdr:rowOff>
    </xdr:from>
    <xdr:to>
      <xdr:col>5</xdr:col>
      <xdr:colOff>266700</xdr:colOff>
      <xdr:row>39</xdr:row>
      <xdr:rowOff>76201</xdr:rowOff>
    </xdr:to>
    <xdr:graphicFrame macro="">
      <xdr:nvGraphicFramePr>
        <xdr:cNvPr id="57" name="Gráfico 56">
          <a:extLst>
            <a:ext uri="{FF2B5EF4-FFF2-40B4-BE49-F238E27FC236}">
              <a16:creationId xmlns:a16="http://schemas.microsoft.com/office/drawing/2014/main" id="{9E364E06-33F4-4C3C-85D3-D30455088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482600</xdr:colOff>
      <xdr:row>30</xdr:row>
      <xdr:rowOff>133301</xdr:rowOff>
    </xdr:from>
    <xdr:to>
      <xdr:col>4</xdr:col>
      <xdr:colOff>1415077</xdr:colOff>
      <xdr:row>34</xdr:row>
      <xdr:rowOff>121871</xdr:rowOff>
    </xdr:to>
    <xdr:sp macro="" textlink="$B$73">
      <xdr:nvSpPr>
        <xdr:cNvPr id="58" name="Rectángulo 57">
          <a:extLst>
            <a:ext uri="{FF2B5EF4-FFF2-40B4-BE49-F238E27FC236}">
              <a16:creationId xmlns:a16="http://schemas.microsoft.com/office/drawing/2014/main" id="{45CE4848-DD36-4D84-9E8F-CB772AF74C67}"/>
            </a:ext>
          </a:extLst>
        </xdr:cNvPr>
        <xdr:cNvSpPr/>
      </xdr:nvSpPr>
      <xdr:spPr>
        <a:xfrm>
          <a:off x="4117340" y="58483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12F86-146D-46A1-819C-080CBABE43EE}" type="TxLink">
            <a:rPr lang="en-US" sz="2400" b="0" i="0" u="none" strike="noStrike">
              <a:solidFill>
                <a:schemeClr val="accent2"/>
              </a:solidFill>
              <a:latin typeface="Bahnschrift SemiBold SemiConden" panose="020B0502040204020203" pitchFamily="34" charset="0"/>
            </a:rPr>
            <a:pPr algn="l"/>
            <a:t>82%</a:t>
          </a:fld>
          <a:endParaRPr lang="es-CO" sz="7200" b="1">
            <a:solidFill>
              <a:schemeClr val="accent2"/>
            </a:solidFill>
            <a:latin typeface="Bahnschrift SemiBold SemiConden" panose="020B0502040204020203" pitchFamily="34" charset="0"/>
          </a:endParaRPr>
        </a:p>
      </xdr:txBody>
    </xdr:sp>
    <xdr:clientData/>
  </xdr:twoCellAnchor>
  <xdr:twoCellAnchor>
    <xdr:from>
      <xdr:col>2</xdr:col>
      <xdr:colOff>9898</xdr:colOff>
      <xdr:row>27</xdr:row>
      <xdr:rowOff>62593</xdr:rowOff>
    </xdr:from>
    <xdr:to>
      <xdr:col>4</xdr:col>
      <xdr:colOff>258124</xdr:colOff>
      <xdr:row>37</xdr:row>
      <xdr:rowOff>49480</xdr:rowOff>
    </xdr:to>
    <xdr:graphicFrame macro="">
      <xdr:nvGraphicFramePr>
        <xdr:cNvPr id="59" name="Gráfico 58">
          <a:extLst>
            <a:ext uri="{FF2B5EF4-FFF2-40B4-BE49-F238E27FC236}">
              <a16:creationId xmlns:a16="http://schemas.microsoft.com/office/drawing/2014/main" id="{987B1A36-858D-459D-9A60-6071385EF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12064</xdr:colOff>
      <xdr:row>27</xdr:row>
      <xdr:rowOff>78105</xdr:rowOff>
    </xdr:from>
    <xdr:to>
      <xdr:col>4</xdr:col>
      <xdr:colOff>1085767</xdr:colOff>
      <xdr:row>29</xdr:row>
      <xdr:rowOff>0</xdr:rowOff>
    </xdr:to>
    <xdr:sp macro="" textlink="$A$67">
      <xdr:nvSpPr>
        <xdr:cNvPr id="60" name="Rectángulo 59">
          <a:extLst>
            <a:ext uri="{FF2B5EF4-FFF2-40B4-BE49-F238E27FC236}">
              <a16:creationId xmlns:a16="http://schemas.microsoft.com/office/drawing/2014/main" id="{EBBC0711-BCC7-450A-A69A-73BEA7537CDC}"/>
            </a:ext>
          </a:extLst>
        </xdr:cNvPr>
        <xdr:cNvSpPr/>
      </xdr:nvSpPr>
      <xdr:spPr>
        <a:xfrm>
          <a:off x="2038984" y="5244465"/>
          <a:ext cx="268152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8E57EB-F09B-4A66-A074-95FAF6C5C1F3}"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3</xdr:col>
      <xdr:colOff>419100</xdr:colOff>
      <xdr:row>30</xdr:row>
      <xdr:rowOff>172712</xdr:rowOff>
    </xdr:from>
    <xdr:to>
      <xdr:col>3</xdr:col>
      <xdr:colOff>1359066</xdr:colOff>
      <xdr:row>34</xdr:row>
      <xdr:rowOff>150182</xdr:rowOff>
    </xdr:to>
    <xdr:sp macro="" textlink="$B$67">
      <xdr:nvSpPr>
        <xdr:cNvPr id="61" name="Rectángulo 60">
          <a:extLst>
            <a:ext uri="{FF2B5EF4-FFF2-40B4-BE49-F238E27FC236}">
              <a16:creationId xmlns:a16="http://schemas.microsoft.com/office/drawing/2014/main" id="{25FC08FB-EE07-4031-945F-0D3A0288FE08}"/>
            </a:ext>
          </a:extLst>
        </xdr:cNvPr>
        <xdr:cNvSpPr/>
      </xdr:nvSpPr>
      <xdr:spPr>
        <a:xfrm>
          <a:off x="2446020" y="58877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531075-0DF5-47F5-9E0C-35FB255065FF}"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46355</xdr:colOff>
      <xdr:row>36</xdr:row>
      <xdr:rowOff>77470</xdr:rowOff>
    </xdr:from>
    <xdr:to>
      <xdr:col>4</xdr:col>
      <xdr:colOff>401320</xdr:colOff>
      <xdr:row>38</xdr:row>
      <xdr:rowOff>12700</xdr:rowOff>
    </xdr:to>
    <xdr:sp macro="" textlink="$A$68">
      <xdr:nvSpPr>
        <xdr:cNvPr id="62" name="Rectángulo 61">
          <a:extLst>
            <a:ext uri="{FF2B5EF4-FFF2-40B4-BE49-F238E27FC236}">
              <a16:creationId xmlns:a16="http://schemas.microsoft.com/office/drawing/2014/main" id="{DCD97C0D-FBF7-4ABD-B456-ECE0F48C8D4C}"/>
            </a:ext>
          </a:extLst>
        </xdr:cNvPr>
        <xdr:cNvSpPr/>
      </xdr:nvSpPr>
      <xdr:spPr>
        <a:xfrm>
          <a:off x="2073275" y="6889750"/>
          <a:ext cx="196278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54BDE8-124D-4AF6-B77A-C0F17417990D}" type="TxLink">
            <a:rPr lang="en-US" sz="900" b="1" i="0" u="none" strike="noStrike">
              <a:solidFill>
                <a:srgbClr val="000000"/>
              </a:solidFill>
              <a:latin typeface="Aptos Narrow"/>
            </a:rPr>
            <a:pPr algn="l"/>
            <a:t>Gestión Documental y Procesos Legales/Internos</a:t>
          </a:fld>
          <a:endParaRPr lang="es-CO" sz="1100">
            <a:solidFill>
              <a:sysClr val="windowText" lastClr="000000"/>
            </a:solidFill>
          </a:endParaRPr>
        </a:p>
      </xdr:txBody>
    </xdr:sp>
    <xdr:clientData/>
  </xdr:twoCellAnchor>
  <xdr:twoCellAnchor>
    <xdr:from>
      <xdr:col>2</xdr:col>
      <xdr:colOff>38100</xdr:colOff>
      <xdr:row>36</xdr:row>
      <xdr:rowOff>63500</xdr:rowOff>
    </xdr:from>
    <xdr:to>
      <xdr:col>4</xdr:col>
      <xdr:colOff>286326</xdr:colOff>
      <xdr:row>46</xdr:row>
      <xdr:rowOff>63087</xdr:rowOff>
    </xdr:to>
    <xdr:graphicFrame macro="">
      <xdr:nvGraphicFramePr>
        <xdr:cNvPr id="63" name="Gráfico 62">
          <a:extLst>
            <a:ext uri="{FF2B5EF4-FFF2-40B4-BE49-F238E27FC236}">
              <a16:creationId xmlns:a16="http://schemas.microsoft.com/office/drawing/2014/main" id="{7FDB4C2E-AC05-41BC-A44A-7737653FD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431800</xdr:colOff>
      <xdr:row>40</xdr:row>
      <xdr:rowOff>33919</xdr:rowOff>
    </xdr:from>
    <xdr:to>
      <xdr:col>3</xdr:col>
      <xdr:colOff>1374568</xdr:colOff>
      <xdr:row>44</xdr:row>
      <xdr:rowOff>11389</xdr:rowOff>
    </xdr:to>
    <xdr:sp macro="" textlink="$B$68">
      <xdr:nvSpPr>
        <xdr:cNvPr id="64" name="Rectángulo 63">
          <a:extLst>
            <a:ext uri="{FF2B5EF4-FFF2-40B4-BE49-F238E27FC236}">
              <a16:creationId xmlns:a16="http://schemas.microsoft.com/office/drawing/2014/main" id="{B4C9F1D5-9C50-4AF9-B5D5-82F58B30BDD3}"/>
            </a:ext>
          </a:extLst>
        </xdr:cNvPr>
        <xdr:cNvSpPr/>
      </xdr:nvSpPr>
      <xdr:spPr>
        <a:xfrm>
          <a:off x="2458720" y="7577719"/>
          <a:ext cx="942768"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397614-A3C7-4E47-969D-F2E581A381A7}" type="TxLink">
            <a:rPr lang="en-US" sz="2400" b="0" i="0" u="none" strike="noStrike">
              <a:solidFill>
                <a:schemeClr val="tx2">
                  <a:lumMod val="50000"/>
                  <a:lumOff val="50000"/>
                </a:schemeClr>
              </a:solidFill>
              <a:latin typeface="Bahnschrift SemiBold SemiConden" panose="020B0502040204020203" pitchFamily="34" charset="0"/>
            </a:rPr>
            <a:pPr algn="l"/>
            <a:t>10%</a:t>
          </a:fld>
          <a:endParaRPr lang="es-CO" sz="4800">
            <a:solidFill>
              <a:schemeClr val="tx2">
                <a:lumMod val="50000"/>
                <a:lumOff val="50000"/>
              </a:schemeClr>
            </a:solidFill>
            <a:latin typeface="Bahnschrift SemiBold SemiConden" panose="020B0502040204020203" pitchFamily="34" charset="0"/>
          </a:endParaRPr>
        </a:p>
      </xdr:txBody>
    </xdr:sp>
    <xdr:clientData/>
  </xdr:twoCellAnchor>
  <xdr:twoCellAnchor>
    <xdr:from>
      <xdr:col>3</xdr:col>
      <xdr:colOff>1168400</xdr:colOff>
      <xdr:row>35</xdr:row>
      <xdr:rowOff>25400</xdr:rowOff>
    </xdr:from>
    <xdr:to>
      <xdr:col>5</xdr:col>
      <xdr:colOff>266700</xdr:colOff>
      <xdr:row>49</xdr:row>
      <xdr:rowOff>76200</xdr:rowOff>
    </xdr:to>
    <xdr:graphicFrame macro="">
      <xdr:nvGraphicFramePr>
        <xdr:cNvPr id="65" name="Gráfico 64">
          <a:extLst>
            <a:ext uri="{FF2B5EF4-FFF2-40B4-BE49-F238E27FC236}">
              <a16:creationId xmlns:a16="http://schemas.microsoft.com/office/drawing/2014/main" id="{F5A3E7AB-A725-4A21-B6B7-724285D82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431800</xdr:colOff>
      <xdr:row>39</xdr:row>
      <xdr:rowOff>126206</xdr:rowOff>
    </xdr:from>
    <xdr:to>
      <xdr:col>4</xdr:col>
      <xdr:colOff>1287219</xdr:colOff>
      <xdr:row>43</xdr:row>
      <xdr:rowOff>114776</xdr:rowOff>
    </xdr:to>
    <xdr:sp macro="" textlink="$B$74">
      <xdr:nvSpPr>
        <xdr:cNvPr id="66" name="Rectángulo 65">
          <a:extLst>
            <a:ext uri="{FF2B5EF4-FFF2-40B4-BE49-F238E27FC236}">
              <a16:creationId xmlns:a16="http://schemas.microsoft.com/office/drawing/2014/main" id="{9B6C5C60-CA5A-41C5-97CA-0997C423D4A0}"/>
            </a:ext>
          </a:extLst>
        </xdr:cNvPr>
        <xdr:cNvSpPr/>
      </xdr:nvSpPr>
      <xdr:spPr>
        <a:xfrm>
          <a:off x="4066540" y="74871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CF9677-B3B5-4374-B430-B5B9F02553B2}" type="TxLink">
            <a:rPr lang="en-US" sz="2400" b="0" i="0" u="none" strike="noStrike">
              <a:solidFill>
                <a:schemeClr val="accent2"/>
              </a:solidFill>
              <a:latin typeface="Bahnschrift SemiBold SemiConden" panose="020B0502040204020203" pitchFamily="34" charset="0"/>
            </a:rPr>
            <a:pPr algn="l"/>
            <a:t>95%</a:t>
          </a:fld>
          <a:endParaRPr lang="es-CO" sz="16600" b="1">
            <a:solidFill>
              <a:schemeClr val="accent2"/>
            </a:solidFill>
            <a:latin typeface="Bahnschrift SemiBold SemiConden" panose="020B0502040204020203" pitchFamily="34" charset="0"/>
          </a:endParaRPr>
        </a:p>
      </xdr:txBody>
    </xdr:sp>
    <xdr:clientData/>
  </xdr:twoCellAnchor>
  <xdr:twoCellAnchor>
    <xdr:from>
      <xdr:col>5</xdr:col>
      <xdr:colOff>278951</xdr:colOff>
      <xdr:row>8</xdr:row>
      <xdr:rowOff>184892</xdr:rowOff>
    </xdr:from>
    <xdr:to>
      <xdr:col>7</xdr:col>
      <xdr:colOff>315686</xdr:colOff>
      <xdr:row>19</xdr:row>
      <xdr:rowOff>14185</xdr:rowOff>
    </xdr:to>
    <xdr:graphicFrame macro="">
      <xdr:nvGraphicFramePr>
        <xdr:cNvPr id="67" name="Gráfico 66">
          <a:extLst>
            <a:ext uri="{FF2B5EF4-FFF2-40B4-BE49-F238E27FC236}">
              <a16:creationId xmlns:a16="http://schemas.microsoft.com/office/drawing/2014/main" id="{050F2503-09C6-438F-8491-F15C989E1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1215240</xdr:colOff>
      <xdr:row>6</xdr:row>
      <xdr:rowOff>104570</xdr:rowOff>
    </xdr:from>
    <xdr:to>
      <xdr:col>8</xdr:col>
      <xdr:colOff>228599</xdr:colOff>
      <xdr:row>21</xdr:row>
      <xdr:rowOff>127000</xdr:rowOff>
    </xdr:to>
    <xdr:graphicFrame macro="">
      <xdr:nvGraphicFramePr>
        <xdr:cNvPr id="68" name="Gráfico 67">
          <a:extLst>
            <a:ext uri="{FF2B5EF4-FFF2-40B4-BE49-F238E27FC236}">
              <a16:creationId xmlns:a16="http://schemas.microsoft.com/office/drawing/2014/main" id="{A64D946F-D357-4538-B119-537C2DD8C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xdr:col>
      <xdr:colOff>1232848</xdr:colOff>
      <xdr:row>16</xdr:row>
      <xdr:rowOff>125102</xdr:rowOff>
    </xdr:from>
    <xdr:to>
      <xdr:col>8</xdr:col>
      <xdr:colOff>330200</xdr:colOff>
      <xdr:row>31</xdr:row>
      <xdr:rowOff>63500</xdr:rowOff>
    </xdr:to>
    <xdr:graphicFrame macro="">
      <xdr:nvGraphicFramePr>
        <xdr:cNvPr id="69" name="Gráfico 68">
          <a:extLst>
            <a:ext uri="{FF2B5EF4-FFF2-40B4-BE49-F238E27FC236}">
              <a16:creationId xmlns:a16="http://schemas.microsoft.com/office/drawing/2014/main" id="{E7293568-5C7E-460D-929A-D95596EFD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264397</xdr:colOff>
      <xdr:row>17</xdr:row>
      <xdr:rowOff>152728</xdr:rowOff>
    </xdr:from>
    <xdr:to>
      <xdr:col>7</xdr:col>
      <xdr:colOff>349662</xdr:colOff>
      <xdr:row>27</xdr:row>
      <xdr:rowOff>162296</xdr:rowOff>
    </xdr:to>
    <xdr:graphicFrame macro="">
      <xdr:nvGraphicFramePr>
        <xdr:cNvPr id="70" name="Gráfico 69">
          <a:extLst>
            <a:ext uri="{FF2B5EF4-FFF2-40B4-BE49-F238E27FC236}">
              <a16:creationId xmlns:a16="http://schemas.microsoft.com/office/drawing/2014/main" id="{499E3338-7936-4A8F-99D1-244E7AC1A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xdr:col>
      <xdr:colOff>596900</xdr:colOff>
      <xdr:row>12</xdr:row>
      <xdr:rowOff>93188</xdr:rowOff>
    </xdr:from>
    <xdr:to>
      <xdr:col>6</xdr:col>
      <xdr:colOff>1469242</xdr:colOff>
      <xdr:row>16</xdr:row>
      <xdr:rowOff>60803</xdr:rowOff>
    </xdr:to>
    <xdr:sp macro="" textlink="$B$79">
      <xdr:nvSpPr>
        <xdr:cNvPr id="71" name="Rectángulo 70">
          <a:extLst>
            <a:ext uri="{FF2B5EF4-FFF2-40B4-BE49-F238E27FC236}">
              <a16:creationId xmlns:a16="http://schemas.microsoft.com/office/drawing/2014/main" id="{0A0DEF03-07AD-4D47-8DF8-F8B5F6923FEB}"/>
            </a:ext>
          </a:extLst>
        </xdr:cNvPr>
        <xdr:cNvSpPr/>
      </xdr:nvSpPr>
      <xdr:spPr>
        <a:xfrm>
          <a:off x="6250940" y="25163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6BCCF-D0AA-4E12-A142-E04E7285F328}" type="TxLink">
            <a:rPr lang="en-US" sz="2400" b="0" i="0" u="none" strike="noStrike">
              <a:solidFill>
                <a:schemeClr val="tx2">
                  <a:lumMod val="50000"/>
                  <a:lumOff val="50000"/>
                </a:schemeClr>
              </a:solidFill>
              <a:latin typeface="Bahnschrift SemiBold Condensed" panose="020B0502040204020203" pitchFamily="34" charset="0"/>
            </a:rPr>
            <a:pPr algn="l"/>
            <a:t>60%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34290</xdr:colOff>
      <xdr:row>18</xdr:row>
      <xdr:rowOff>55245</xdr:rowOff>
    </xdr:from>
    <xdr:to>
      <xdr:col>7</xdr:col>
      <xdr:colOff>1068780</xdr:colOff>
      <xdr:row>20</xdr:row>
      <xdr:rowOff>0</xdr:rowOff>
    </xdr:to>
    <xdr:sp macro="" textlink="$A$80">
      <xdr:nvSpPr>
        <xdr:cNvPr id="72" name="Rectángulo 71">
          <a:extLst>
            <a:ext uri="{FF2B5EF4-FFF2-40B4-BE49-F238E27FC236}">
              <a16:creationId xmlns:a16="http://schemas.microsoft.com/office/drawing/2014/main" id="{48D8640C-AA91-4205-84FB-E962E9796CB1}"/>
            </a:ext>
          </a:extLst>
        </xdr:cNvPr>
        <xdr:cNvSpPr/>
      </xdr:nvSpPr>
      <xdr:spPr>
        <a:xfrm>
          <a:off x="568833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17D805-10F0-443C-8F68-0FB57E349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6</xdr:col>
      <xdr:colOff>596900</xdr:colOff>
      <xdr:row>21</xdr:row>
      <xdr:rowOff>84562</xdr:rowOff>
    </xdr:from>
    <xdr:to>
      <xdr:col>6</xdr:col>
      <xdr:colOff>1432626</xdr:colOff>
      <xdr:row>25</xdr:row>
      <xdr:rowOff>57892</xdr:rowOff>
    </xdr:to>
    <xdr:sp macro="" textlink="$B$80">
      <xdr:nvSpPr>
        <xdr:cNvPr id="73" name="Rectángulo 72">
          <a:extLst>
            <a:ext uri="{FF2B5EF4-FFF2-40B4-BE49-F238E27FC236}">
              <a16:creationId xmlns:a16="http://schemas.microsoft.com/office/drawing/2014/main" id="{984921E6-BF1D-4A10-8C73-6F348E5882BC}"/>
            </a:ext>
          </a:extLst>
        </xdr:cNvPr>
        <xdr:cNvSpPr/>
      </xdr:nvSpPr>
      <xdr:spPr>
        <a:xfrm>
          <a:off x="6250940" y="41536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2A036D-9C6E-4E79-A643-0D978971BDA2}" type="TxLink">
            <a:rPr lang="en-US" sz="2400" b="0" i="0" u="none" strike="noStrike">
              <a:solidFill>
                <a:schemeClr val="tx2">
                  <a:lumMod val="50000"/>
                  <a:lumOff val="50000"/>
                </a:schemeClr>
              </a:solidFill>
              <a:latin typeface="Bahnschrift SemiBold Condensed" panose="020B0502040204020203" pitchFamily="34" charset="0"/>
            </a:rPr>
            <a:pPr algn="l"/>
            <a:t>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508001</xdr:colOff>
      <xdr:row>12</xdr:row>
      <xdr:rowOff>107052</xdr:rowOff>
    </xdr:from>
    <xdr:to>
      <xdr:col>7</xdr:col>
      <xdr:colOff>1377151</xdr:colOff>
      <xdr:row>16</xdr:row>
      <xdr:rowOff>86097</xdr:rowOff>
    </xdr:to>
    <xdr:sp macro="" textlink="$B$85">
      <xdr:nvSpPr>
        <xdr:cNvPr id="74" name="Rectángulo 73">
          <a:extLst>
            <a:ext uri="{FF2B5EF4-FFF2-40B4-BE49-F238E27FC236}">
              <a16:creationId xmlns:a16="http://schemas.microsoft.com/office/drawing/2014/main" id="{B738FA40-1BE1-4A5F-BDF2-9E517D48469A}"/>
            </a:ext>
          </a:extLst>
        </xdr:cNvPr>
        <xdr:cNvSpPr/>
      </xdr:nvSpPr>
      <xdr:spPr>
        <a:xfrm>
          <a:off x="7777481" y="25302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164A49-02F3-4C92-B32B-7DFAD6F12063}" type="TxLink">
            <a:rPr lang="en-US" sz="2400" b="0" i="0" u="none" strike="noStrike">
              <a:solidFill>
                <a:schemeClr val="accent2"/>
              </a:solidFill>
              <a:latin typeface="Bahnschrift SemiBold Condensed" panose="020B0502040204020203" pitchFamily="34" charset="0"/>
            </a:rPr>
            <a:pPr algn="l"/>
            <a:t>60%</a:t>
          </a:fld>
          <a:endParaRPr lang="es-CO" sz="2400" b="1">
            <a:solidFill>
              <a:schemeClr val="accent2"/>
            </a:solidFill>
            <a:latin typeface="Bahnschrift SemiBold Condensed" panose="020B0502040204020203" pitchFamily="34" charset="0"/>
          </a:endParaRPr>
        </a:p>
      </xdr:txBody>
    </xdr:sp>
    <xdr:clientData/>
  </xdr:twoCellAnchor>
  <xdr:twoCellAnchor>
    <xdr:from>
      <xdr:col>7</xdr:col>
      <xdr:colOff>469900</xdr:colOff>
      <xdr:row>21</xdr:row>
      <xdr:rowOff>64664</xdr:rowOff>
    </xdr:from>
    <xdr:to>
      <xdr:col>7</xdr:col>
      <xdr:colOff>1471773</xdr:colOff>
      <xdr:row>25</xdr:row>
      <xdr:rowOff>45614</xdr:rowOff>
    </xdr:to>
    <xdr:sp macro="" textlink="$B$86">
      <xdr:nvSpPr>
        <xdr:cNvPr id="75" name="Rectángulo 74">
          <a:extLst>
            <a:ext uri="{FF2B5EF4-FFF2-40B4-BE49-F238E27FC236}">
              <a16:creationId xmlns:a16="http://schemas.microsoft.com/office/drawing/2014/main" id="{00195267-C44C-45F6-B036-D445853B89DB}"/>
            </a:ext>
          </a:extLst>
        </xdr:cNvPr>
        <xdr:cNvSpPr/>
      </xdr:nvSpPr>
      <xdr:spPr>
        <a:xfrm>
          <a:off x="7739380" y="41337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A7C717-D3BA-4729-B3C3-5B856689DDD1}"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6</xdr:col>
      <xdr:colOff>15240</xdr:colOff>
      <xdr:row>18</xdr:row>
      <xdr:rowOff>0</xdr:rowOff>
    </xdr:from>
    <xdr:to>
      <xdr:col>8</xdr:col>
      <xdr:colOff>9525</xdr:colOff>
      <xdr:row>18</xdr:row>
      <xdr:rowOff>0</xdr:rowOff>
    </xdr:to>
    <xdr:cxnSp macro="">
      <xdr:nvCxnSpPr>
        <xdr:cNvPr id="76" name="Conector recto 75">
          <a:extLst>
            <a:ext uri="{FF2B5EF4-FFF2-40B4-BE49-F238E27FC236}">
              <a16:creationId xmlns:a16="http://schemas.microsoft.com/office/drawing/2014/main" id="{398A8A83-C869-4C23-B9D3-5E0D83D57E83}"/>
            </a:ext>
          </a:extLst>
        </xdr:cNvPr>
        <xdr:cNvCxnSpPr/>
      </xdr:nvCxnSpPr>
      <xdr:spPr>
        <a:xfrm>
          <a:off x="566928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27</xdr:row>
      <xdr:rowOff>0</xdr:rowOff>
    </xdr:from>
    <xdr:to>
      <xdr:col>8</xdr:col>
      <xdr:colOff>0</xdr:colOff>
      <xdr:row>27</xdr:row>
      <xdr:rowOff>0</xdr:rowOff>
    </xdr:to>
    <xdr:cxnSp macro="">
      <xdr:nvCxnSpPr>
        <xdr:cNvPr id="77" name="Conector recto 76">
          <a:extLst>
            <a:ext uri="{FF2B5EF4-FFF2-40B4-BE49-F238E27FC236}">
              <a16:creationId xmlns:a16="http://schemas.microsoft.com/office/drawing/2014/main" id="{0E7D4EF9-D62F-43BC-8641-A84D91285293}"/>
            </a:ext>
          </a:extLst>
        </xdr:cNvPr>
        <xdr:cNvCxnSpPr/>
      </xdr:nvCxnSpPr>
      <xdr:spPr>
        <a:xfrm>
          <a:off x="566356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xdr:colOff>
      <xdr:row>36</xdr:row>
      <xdr:rowOff>0</xdr:rowOff>
    </xdr:from>
    <xdr:to>
      <xdr:col>8</xdr:col>
      <xdr:colOff>0</xdr:colOff>
      <xdr:row>36</xdr:row>
      <xdr:rowOff>0</xdr:rowOff>
    </xdr:to>
    <xdr:cxnSp macro="">
      <xdr:nvCxnSpPr>
        <xdr:cNvPr id="78" name="Conector recto 77">
          <a:extLst>
            <a:ext uri="{FF2B5EF4-FFF2-40B4-BE49-F238E27FC236}">
              <a16:creationId xmlns:a16="http://schemas.microsoft.com/office/drawing/2014/main" id="{EF9404B8-B5E7-4A31-BFCC-01E5F9A1EDC2}"/>
            </a:ext>
          </a:extLst>
        </xdr:cNvPr>
        <xdr:cNvCxnSpPr/>
      </xdr:nvCxnSpPr>
      <xdr:spPr>
        <a:xfrm>
          <a:off x="565594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57149</xdr:colOff>
      <xdr:row>9</xdr:row>
      <xdr:rowOff>20956</xdr:rowOff>
    </xdr:from>
    <xdr:to>
      <xdr:col>7</xdr:col>
      <xdr:colOff>1227116</xdr:colOff>
      <xdr:row>10</xdr:row>
      <xdr:rowOff>98962</xdr:rowOff>
    </xdr:to>
    <xdr:sp macro="" textlink="$A$79">
      <xdr:nvSpPr>
        <xdr:cNvPr id="79" name="Rectángulo 78">
          <a:extLst>
            <a:ext uri="{FF2B5EF4-FFF2-40B4-BE49-F238E27FC236}">
              <a16:creationId xmlns:a16="http://schemas.microsoft.com/office/drawing/2014/main" id="{0A76F98D-F7D7-466A-A0FB-26D0395A5AEA}"/>
            </a:ext>
          </a:extLst>
        </xdr:cNvPr>
        <xdr:cNvSpPr/>
      </xdr:nvSpPr>
      <xdr:spPr>
        <a:xfrm>
          <a:off x="571118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1EE6F-6A54-4B7B-A189-E53EB6002616}"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6</xdr:col>
      <xdr:colOff>1206500</xdr:colOff>
      <xdr:row>26</xdr:row>
      <xdr:rowOff>127001</xdr:rowOff>
    </xdr:from>
    <xdr:to>
      <xdr:col>8</xdr:col>
      <xdr:colOff>266700</xdr:colOff>
      <xdr:row>39</xdr:row>
      <xdr:rowOff>76201</xdr:rowOff>
    </xdr:to>
    <xdr:graphicFrame macro="">
      <xdr:nvGraphicFramePr>
        <xdr:cNvPr id="80" name="Gráfico 79">
          <a:extLst>
            <a:ext uri="{FF2B5EF4-FFF2-40B4-BE49-F238E27FC236}">
              <a16:creationId xmlns:a16="http://schemas.microsoft.com/office/drawing/2014/main" id="{BF3097A5-C2A3-48B7-B7B2-A00040947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482600</xdr:colOff>
      <xdr:row>30</xdr:row>
      <xdr:rowOff>133301</xdr:rowOff>
    </xdr:from>
    <xdr:to>
      <xdr:col>7</xdr:col>
      <xdr:colOff>1415077</xdr:colOff>
      <xdr:row>34</xdr:row>
      <xdr:rowOff>121871</xdr:rowOff>
    </xdr:to>
    <xdr:sp macro="" textlink="$B$87">
      <xdr:nvSpPr>
        <xdr:cNvPr id="81" name="Rectángulo 80">
          <a:extLst>
            <a:ext uri="{FF2B5EF4-FFF2-40B4-BE49-F238E27FC236}">
              <a16:creationId xmlns:a16="http://schemas.microsoft.com/office/drawing/2014/main" id="{2543E1C6-1234-41ED-A539-B5DDD394234B}"/>
            </a:ext>
          </a:extLst>
        </xdr:cNvPr>
        <xdr:cNvSpPr/>
      </xdr:nvSpPr>
      <xdr:spPr>
        <a:xfrm>
          <a:off x="7752080" y="58483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BDFB86-966E-449E-BDC5-239E0FC32BE7}" type="TxLink">
            <a:rPr lang="en-US" sz="2400" b="0" i="0" u="none" strike="noStrike">
              <a:solidFill>
                <a:schemeClr val="accent2"/>
              </a:solidFill>
              <a:latin typeface="Bahnschrift SemiBold Condensed" panose="020B0502040204020203" pitchFamily="34" charset="0"/>
            </a:rPr>
            <a:pPr algn="l"/>
            <a:t>79%</a:t>
          </a:fld>
          <a:endParaRPr lang="es-CO" sz="2400" b="1">
            <a:solidFill>
              <a:schemeClr val="accent2"/>
            </a:solidFill>
            <a:latin typeface="Bahnschrift SemiBold Condensed" panose="020B0502040204020203" pitchFamily="34" charset="0"/>
          </a:endParaRPr>
        </a:p>
      </xdr:txBody>
    </xdr:sp>
    <xdr:clientData/>
  </xdr:twoCellAnchor>
  <xdr:twoCellAnchor>
    <xdr:from>
      <xdr:col>5</xdr:col>
      <xdr:colOff>174998</xdr:colOff>
      <xdr:row>27</xdr:row>
      <xdr:rowOff>37193</xdr:rowOff>
    </xdr:from>
    <xdr:to>
      <xdr:col>7</xdr:col>
      <xdr:colOff>423224</xdr:colOff>
      <xdr:row>37</xdr:row>
      <xdr:rowOff>24080</xdr:rowOff>
    </xdr:to>
    <xdr:graphicFrame macro="">
      <xdr:nvGraphicFramePr>
        <xdr:cNvPr id="82" name="Gráfico 81">
          <a:extLst>
            <a:ext uri="{FF2B5EF4-FFF2-40B4-BE49-F238E27FC236}">
              <a16:creationId xmlns:a16="http://schemas.microsoft.com/office/drawing/2014/main" id="{C279F86E-565E-4E0D-B890-EB4BDC75C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xdr:col>
      <xdr:colOff>12064</xdr:colOff>
      <xdr:row>27</xdr:row>
      <xdr:rowOff>78105</xdr:rowOff>
    </xdr:from>
    <xdr:to>
      <xdr:col>7</xdr:col>
      <xdr:colOff>1085767</xdr:colOff>
      <xdr:row>29</xdr:row>
      <xdr:rowOff>0</xdr:rowOff>
    </xdr:to>
    <xdr:sp macro="" textlink="$A$81">
      <xdr:nvSpPr>
        <xdr:cNvPr id="83" name="Rectángulo 82">
          <a:extLst>
            <a:ext uri="{FF2B5EF4-FFF2-40B4-BE49-F238E27FC236}">
              <a16:creationId xmlns:a16="http://schemas.microsoft.com/office/drawing/2014/main" id="{1C4D0F54-55F6-4E65-92C4-64B1E0921F83}"/>
            </a:ext>
          </a:extLst>
        </xdr:cNvPr>
        <xdr:cNvSpPr/>
      </xdr:nvSpPr>
      <xdr:spPr>
        <a:xfrm>
          <a:off x="5666104" y="5244465"/>
          <a:ext cx="268914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A5438E-EC18-4990-9213-56745D4C6EB4}"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6</xdr:col>
      <xdr:colOff>622300</xdr:colOff>
      <xdr:row>30</xdr:row>
      <xdr:rowOff>134612</xdr:rowOff>
    </xdr:from>
    <xdr:to>
      <xdr:col>6</xdr:col>
      <xdr:colOff>1562266</xdr:colOff>
      <xdr:row>34</xdr:row>
      <xdr:rowOff>112082</xdr:rowOff>
    </xdr:to>
    <xdr:sp macro="" textlink="$B$81">
      <xdr:nvSpPr>
        <xdr:cNvPr id="84" name="Rectángulo 83">
          <a:extLst>
            <a:ext uri="{FF2B5EF4-FFF2-40B4-BE49-F238E27FC236}">
              <a16:creationId xmlns:a16="http://schemas.microsoft.com/office/drawing/2014/main" id="{DA1FD559-786E-446B-BA48-D482B2853A43}"/>
            </a:ext>
          </a:extLst>
        </xdr:cNvPr>
        <xdr:cNvSpPr/>
      </xdr:nvSpPr>
      <xdr:spPr>
        <a:xfrm>
          <a:off x="6276340" y="58496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95023-431B-43D4-BF99-CD7BF615958B}" type="TxLink">
            <a:rPr lang="en-US" sz="2400" b="0" i="0" u="none" strike="noStrike">
              <a:solidFill>
                <a:schemeClr val="tx2">
                  <a:lumMod val="50000"/>
                  <a:lumOff val="50000"/>
                </a:schemeClr>
              </a:solidFill>
              <a:latin typeface="Bahnschrift SemiBold Condensed" panose="020B0502040204020203" pitchFamily="34" charset="0"/>
            </a:rPr>
            <a:pPr algn="l"/>
            <a:t>40%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46355</xdr:colOff>
      <xdr:row>36</xdr:row>
      <xdr:rowOff>77470</xdr:rowOff>
    </xdr:from>
    <xdr:to>
      <xdr:col>7</xdr:col>
      <xdr:colOff>401320</xdr:colOff>
      <xdr:row>38</xdr:row>
      <xdr:rowOff>12700</xdr:rowOff>
    </xdr:to>
    <xdr:sp macro="" textlink="$A$82">
      <xdr:nvSpPr>
        <xdr:cNvPr id="85" name="Rectángulo 84">
          <a:extLst>
            <a:ext uri="{FF2B5EF4-FFF2-40B4-BE49-F238E27FC236}">
              <a16:creationId xmlns:a16="http://schemas.microsoft.com/office/drawing/2014/main" id="{31DFB935-6895-4BCC-BBD0-BFDFA4CA7D41}"/>
            </a:ext>
          </a:extLst>
        </xdr:cNvPr>
        <xdr:cNvSpPr/>
      </xdr:nvSpPr>
      <xdr:spPr>
        <a:xfrm>
          <a:off x="5700395" y="6889750"/>
          <a:ext cx="197040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DBF6AA-E184-4443-8F92-62BAF0EEFBB1}"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6</xdr:col>
      <xdr:colOff>647700</xdr:colOff>
      <xdr:row>39</xdr:row>
      <xdr:rowOff>173619</xdr:rowOff>
    </xdr:from>
    <xdr:to>
      <xdr:col>6</xdr:col>
      <xdr:colOff>1590468</xdr:colOff>
      <xdr:row>43</xdr:row>
      <xdr:rowOff>151089</xdr:rowOff>
    </xdr:to>
    <xdr:sp macro="" textlink="$B$82">
      <xdr:nvSpPr>
        <xdr:cNvPr id="86" name="Rectángulo 85">
          <a:extLst>
            <a:ext uri="{FF2B5EF4-FFF2-40B4-BE49-F238E27FC236}">
              <a16:creationId xmlns:a16="http://schemas.microsoft.com/office/drawing/2014/main" id="{FC0BB46F-E262-4501-AD73-1D83C60A5172}"/>
            </a:ext>
          </a:extLst>
        </xdr:cNvPr>
        <xdr:cNvSpPr/>
      </xdr:nvSpPr>
      <xdr:spPr>
        <a:xfrm>
          <a:off x="6301740" y="7534539"/>
          <a:ext cx="942768"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5D155C-DC7A-43AF-A755-DB7C4A1603E6}"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508000</xdr:colOff>
      <xdr:row>39</xdr:row>
      <xdr:rowOff>126206</xdr:rowOff>
    </xdr:from>
    <xdr:to>
      <xdr:col>7</xdr:col>
      <xdr:colOff>1363419</xdr:colOff>
      <xdr:row>43</xdr:row>
      <xdr:rowOff>114776</xdr:rowOff>
    </xdr:to>
    <xdr:sp macro="" textlink="$B$88">
      <xdr:nvSpPr>
        <xdr:cNvPr id="87" name="Rectángulo 86">
          <a:extLst>
            <a:ext uri="{FF2B5EF4-FFF2-40B4-BE49-F238E27FC236}">
              <a16:creationId xmlns:a16="http://schemas.microsoft.com/office/drawing/2014/main" id="{518E29A7-1256-4364-B987-3FC2CC8A3F5B}"/>
            </a:ext>
          </a:extLst>
        </xdr:cNvPr>
        <xdr:cNvSpPr/>
      </xdr:nvSpPr>
      <xdr:spPr>
        <a:xfrm>
          <a:off x="7777480" y="74871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432BF6-9D50-402A-A629-A32CF816319F}"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278951</xdr:colOff>
      <xdr:row>8</xdr:row>
      <xdr:rowOff>184892</xdr:rowOff>
    </xdr:from>
    <xdr:to>
      <xdr:col>10</xdr:col>
      <xdr:colOff>315686</xdr:colOff>
      <xdr:row>19</xdr:row>
      <xdr:rowOff>14185</xdr:rowOff>
    </xdr:to>
    <xdr:graphicFrame macro="">
      <xdr:nvGraphicFramePr>
        <xdr:cNvPr id="88" name="Gráfico 87">
          <a:extLst>
            <a:ext uri="{FF2B5EF4-FFF2-40B4-BE49-F238E27FC236}">
              <a16:creationId xmlns:a16="http://schemas.microsoft.com/office/drawing/2014/main" id="{67021B28-5086-497D-B5C4-FF1C61CAA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9</xdr:col>
      <xdr:colOff>1215240</xdr:colOff>
      <xdr:row>6</xdr:row>
      <xdr:rowOff>104570</xdr:rowOff>
    </xdr:from>
    <xdr:to>
      <xdr:col>11</xdr:col>
      <xdr:colOff>228599</xdr:colOff>
      <xdr:row>21</xdr:row>
      <xdr:rowOff>127000</xdr:rowOff>
    </xdr:to>
    <xdr:graphicFrame macro="">
      <xdr:nvGraphicFramePr>
        <xdr:cNvPr id="89" name="Gráfico 88">
          <a:extLst>
            <a:ext uri="{FF2B5EF4-FFF2-40B4-BE49-F238E27FC236}">
              <a16:creationId xmlns:a16="http://schemas.microsoft.com/office/drawing/2014/main" id="{412456D2-E952-494F-82CB-73F7EEAA5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9</xdr:col>
      <xdr:colOff>1232848</xdr:colOff>
      <xdr:row>16</xdr:row>
      <xdr:rowOff>125102</xdr:rowOff>
    </xdr:from>
    <xdr:to>
      <xdr:col>11</xdr:col>
      <xdr:colOff>330200</xdr:colOff>
      <xdr:row>31</xdr:row>
      <xdr:rowOff>63500</xdr:rowOff>
    </xdr:to>
    <xdr:graphicFrame macro="">
      <xdr:nvGraphicFramePr>
        <xdr:cNvPr id="90" name="Gráfico 89">
          <a:extLst>
            <a:ext uri="{FF2B5EF4-FFF2-40B4-BE49-F238E27FC236}">
              <a16:creationId xmlns:a16="http://schemas.microsoft.com/office/drawing/2014/main" id="{56596826-2F69-4299-AE48-ACDF9D56D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264397</xdr:colOff>
      <xdr:row>17</xdr:row>
      <xdr:rowOff>152728</xdr:rowOff>
    </xdr:from>
    <xdr:to>
      <xdr:col>10</xdr:col>
      <xdr:colOff>349662</xdr:colOff>
      <xdr:row>27</xdr:row>
      <xdr:rowOff>162296</xdr:rowOff>
    </xdr:to>
    <xdr:graphicFrame macro="">
      <xdr:nvGraphicFramePr>
        <xdr:cNvPr id="91" name="Gráfico 90">
          <a:extLst>
            <a:ext uri="{FF2B5EF4-FFF2-40B4-BE49-F238E27FC236}">
              <a16:creationId xmlns:a16="http://schemas.microsoft.com/office/drawing/2014/main" id="{35DBB6DF-26D6-45A2-A19A-A2139D667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9</xdr:col>
      <xdr:colOff>558800</xdr:colOff>
      <xdr:row>12</xdr:row>
      <xdr:rowOff>105888</xdr:rowOff>
    </xdr:from>
    <xdr:to>
      <xdr:col>9</xdr:col>
      <xdr:colOff>1431142</xdr:colOff>
      <xdr:row>16</xdr:row>
      <xdr:rowOff>73503</xdr:rowOff>
    </xdr:to>
    <xdr:sp macro="" textlink="$B$93">
      <xdr:nvSpPr>
        <xdr:cNvPr id="92" name="Rectángulo 91">
          <a:extLst>
            <a:ext uri="{FF2B5EF4-FFF2-40B4-BE49-F238E27FC236}">
              <a16:creationId xmlns:a16="http://schemas.microsoft.com/office/drawing/2014/main" id="{AC75BECA-CCC6-44C5-9B00-E3AE8F47649D}"/>
            </a:ext>
          </a:extLst>
        </xdr:cNvPr>
        <xdr:cNvSpPr/>
      </xdr:nvSpPr>
      <xdr:spPr>
        <a:xfrm>
          <a:off x="9855200" y="25290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BBA8C0-2E14-4D16-92AB-8D90ED5788C3}" type="TxLink">
            <a:rPr lang="en-US" sz="2400" b="0" i="0" u="none" strike="noStrike">
              <a:solidFill>
                <a:schemeClr val="tx2">
                  <a:lumMod val="50000"/>
                  <a:lumOff val="50000"/>
                </a:schemeClr>
              </a:solidFill>
              <a:latin typeface="Bahnschrift SemiBold Condensed" panose="020B0502040204020203" pitchFamily="34" charset="0"/>
            </a:rPr>
            <a:pPr algn="l"/>
            <a:t>60%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34290</xdr:colOff>
      <xdr:row>18</xdr:row>
      <xdr:rowOff>55245</xdr:rowOff>
    </xdr:from>
    <xdr:to>
      <xdr:col>10</xdr:col>
      <xdr:colOff>1068780</xdr:colOff>
      <xdr:row>20</xdr:row>
      <xdr:rowOff>0</xdr:rowOff>
    </xdr:to>
    <xdr:sp macro="" textlink="$A$94">
      <xdr:nvSpPr>
        <xdr:cNvPr id="93" name="Rectángulo 92">
          <a:extLst>
            <a:ext uri="{FF2B5EF4-FFF2-40B4-BE49-F238E27FC236}">
              <a16:creationId xmlns:a16="http://schemas.microsoft.com/office/drawing/2014/main" id="{A8A0ED18-AF8D-432E-BA70-277E973A7E62}"/>
            </a:ext>
          </a:extLst>
        </xdr:cNvPr>
        <xdr:cNvSpPr/>
      </xdr:nvSpPr>
      <xdr:spPr>
        <a:xfrm>
          <a:off x="933069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98879F-4A37-4BC9-B19C-17E17EC5F519}"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9</xdr:col>
      <xdr:colOff>571500</xdr:colOff>
      <xdr:row>21</xdr:row>
      <xdr:rowOff>97262</xdr:rowOff>
    </xdr:from>
    <xdr:to>
      <xdr:col>9</xdr:col>
      <xdr:colOff>1407226</xdr:colOff>
      <xdr:row>25</xdr:row>
      <xdr:rowOff>70592</xdr:rowOff>
    </xdr:to>
    <xdr:sp macro="" textlink="$B$94">
      <xdr:nvSpPr>
        <xdr:cNvPr id="94" name="Rectángulo 93">
          <a:extLst>
            <a:ext uri="{FF2B5EF4-FFF2-40B4-BE49-F238E27FC236}">
              <a16:creationId xmlns:a16="http://schemas.microsoft.com/office/drawing/2014/main" id="{48D27CEC-2CCB-4124-9BF6-E2EF4C4542E6}"/>
            </a:ext>
          </a:extLst>
        </xdr:cNvPr>
        <xdr:cNvSpPr/>
      </xdr:nvSpPr>
      <xdr:spPr>
        <a:xfrm>
          <a:off x="9867900" y="41663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F3FFE1-D581-47EB-9959-42160BB39F7D}" type="TxLink">
            <a:rPr lang="en-US" sz="2400" b="0" i="0" u="none" strike="noStrike">
              <a:solidFill>
                <a:schemeClr val="tx2">
                  <a:lumMod val="50000"/>
                  <a:lumOff val="50000"/>
                </a:schemeClr>
              </a:solidFill>
              <a:latin typeface="Bahnschrift SemiBold Condensed" panose="020B0502040204020203" pitchFamily="34" charset="0"/>
            </a:rPr>
            <a:pPr algn="l"/>
            <a:t>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10</xdr:col>
      <xdr:colOff>543561</xdr:colOff>
      <xdr:row>12</xdr:row>
      <xdr:rowOff>96892</xdr:rowOff>
    </xdr:from>
    <xdr:to>
      <xdr:col>10</xdr:col>
      <xdr:colOff>1412711</xdr:colOff>
      <xdr:row>16</xdr:row>
      <xdr:rowOff>75937</xdr:rowOff>
    </xdr:to>
    <xdr:sp macro="" textlink="$B$99">
      <xdr:nvSpPr>
        <xdr:cNvPr id="95" name="Rectángulo 94">
          <a:extLst>
            <a:ext uri="{FF2B5EF4-FFF2-40B4-BE49-F238E27FC236}">
              <a16:creationId xmlns:a16="http://schemas.microsoft.com/office/drawing/2014/main" id="{4CEDF35D-6BC4-4BB2-9A44-266C55D897F9}"/>
            </a:ext>
          </a:extLst>
        </xdr:cNvPr>
        <xdr:cNvSpPr/>
      </xdr:nvSpPr>
      <xdr:spPr>
        <a:xfrm>
          <a:off x="11455401" y="252005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F6FAFB-0228-43BB-B7D9-6FACB8C4D6E8}" type="TxLink">
            <a:rPr lang="en-US" sz="2400" b="0" i="0" u="none" strike="noStrike">
              <a:solidFill>
                <a:schemeClr val="accent2"/>
              </a:solidFill>
              <a:latin typeface="Bahnschrift SemiBold Condensed" panose="020B0502040204020203" pitchFamily="34" charset="0"/>
            </a:rPr>
            <a:pPr algn="l"/>
            <a:t>74%</a:t>
          </a:fld>
          <a:endParaRPr lang="es-CO" sz="2400" b="1">
            <a:solidFill>
              <a:schemeClr val="accent2"/>
            </a:solidFill>
            <a:latin typeface="Bahnschrift SemiBold Condensed" panose="020B0502040204020203" pitchFamily="34" charset="0"/>
          </a:endParaRPr>
        </a:p>
      </xdr:txBody>
    </xdr:sp>
    <xdr:clientData/>
  </xdr:twoCellAnchor>
  <xdr:twoCellAnchor>
    <xdr:from>
      <xdr:col>10</xdr:col>
      <xdr:colOff>505460</xdr:colOff>
      <xdr:row>21</xdr:row>
      <xdr:rowOff>39264</xdr:rowOff>
    </xdr:from>
    <xdr:to>
      <xdr:col>10</xdr:col>
      <xdr:colOff>1507333</xdr:colOff>
      <xdr:row>25</xdr:row>
      <xdr:rowOff>20214</xdr:rowOff>
    </xdr:to>
    <xdr:sp macro="" textlink="$B$100">
      <xdr:nvSpPr>
        <xdr:cNvPr id="96" name="Rectángulo 95">
          <a:extLst>
            <a:ext uri="{FF2B5EF4-FFF2-40B4-BE49-F238E27FC236}">
              <a16:creationId xmlns:a16="http://schemas.microsoft.com/office/drawing/2014/main" id="{142EF0A3-20F4-4AF0-B8B0-8CAE7B766F48}"/>
            </a:ext>
          </a:extLst>
        </xdr:cNvPr>
        <xdr:cNvSpPr/>
      </xdr:nvSpPr>
      <xdr:spPr>
        <a:xfrm>
          <a:off x="11417300" y="41083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C19981-5E1E-43A2-9ADC-B0DAD7DC0A9F}"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9</xdr:col>
      <xdr:colOff>15240</xdr:colOff>
      <xdr:row>18</xdr:row>
      <xdr:rowOff>0</xdr:rowOff>
    </xdr:from>
    <xdr:to>
      <xdr:col>11</xdr:col>
      <xdr:colOff>9525</xdr:colOff>
      <xdr:row>18</xdr:row>
      <xdr:rowOff>0</xdr:rowOff>
    </xdr:to>
    <xdr:cxnSp macro="">
      <xdr:nvCxnSpPr>
        <xdr:cNvPr id="97" name="Conector recto 96">
          <a:extLst>
            <a:ext uri="{FF2B5EF4-FFF2-40B4-BE49-F238E27FC236}">
              <a16:creationId xmlns:a16="http://schemas.microsoft.com/office/drawing/2014/main" id="{04E5FDA2-1DC0-4840-A6C3-652EAE4F8D0F}"/>
            </a:ext>
          </a:extLst>
        </xdr:cNvPr>
        <xdr:cNvCxnSpPr/>
      </xdr:nvCxnSpPr>
      <xdr:spPr>
        <a:xfrm>
          <a:off x="931164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xdr:colOff>
      <xdr:row>27</xdr:row>
      <xdr:rowOff>0</xdr:rowOff>
    </xdr:from>
    <xdr:to>
      <xdr:col>11</xdr:col>
      <xdr:colOff>0</xdr:colOff>
      <xdr:row>27</xdr:row>
      <xdr:rowOff>0</xdr:rowOff>
    </xdr:to>
    <xdr:cxnSp macro="">
      <xdr:nvCxnSpPr>
        <xdr:cNvPr id="98" name="Conector recto 97">
          <a:extLst>
            <a:ext uri="{FF2B5EF4-FFF2-40B4-BE49-F238E27FC236}">
              <a16:creationId xmlns:a16="http://schemas.microsoft.com/office/drawing/2014/main" id="{C885B2BC-AF98-49D7-A0B5-37946F440C85}"/>
            </a:ext>
          </a:extLst>
        </xdr:cNvPr>
        <xdr:cNvCxnSpPr/>
      </xdr:nvCxnSpPr>
      <xdr:spPr>
        <a:xfrm>
          <a:off x="930592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xdr:colOff>
      <xdr:row>36</xdr:row>
      <xdr:rowOff>0</xdr:rowOff>
    </xdr:from>
    <xdr:to>
      <xdr:col>11</xdr:col>
      <xdr:colOff>0</xdr:colOff>
      <xdr:row>36</xdr:row>
      <xdr:rowOff>0</xdr:rowOff>
    </xdr:to>
    <xdr:cxnSp macro="">
      <xdr:nvCxnSpPr>
        <xdr:cNvPr id="99" name="Conector recto 98">
          <a:extLst>
            <a:ext uri="{FF2B5EF4-FFF2-40B4-BE49-F238E27FC236}">
              <a16:creationId xmlns:a16="http://schemas.microsoft.com/office/drawing/2014/main" id="{4C5D385C-5756-4801-884A-9DC79C0C3F14}"/>
            </a:ext>
          </a:extLst>
        </xdr:cNvPr>
        <xdr:cNvCxnSpPr/>
      </xdr:nvCxnSpPr>
      <xdr:spPr>
        <a:xfrm>
          <a:off x="929830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57149</xdr:colOff>
      <xdr:row>9</xdr:row>
      <xdr:rowOff>20956</xdr:rowOff>
    </xdr:from>
    <xdr:to>
      <xdr:col>10</xdr:col>
      <xdr:colOff>1227116</xdr:colOff>
      <xdr:row>10</xdr:row>
      <xdr:rowOff>98962</xdr:rowOff>
    </xdr:to>
    <xdr:sp macro="" textlink="$A$93">
      <xdr:nvSpPr>
        <xdr:cNvPr id="100" name="Rectángulo 99">
          <a:extLst>
            <a:ext uri="{FF2B5EF4-FFF2-40B4-BE49-F238E27FC236}">
              <a16:creationId xmlns:a16="http://schemas.microsoft.com/office/drawing/2014/main" id="{34D2CFD5-D564-4621-B839-023F4FE5F96C}"/>
            </a:ext>
          </a:extLst>
        </xdr:cNvPr>
        <xdr:cNvSpPr/>
      </xdr:nvSpPr>
      <xdr:spPr>
        <a:xfrm>
          <a:off x="935354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977AE-043E-4B3B-AFCF-8E8260E95B09}"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9</xdr:col>
      <xdr:colOff>1206500</xdr:colOff>
      <xdr:row>26</xdr:row>
      <xdr:rowOff>127001</xdr:rowOff>
    </xdr:from>
    <xdr:to>
      <xdr:col>11</xdr:col>
      <xdr:colOff>266700</xdr:colOff>
      <xdr:row>39</xdr:row>
      <xdr:rowOff>76201</xdr:rowOff>
    </xdr:to>
    <xdr:graphicFrame macro="">
      <xdr:nvGraphicFramePr>
        <xdr:cNvPr id="101" name="Gráfico 100">
          <a:extLst>
            <a:ext uri="{FF2B5EF4-FFF2-40B4-BE49-F238E27FC236}">
              <a16:creationId xmlns:a16="http://schemas.microsoft.com/office/drawing/2014/main" id="{18EC31A9-268F-49A5-9D74-44857C74D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447040</xdr:colOff>
      <xdr:row>30</xdr:row>
      <xdr:rowOff>107901</xdr:rowOff>
    </xdr:from>
    <xdr:to>
      <xdr:col>10</xdr:col>
      <xdr:colOff>1379517</xdr:colOff>
      <xdr:row>34</xdr:row>
      <xdr:rowOff>96471</xdr:rowOff>
    </xdr:to>
    <xdr:sp macro="" textlink="$B$101">
      <xdr:nvSpPr>
        <xdr:cNvPr id="102" name="Rectángulo 101">
          <a:extLst>
            <a:ext uri="{FF2B5EF4-FFF2-40B4-BE49-F238E27FC236}">
              <a16:creationId xmlns:a16="http://schemas.microsoft.com/office/drawing/2014/main" id="{0096529F-C8DC-4B84-971C-38D900A626C6}"/>
            </a:ext>
          </a:extLst>
        </xdr:cNvPr>
        <xdr:cNvSpPr/>
      </xdr:nvSpPr>
      <xdr:spPr>
        <a:xfrm>
          <a:off x="11358880" y="58229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89741D-677C-474C-AB64-40F26A29BCF0}" type="TxLink">
            <a:rPr lang="en-US" sz="2400" b="0" i="0" u="none" strike="noStrike">
              <a:solidFill>
                <a:schemeClr val="accent2"/>
              </a:solidFill>
              <a:latin typeface="Bahnschrift SemiBold Condensed" panose="020B0502040204020203" pitchFamily="34" charset="0"/>
            </a:rPr>
            <a:pPr algn="l"/>
            <a:t>75%</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174998</xdr:colOff>
      <xdr:row>27</xdr:row>
      <xdr:rowOff>37193</xdr:rowOff>
    </xdr:from>
    <xdr:to>
      <xdr:col>10</xdr:col>
      <xdr:colOff>423224</xdr:colOff>
      <xdr:row>37</xdr:row>
      <xdr:rowOff>24080</xdr:rowOff>
    </xdr:to>
    <xdr:graphicFrame macro="">
      <xdr:nvGraphicFramePr>
        <xdr:cNvPr id="103" name="Gráfico 102">
          <a:extLst>
            <a:ext uri="{FF2B5EF4-FFF2-40B4-BE49-F238E27FC236}">
              <a16:creationId xmlns:a16="http://schemas.microsoft.com/office/drawing/2014/main" id="{45DF3459-24D7-4A0C-94A3-FAA3A7B14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12064</xdr:colOff>
      <xdr:row>27</xdr:row>
      <xdr:rowOff>78105</xdr:rowOff>
    </xdr:from>
    <xdr:to>
      <xdr:col>10</xdr:col>
      <xdr:colOff>1397000</xdr:colOff>
      <xdr:row>29</xdr:row>
      <xdr:rowOff>0</xdr:rowOff>
    </xdr:to>
    <xdr:sp macro="" textlink="$A$95">
      <xdr:nvSpPr>
        <xdr:cNvPr id="104" name="Rectángulo 103">
          <a:extLst>
            <a:ext uri="{FF2B5EF4-FFF2-40B4-BE49-F238E27FC236}">
              <a16:creationId xmlns:a16="http://schemas.microsoft.com/office/drawing/2014/main" id="{FD5F76FB-898F-461A-B6D6-66F191AD7929}"/>
            </a:ext>
          </a:extLst>
        </xdr:cNvPr>
        <xdr:cNvSpPr/>
      </xdr:nvSpPr>
      <xdr:spPr>
        <a:xfrm>
          <a:off x="9308464" y="5244465"/>
          <a:ext cx="3000376"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48BCF8-7E4F-42CC-AFFE-B542E774EA8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9</xdr:col>
      <xdr:colOff>584200</xdr:colOff>
      <xdr:row>30</xdr:row>
      <xdr:rowOff>147312</xdr:rowOff>
    </xdr:from>
    <xdr:to>
      <xdr:col>9</xdr:col>
      <xdr:colOff>1524166</xdr:colOff>
      <xdr:row>34</xdr:row>
      <xdr:rowOff>124782</xdr:rowOff>
    </xdr:to>
    <xdr:sp macro="" textlink="$B$95">
      <xdr:nvSpPr>
        <xdr:cNvPr id="105" name="Rectángulo 104">
          <a:extLst>
            <a:ext uri="{FF2B5EF4-FFF2-40B4-BE49-F238E27FC236}">
              <a16:creationId xmlns:a16="http://schemas.microsoft.com/office/drawing/2014/main" id="{A9F63591-953C-4844-98F5-8A185E0F20D4}"/>
            </a:ext>
          </a:extLst>
        </xdr:cNvPr>
        <xdr:cNvSpPr/>
      </xdr:nvSpPr>
      <xdr:spPr>
        <a:xfrm>
          <a:off x="9880600" y="58623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0BD397-F171-4695-87F7-8EADEFE05782}" type="TxLink">
            <a:rPr lang="en-US" sz="2400" b="0" i="0" u="none" strike="noStrike">
              <a:solidFill>
                <a:schemeClr val="tx2">
                  <a:lumMod val="50000"/>
                  <a:lumOff val="50000"/>
                </a:schemeClr>
              </a:solidFill>
              <a:latin typeface="Bahnschrift SemiBold Condensed" panose="020B0502040204020203" pitchFamily="34" charset="0"/>
            </a:rPr>
            <a:pPr algn="l"/>
            <a:t>40%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46355</xdr:colOff>
      <xdr:row>36</xdr:row>
      <xdr:rowOff>77470</xdr:rowOff>
    </xdr:from>
    <xdr:to>
      <xdr:col>10</xdr:col>
      <xdr:colOff>1016000</xdr:colOff>
      <xdr:row>38</xdr:row>
      <xdr:rowOff>0</xdr:rowOff>
    </xdr:to>
    <xdr:sp macro="" textlink="$A$96">
      <xdr:nvSpPr>
        <xdr:cNvPr id="106" name="Rectángulo 105">
          <a:extLst>
            <a:ext uri="{FF2B5EF4-FFF2-40B4-BE49-F238E27FC236}">
              <a16:creationId xmlns:a16="http://schemas.microsoft.com/office/drawing/2014/main" id="{03452961-ADF1-4A7D-B6C5-5D70EA01E36D}"/>
            </a:ext>
          </a:extLst>
        </xdr:cNvPr>
        <xdr:cNvSpPr/>
      </xdr:nvSpPr>
      <xdr:spPr>
        <a:xfrm>
          <a:off x="9342755" y="6889750"/>
          <a:ext cx="2585085" cy="28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D69B4-D428-41FA-8479-64A896BA7D5B}"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9</xdr:col>
      <xdr:colOff>596900</xdr:colOff>
      <xdr:row>40</xdr:row>
      <xdr:rowOff>8519</xdr:rowOff>
    </xdr:from>
    <xdr:to>
      <xdr:col>9</xdr:col>
      <xdr:colOff>1539668</xdr:colOff>
      <xdr:row>43</xdr:row>
      <xdr:rowOff>163789</xdr:rowOff>
    </xdr:to>
    <xdr:sp macro="" textlink="$B$96">
      <xdr:nvSpPr>
        <xdr:cNvPr id="107" name="Rectángulo 106">
          <a:extLst>
            <a:ext uri="{FF2B5EF4-FFF2-40B4-BE49-F238E27FC236}">
              <a16:creationId xmlns:a16="http://schemas.microsoft.com/office/drawing/2014/main" id="{847575C9-92E8-4AF0-882C-6C1F3D05BA3D}"/>
            </a:ext>
          </a:extLst>
        </xdr:cNvPr>
        <xdr:cNvSpPr/>
      </xdr:nvSpPr>
      <xdr:spPr>
        <a:xfrm>
          <a:off x="9893300" y="7552319"/>
          <a:ext cx="942768" cy="703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62D859-2E2D-4CDF-9451-4353414B6E4A}"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11</xdr:col>
      <xdr:colOff>278951</xdr:colOff>
      <xdr:row>8</xdr:row>
      <xdr:rowOff>184892</xdr:rowOff>
    </xdr:from>
    <xdr:to>
      <xdr:col>13</xdr:col>
      <xdr:colOff>315686</xdr:colOff>
      <xdr:row>19</xdr:row>
      <xdr:rowOff>14185</xdr:rowOff>
    </xdr:to>
    <xdr:graphicFrame macro="">
      <xdr:nvGraphicFramePr>
        <xdr:cNvPr id="109" name="Gráfico 108">
          <a:extLst>
            <a:ext uri="{FF2B5EF4-FFF2-40B4-BE49-F238E27FC236}">
              <a16:creationId xmlns:a16="http://schemas.microsoft.com/office/drawing/2014/main" id="{484A5A1C-54EB-457D-9886-312754C5F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xdr:col>
      <xdr:colOff>1215240</xdr:colOff>
      <xdr:row>6</xdr:row>
      <xdr:rowOff>104570</xdr:rowOff>
    </xdr:from>
    <xdr:to>
      <xdr:col>14</xdr:col>
      <xdr:colOff>228599</xdr:colOff>
      <xdr:row>21</xdr:row>
      <xdr:rowOff>127000</xdr:rowOff>
    </xdr:to>
    <xdr:graphicFrame macro="">
      <xdr:nvGraphicFramePr>
        <xdr:cNvPr id="110" name="Gráfico 109">
          <a:extLst>
            <a:ext uri="{FF2B5EF4-FFF2-40B4-BE49-F238E27FC236}">
              <a16:creationId xmlns:a16="http://schemas.microsoft.com/office/drawing/2014/main" id="{41198D48-ADC0-4643-A179-E569F5F78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11</xdr:col>
      <xdr:colOff>264397</xdr:colOff>
      <xdr:row>17</xdr:row>
      <xdr:rowOff>152728</xdr:rowOff>
    </xdr:from>
    <xdr:to>
      <xdr:col>13</xdr:col>
      <xdr:colOff>349662</xdr:colOff>
      <xdr:row>27</xdr:row>
      <xdr:rowOff>162296</xdr:rowOff>
    </xdr:to>
    <xdr:graphicFrame macro="">
      <xdr:nvGraphicFramePr>
        <xdr:cNvPr id="111" name="Gráfico 110">
          <a:extLst>
            <a:ext uri="{FF2B5EF4-FFF2-40B4-BE49-F238E27FC236}">
              <a16:creationId xmlns:a16="http://schemas.microsoft.com/office/drawing/2014/main" id="{86140746-4070-4A56-B88D-F284F5E3E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558800</xdr:colOff>
      <xdr:row>12</xdr:row>
      <xdr:rowOff>105888</xdr:rowOff>
    </xdr:from>
    <xdr:to>
      <xdr:col>12</xdr:col>
      <xdr:colOff>1431142</xdr:colOff>
      <xdr:row>16</xdr:row>
      <xdr:rowOff>73503</xdr:rowOff>
    </xdr:to>
    <xdr:sp macro="" textlink="$B$107">
      <xdr:nvSpPr>
        <xdr:cNvPr id="112" name="Rectángulo 111">
          <a:extLst>
            <a:ext uri="{FF2B5EF4-FFF2-40B4-BE49-F238E27FC236}">
              <a16:creationId xmlns:a16="http://schemas.microsoft.com/office/drawing/2014/main" id="{C11B71CB-83D1-4998-9ECA-DC3D5880F929}"/>
            </a:ext>
          </a:extLst>
        </xdr:cNvPr>
        <xdr:cNvSpPr/>
      </xdr:nvSpPr>
      <xdr:spPr>
        <a:xfrm>
          <a:off x="13497560" y="25290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88497-F44D-4DDC-83C4-DABE43C8782E}" type="TxLink">
            <a:rPr lang="en-US" sz="2400" b="0" i="0" u="none" strike="noStrike">
              <a:solidFill>
                <a:schemeClr val="tx2">
                  <a:lumMod val="50000"/>
                  <a:lumOff val="50000"/>
                </a:schemeClr>
              </a:solidFill>
              <a:latin typeface="Bahnschrift SemiBold Condensed" panose="020B0502040204020203" pitchFamily="34" charset="0"/>
            </a:rPr>
            <a:pPr algn="l"/>
            <a:t>60%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34290</xdr:colOff>
      <xdr:row>18</xdr:row>
      <xdr:rowOff>55245</xdr:rowOff>
    </xdr:from>
    <xdr:to>
      <xdr:col>13</xdr:col>
      <xdr:colOff>1068780</xdr:colOff>
      <xdr:row>20</xdr:row>
      <xdr:rowOff>0</xdr:rowOff>
    </xdr:to>
    <xdr:sp macro="" textlink="$A$108">
      <xdr:nvSpPr>
        <xdr:cNvPr id="113" name="Rectángulo 112">
          <a:extLst>
            <a:ext uri="{FF2B5EF4-FFF2-40B4-BE49-F238E27FC236}">
              <a16:creationId xmlns:a16="http://schemas.microsoft.com/office/drawing/2014/main" id="{6F070AEB-8F7F-4EC4-B7B0-41C821088C36}"/>
            </a:ext>
          </a:extLst>
        </xdr:cNvPr>
        <xdr:cNvSpPr/>
      </xdr:nvSpPr>
      <xdr:spPr>
        <a:xfrm>
          <a:off x="1297305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6A95C0-514B-4790-A797-E266CA28C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12</xdr:col>
      <xdr:colOff>571500</xdr:colOff>
      <xdr:row>21</xdr:row>
      <xdr:rowOff>97262</xdr:rowOff>
    </xdr:from>
    <xdr:to>
      <xdr:col>12</xdr:col>
      <xdr:colOff>1407226</xdr:colOff>
      <xdr:row>25</xdr:row>
      <xdr:rowOff>70592</xdr:rowOff>
    </xdr:to>
    <xdr:sp macro="" textlink="$B$108">
      <xdr:nvSpPr>
        <xdr:cNvPr id="114" name="Rectángulo 113">
          <a:extLst>
            <a:ext uri="{FF2B5EF4-FFF2-40B4-BE49-F238E27FC236}">
              <a16:creationId xmlns:a16="http://schemas.microsoft.com/office/drawing/2014/main" id="{75E1EE93-A04B-4D63-986C-ECD76BCE68B9}"/>
            </a:ext>
          </a:extLst>
        </xdr:cNvPr>
        <xdr:cNvSpPr/>
      </xdr:nvSpPr>
      <xdr:spPr>
        <a:xfrm>
          <a:off x="13510260" y="41663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FC3769-FBE7-4678-AB37-171373CED98C}" type="TxLink">
            <a:rPr lang="en-US" sz="2400" b="0" i="0" u="none" strike="noStrike">
              <a:solidFill>
                <a:schemeClr val="tx2">
                  <a:lumMod val="50000"/>
                  <a:lumOff val="50000"/>
                </a:schemeClr>
              </a:solidFill>
              <a:latin typeface="Bahnschrift SemiBold Condensed" panose="020B0502040204020203" pitchFamily="34" charset="0"/>
            </a:rPr>
            <a:pPr algn="l"/>
            <a:t>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482601</xdr:colOff>
      <xdr:row>12</xdr:row>
      <xdr:rowOff>81652</xdr:rowOff>
    </xdr:from>
    <xdr:to>
      <xdr:col>13</xdr:col>
      <xdr:colOff>1351751</xdr:colOff>
      <xdr:row>16</xdr:row>
      <xdr:rowOff>60697</xdr:rowOff>
    </xdr:to>
    <xdr:sp macro="" textlink="$B$113">
      <xdr:nvSpPr>
        <xdr:cNvPr id="115" name="Rectángulo 114">
          <a:extLst>
            <a:ext uri="{FF2B5EF4-FFF2-40B4-BE49-F238E27FC236}">
              <a16:creationId xmlns:a16="http://schemas.microsoft.com/office/drawing/2014/main" id="{CBE6B3A6-874C-4D14-BBB1-4EB3C92CACF7}"/>
            </a:ext>
          </a:extLst>
        </xdr:cNvPr>
        <xdr:cNvSpPr/>
      </xdr:nvSpPr>
      <xdr:spPr>
        <a:xfrm>
          <a:off x="15036801" y="25048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09825-EC47-430E-A869-684AC437E120}" type="TxLink">
            <a:rPr lang="en-US" sz="2400" b="0" i="0" u="none" strike="noStrike">
              <a:solidFill>
                <a:schemeClr val="accent2"/>
              </a:solidFill>
              <a:latin typeface="Bahnschrift SemiBold Condensed" panose="020B0502040204020203" pitchFamily="34" charset="0"/>
            </a:rPr>
            <a:pPr algn="l"/>
            <a:t>61%</a:t>
          </a:fld>
          <a:endParaRPr lang="es-CO" sz="2400" b="1">
            <a:solidFill>
              <a:schemeClr val="accent2"/>
            </a:solidFill>
            <a:latin typeface="Bahnschrift SemiBold Condensed" panose="020B0502040204020203" pitchFamily="34" charset="0"/>
          </a:endParaRPr>
        </a:p>
      </xdr:txBody>
    </xdr:sp>
    <xdr:clientData/>
  </xdr:twoCellAnchor>
  <xdr:twoCellAnchor>
    <xdr:from>
      <xdr:col>13</xdr:col>
      <xdr:colOff>444500</xdr:colOff>
      <xdr:row>21</xdr:row>
      <xdr:rowOff>39264</xdr:rowOff>
    </xdr:from>
    <xdr:to>
      <xdr:col>13</xdr:col>
      <xdr:colOff>1446373</xdr:colOff>
      <xdr:row>25</xdr:row>
      <xdr:rowOff>20214</xdr:rowOff>
    </xdr:to>
    <xdr:sp macro="" textlink="$B$114">
      <xdr:nvSpPr>
        <xdr:cNvPr id="116" name="Rectángulo 115">
          <a:extLst>
            <a:ext uri="{FF2B5EF4-FFF2-40B4-BE49-F238E27FC236}">
              <a16:creationId xmlns:a16="http://schemas.microsoft.com/office/drawing/2014/main" id="{0CEBF055-4860-4B76-A1AC-656BDC7139F5}"/>
            </a:ext>
          </a:extLst>
        </xdr:cNvPr>
        <xdr:cNvSpPr/>
      </xdr:nvSpPr>
      <xdr:spPr>
        <a:xfrm>
          <a:off x="14998700" y="41083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D7DA45-F8F1-4D82-B0C4-5D8E515CEDE2}"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12</xdr:col>
      <xdr:colOff>15240</xdr:colOff>
      <xdr:row>18</xdr:row>
      <xdr:rowOff>0</xdr:rowOff>
    </xdr:from>
    <xdr:to>
      <xdr:col>14</xdr:col>
      <xdr:colOff>9525</xdr:colOff>
      <xdr:row>18</xdr:row>
      <xdr:rowOff>0</xdr:rowOff>
    </xdr:to>
    <xdr:cxnSp macro="">
      <xdr:nvCxnSpPr>
        <xdr:cNvPr id="117" name="Conector recto 116">
          <a:extLst>
            <a:ext uri="{FF2B5EF4-FFF2-40B4-BE49-F238E27FC236}">
              <a16:creationId xmlns:a16="http://schemas.microsoft.com/office/drawing/2014/main" id="{114C2644-D97A-4898-8F9F-2C7E3B412F13}"/>
            </a:ext>
          </a:extLst>
        </xdr:cNvPr>
        <xdr:cNvCxnSpPr/>
      </xdr:nvCxnSpPr>
      <xdr:spPr>
        <a:xfrm>
          <a:off x="1295400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9525</xdr:colOff>
      <xdr:row>27</xdr:row>
      <xdr:rowOff>0</xdr:rowOff>
    </xdr:from>
    <xdr:to>
      <xdr:col>14</xdr:col>
      <xdr:colOff>0</xdr:colOff>
      <xdr:row>27</xdr:row>
      <xdr:rowOff>0</xdr:rowOff>
    </xdr:to>
    <xdr:cxnSp macro="">
      <xdr:nvCxnSpPr>
        <xdr:cNvPr id="118" name="Conector recto 117">
          <a:extLst>
            <a:ext uri="{FF2B5EF4-FFF2-40B4-BE49-F238E27FC236}">
              <a16:creationId xmlns:a16="http://schemas.microsoft.com/office/drawing/2014/main" id="{BEFE35C5-8EE4-4EEA-B0C4-848786C25557}"/>
            </a:ext>
          </a:extLst>
        </xdr:cNvPr>
        <xdr:cNvCxnSpPr/>
      </xdr:nvCxnSpPr>
      <xdr:spPr>
        <a:xfrm>
          <a:off x="1294828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1905</xdr:colOff>
      <xdr:row>36</xdr:row>
      <xdr:rowOff>0</xdr:rowOff>
    </xdr:from>
    <xdr:to>
      <xdr:col>14</xdr:col>
      <xdr:colOff>0</xdr:colOff>
      <xdr:row>36</xdr:row>
      <xdr:rowOff>0</xdr:rowOff>
    </xdr:to>
    <xdr:cxnSp macro="">
      <xdr:nvCxnSpPr>
        <xdr:cNvPr id="119" name="Conector recto 118">
          <a:extLst>
            <a:ext uri="{FF2B5EF4-FFF2-40B4-BE49-F238E27FC236}">
              <a16:creationId xmlns:a16="http://schemas.microsoft.com/office/drawing/2014/main" id="{EB3F22A7-6472-4DD8-8397-55072335A5D3}"/>
            </a:ext>
          </a:extLst>
        </xdr:cNvPr>
        <xdr:cNvCxnSpPr/>
      </xdr:nvCxnSpPr>
      <xdr:spPr>
        <a:xfrm>
          <a:off x="1294066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57149</xdr:colOff>
      <xdr:row>9</xdr:row>
      <xdr:rowOff>20956</xdr:rowOff>
    </xdr:from>
    <xdr:to>
      <xdr:col>13</xdr:col>
      <xdr:colOff>1227116</xdr:colOff>
      <xdr:row>10</xdr:row>
      <xdr:rowOff>98962</xdr:rowOff>
    </xdr:to>
    <xdr:sp macro="" textlink="$A$107">
      <xdr:nvSpPr>
        <xdr:cNvPr id="120" name="Rectángulo 119">
          <a:extLst>
            <a:ext uri="{FF2B5EF4-FFF2-40B4-BE49-F238E27FC236}">
              <a16:creationId xmlns:a16="http://schemas.microsoft.com/office/drawing/2014/main" id="{31247C41-0188-403D-9F2A-F2F773EDDC21}"/>
            </a:ext>
          </a:extLst>
        </xdr:cNvPr>
        <xdr:cNvSpPr/>
      </xdr:nvSpPr>
      <xdr:spPr>
        <a:xfrm>
          <a:off x="1299590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10B08E-DC29-4DB8-8ED0-863E5A72C388}"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12</xdr:col>
      <xdr:colOff>1206500</xdr:colOff>
      <xdr:row>26</xdr:row>
      <xdr:rowOff>127001</xdr:rowOff>
    </xdr:from>
    <xdr:to>
      <xdr:col>14</xdr:col>
      <xdr:colOff>266700</xdr:colOff>
      <xdr:row>39</xdr:row>
      <xdr:rowOff>76201</xdr:rowOff>
    </xdr:to>
    <xdr:graphicFrame macro="">
      <xdr:nvGraphicFramePr>
        <xdr:cNvPr id="121" name="Gráfico 120">
          <a:extLst>
            <a:ext uri="{FF2B5EF4-FFF2-40B4-BE49-F238E27FC236}">
              <a16:creationId xmlns:a16="http://schemas.microsoft.com/office/drawing/2014/main" id="{A1A930A2-CF88-429D-99B5-FB3E38F8B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xdr:col>
      <xdr:colOff>508000</xdr:colOff>
      <xdr:row>30</xdr:row>
      <xdr:rowOff>107901</xdr:rowOff>
    </xdr:from>
    <xdr:to>
      <xdr:col>13</xdr:col>
      <xdr:colOff>1440477</xdr:colOff>
      <xdr:row>34</xdr:row>
      <xdr:rowOff>96471</xdr:rowOff>
    </xdr:to>
    <xdr:sp macro="" textlink="$B$115">
      <xdr:nvSpPr>
        <xdr:cNvPr id="122" name="Rectángulo 121">
          <a:extLst>
            <a:ext uri="{FF2B5EF4-FFF2-40B4-BE49-F238E27FC236}">
              <a16:creationId xmlns:a16="http://schemas.microsoft.com/office/drawing/2014/main" id="{2E6A3DCA-A0A9-465F-874A-6D401AA21610}"/>
            </a:ext>
          </a:extLst>
        </xdr:cNvPr>
        <xdr:cNvSpPr/>
      </xdr:nvSpPr>
      <xdr:spPr>
        <a:xfrm>
          <a:off x="15062200" y="58229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6A86C2-20A2-4236-991C-2612CFB2A4F8}" type="TxLink">
            <a:rPr lang="en-US" sz="2400" b="0" i="0" u="none" strike="noStrike">
              <a:solidFill>
                <a:schemeClr val="accent2"/>
              </a:solidFill>
              <a:latin typeface="Bahnschrift SemiBold Condensed" panose="020B0502040204020203" pitchFamily="34" charset="0"/>
            </a:rPr>
            <a:pPr algn="l"/>
            <a:t>52%</a:t>
          </a:fld>
          <a:endParaRPr lang="es-CO" sz="2400" b="1">
            <a:solidFill>
              <a:schemeClr val="accent2"/>
            </a:solidFill>
            <a:latin typeface="Bahnschrift SemiBold Condensed" panose="020B0502040204020203" pitchFamily="34" charset="0"/>
          </a:endParaRPr>
        </a:p>
      </xdr:txBody>
    </xdr:sp>
    <xdr:clientData/>
  </xdr:twoCellAnchor>
  <xdr:twoCellAnchor>
    <xdr:from>
      <xdr:col>11</xdr:col>
      <xdr:colOff>174998</xdr:colOff>
      <xdr:row>27</xdr:row>
      <xdr:rowOff>37193</xdr:rowOff>
    </xdr:from>
    <xdr:to>
      <xdr:col>13</xdr:col>
      <xdr:colOff>423224</xdr:colOff>
      <xdr:row>37</xdr:row>
      <xdr:rowOff>24080</xdr:rowOff>
    </xdr:to>
    <xdr:graphicFrame macro="">
      <xdr:nvGraphicFramePr>
        <xdr:cNvPr id="123" name="Gráfico 122">
          <a:extLst>
            <a:ext uri="{FF2B5EF4-FFF2-40B4-BE49-F238E27FC236}">
              <a16:creationId xmlns:a16="http://schemas.microsoft.com/office/drawing/2014/main" id="{39AF159D-3501-40E9-8570-1BB37D6B0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12</xdr:col>
      <xdr:colOff>12064</xdr:colOff>
      <xdr:row>27</xdr:row>
      <xdr:rowOff>78105</xdr:rowOff>
    </xdr:from>
    <xdr:to>
      <xdr:col>13</xdr:col>
      <xdr:colOff>1085767</xdr:colOff>
      <xdr:row>29</xdr:row>
      <xdr:rowOff>0</xdr:rowOff>
    </xdr:to>
    <xdr:sp macro="" textlink="$A$109">
      <xdr:nvSpPr>
        <xdr:cNvPr id="124" name="Rectángulo 123">
          <a:extLst>
            <a:ext uri="{FF2B5EF4-FFF2-40B4-BE49-F238E27FC236}">
              <a16:creationId xmlns:a16="http://schemas.microsoft.com/office/drawing/2014/main" id="{CAC798B9-163B-4796-B050-D59EC1A6929F}"/>
            </a:ext>
          </a:extLst>
        </xdr:cNvPr>
        <xdr:cNvSpPr/>
      </xdr:nvSpPr>
      <xdr:spPr>
        <a:xfrm>
          <a:off x="12950824" y="5244465"/>
          <a:ext cx="268914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762506-7F0F-428F-B52C-A3BDDB34AF0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12</xdr:col>
      <xdr:colOff>584200</xdr:colOff>
      <xdr:row>30</xdr:row>
      <xdr:rowOff>147312</xdr:rowOff>
    </xdr:from>
    <xdr:to>
      <xdr:col>12</xdr:col>
      <xdr:colOff>1524166</xdr:colOff>
      <xdr:row>34</xdr:row>
      <xdr:rowOff>124782</xdr:rowOff>
    </xdr:to>
    <xdr:sp macro="" textlink="$B$109">
      <xdr:nvSpPr>
        <xdr:cNvPr id="125" name="Rectángulo 124">
          <a:extLst>
            <a:ext uri="{FF2B5EF4-FFF2-40B4-BE49-F238E27FC236}">
              <a16:creationId xmlns:a16="http://schemas.microsoft.com/office/drawing/2014/main" id="{7225B239-F11B-4FCE-BA2C-E40C900A143F}"/>
            </a:ext>
          </a:extLst>
        </xdr:cNvPr>
        <xdr:cNvSpPr/>
      </xdr:nvSpPr>
      <xdr:spPr>
        <a:xfrm>
          <a:off x="13522960" y="58623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4D1FEF-3904-48DA-B25F-F713612F0A75}" type="TxLink">
            <a:rPr lang="en-US" sz="2400" b="0" i="0" u="none" strike="noStrike">
              <a:solidFill>
                <a:schemeClr val="tx2">
                  <a:lumMod val="50000"/>
                  <a:lumOff val="50000"/>
                </a:schemeClr>
              </a:solidFill>
              <a:latin typeface="Bahnschrift SemiBold Condensed" panose="020B0502040204020203" pitchFamily="34" charset="0"/>
            </a:rPr>
            <a:pPr algn="l"/>
            <a:t>40%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46355</xdr:colOff>
      <xdr:row>36</xdr:row>
      <xdr:rowOff>77470</xdr:rowOff>
    </xdr:from>
    <xdr:to>
      <xdr:col>13</xdr:col>
      <xdr:colOff>401320</xdr:colOff>
      <xdr:row>38</xdr:row>
      <xdr:rowOff>12700</xdr:rowOff>
    </xdr:to>
    <xdr:sp macro="" textlink="$A$110">
      <xdr:nvSpPr>
        <xdr:cNvPr id="126" name="Rectángulo 125">
          <a:extLst>
            <a:ext uri="{FF2B5EF4-FFF2-40B4-BE49-F238E27FC236}">
              <a16:creationId xmlns:a16="http://schemas.microsoft.com/office/drawing/2014/main" id="{173B3B41-B289-47DA-B446-531480A22C42}"/>
            </a:ext>
          </a:extLst>
        </xdr:cNvPr>
        <xdr:cNvSpPr/>
      </xdr:nvSpPr>
      <xdr:spPr>
        <a:xfrm>
          <a:off x="12985115" y="6889750"/>
          <a:ext cx="197040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62D34-F84A-4F50-AE94-5055B298555E}"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12</xdr:col>
      <xdr:colOff>596900</xdr:colOff>
      <xdr:row>40</xdr:row>
      <xdr:rowOff>8519</xdr:rowOff>
    </xdr:from>
    <xdr:to>
      <xdr:col>12</xdr:col>
      <xdr:colOff>1539668</xdr:colOff>
      <xdr:row>43</xdr:row>
      <xdr:rowOff>163789</xdr:rowOff>
    </xdr:to>
    <xdr:sp macro="" textlink="$B$110">
      <xdr:nvSpPr>
        <xdr:cNvPr id="127" name="Rectángulo 126">
          <a:extLst>
            <a:ext uri="{FF2B5EF4-FFF2-40B4-BE49-F238E27FC236}">
              <a16:creationId xmlns:a16="http://schemas.microsoft.com/office/drawing/2014/main" id="{6F7CAFA3-C3DC-4B90-AD82-0E144FC6F73E}"/>
            </a:ext>
          </a:extLst>
        </xdr:cNvPr>
        <xdr:cNvSpPr/>
      </xdr:nvSpPr>
      <xdr:spPr>
        <a:xfrm>
          <a:off x="13535660" y="7552319"/>
          <a:ext cx="942768" cy="703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F819A-F1B7-4DB6-A5DB-7B89EC642AF1}"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457200</xdr:colOff>
      <xdr:row>39</xdr:row>
      <xdr:rowOff>100806</xdr:rowOff>
    </xdr:from>
    <xdr:to>
      <xdr:col>13</xdr:col>
      <xdr:colOff>1312619</xdr:colOff>
      <xdr:row>43</xdr:row>
      <xdr:rowOff>89376</xdr:rowOff>
    </xdr:to>
    <xdr:sp macro="" textlink="$B$116">
      <xdr:nvSpPr>
        <xdr:cNvPr id="128" name="Rectángulo 127">
          <a:extLst>
            <a:ext uri="{FF2B5EF4-FFF2-40B4-BE49-F238E27FC236}">
              <a16:creationId xmlns:a16="http://schemas.microsoft.com/office/drawing/2014/main" id="{F771B8B5-3D22-4D1B-99EF-CE2ED96497E7}"/>
            </a:ext>
          </a:extLst>
        </xdr:cNvPr>
        <xdr:cNvSpPr/>
      </xdr:nvSpPr>
      <xdr:spPr>
        <a:xfrm>
          <a:off x="15011400" y="74617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543804-8942-49F6-97FC-7F994BF8F3BB}"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14</xdr:col>
      <xdr:colOff>174998</xdr:colOff>
      <xdr:row>27</xdr:row>
      <xdr:rowOff>37193</xdr:rowOff>
    </xdr:from>
    <xdr:to>
      <xdr:col>15</xdr:col>
      <xdr:colOff>0</xdr:colOff>
      <xdr:row>37</xdr:row>
      <xdr:rowOff>24080</xdr:rowOff>
    </xdr:to>
    <xdr:graphicFrame macro="">
      <xdr:nvGraphicFramePr>
        <xdr:cNvPr id="144" name="Gráfico 143">
          <a:extLst>
            <a:ext uri="{FF2B5EF4-FFF2-40B4-BE49-F238E27FC236}">
              <a16:creationId xmlns:a16="http://schemas.microsoft.com/office/drawing/2014/main" id="{8D28C221-6E7E-4BCF-9C4C-789BBA8C3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228600</xdr:colOff>
      <xdr:row>44</xdr:row>
      <xdr:rowOff>45720</xdr:rowOff>
    </xdr:from>
    <xdr:to>
      <xdr:col>8</xdr:col>
      <xdr:colOff>91440</xdr:colOff>
      <xdr:row>66</xdr:row>
      <xdr:rowOff>96520</xdr:rowOff>
    </xdr:to>
    <xdr:grpSp>
      <xdr:nvGrpSpPr>
        <xdr:cNvPr id="150" name="Grupo 149">
          <a:extLst>
            <a:ext uri="{FF2B5EF4-FFF2-40B4-BE49-F238E27FC236}">
              <a16:creationId xmlns:a16="http://schemas.microsoft.com/office/drawing/2014/main" id="{BBADD512-4114-43AE-A439-958689D1CE55}"/>
            </a:ext>
          </a:extLst>
        </xdr:cNvPr>
        <xdr:cNvGrpSpPr/>
      </xdr:nvGrpSpPr>
      <xdr:grpSpPr>
        <a:xfrm>
          <a:off x="5474677" y="8063279"/>
          <a:ext cx="3530111" cy="3943008"/>
          <a:chOff x="5275897" y="7883842"/>
          <a:chExt cx="4608644" cy="2743200"/>
        </a:xfrm>
      </xdr:grpSpPr>
      <xdr:graphicFrame macro="">
        <xdr:nvGraphicFramePr>
          <xdr:cNvPr id="151" name="Gráfico 150">
            <a:extLst>
              <a:ext uri="{FF2B5EF4-FFF2-40B4-BE49-F238E27FC236}">
                <a16:creationId xmlns:a16="http://schemas.microsoft.com/office/drawing/2014/main" id="{AEE1C21E-B613-BB3B-63EC-D1681C51E134}"/>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152" name="CuadroTexto 151">
            <a:extLst>
              <a:ext uri="{FF2B5EF4-FFF2-40B4-BE49-F238E27FC236}">
                <a16:creationId xmlns:a16="http://schemas.microsoft.com/office/drawing/2014/main" id="{9472CCFB-630E-3B86-0D75-9B50D77A5AB3}"/>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53" name="CuadroTexto 152">
            <a:extLst>
              <a:ext uri="{FF2B5EF4-FFF2-40B4-BE49-F238E27FC236}">
                <a16:creationId xmlns:a16="http://schemas.microsoft.com/office/drawing/2014/main" id="{6D209CC8-E7B5-268D-2C76-1E9625EC0BF6}"/>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54" name="CuadroTexto 153">
            <a:extLst>
              <a:ext uri="{FF2B5EF4-FFF2-40B4-BE49-F238E27FC236}">
                <a16:creationId xmlns:a16="http://schemas.microsoft.com/office/drawing/2014/main" id="{8BC40221-DCB0-79EF-945C-F5B248CB5CD8}"/>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55" name="CuadroTexto 154">
            <a:extLst>
              <a:ext uri="{FF2B5EF4-FFF2-40B4-BE49-F238E27FC236}">
                <a16:creationId xmlns:a16="http://schemas.microsoft.com/office/drawing/2014/main" id="{69F8B122-58BD-2179-4EE9-034988480A66}"/>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56" name="CuadroTexto 155">
            <a:extLst>
              <a:ext uri="{FF2B5EF4-FFF2-40B4-BE49-F238E27FC236}">
                <a16:creationId xmlns:a16="http://schemas.microsoft.com/office/drawing/2014/main" id="{E413140A-239D-BF19-CA1D-C394BB0342B0}"/>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57" name="CuadroTexto 156">
            <a:extLst>
              <a:ext uri="{FF2B5EF4-FFF2-40B4-BE49-F238E27FC236}">
                <a16:creationId xmlns:a16="http://schemas.microsoft.com/office/drawing/2014/main" id="{040D920F-2C25-87AE-93D1-AB9E117DD287}"/>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85">
        <xdr:nvSpPr>
          <xdr:cNvPr id="158" name="Rectángulo 157">
            <a:extLst>
              <a:ext uri="{FF2B5EF4-FFF2-40B4-BE49-F238E27FC236}">
                <a16:creationId xmlns:a16="http://schemas.microsoft.com/office/drawing/2014/main" id="{5E320B95-7D05-80C2-726D-B28509A636A6}"/>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3AEC28-5291-4BC3-864B-BF0616FC0929}" type="TxLink">
              <a:rPr lang="en-US" sz="3600" b="0" i="0" u="none" strike="noStrike">
                <a:solidFill>
                  <a:srgbClr val="000000"/>
                </a:solidFill>
                <a:latin typeface="Bahnschrift SemiBold Condensed" panose="020B0502040204020203" pitchFamily="34" charset="0"/>
              </a:rPr>
              <a:pPr algn="l"/>
              <a:t>68</a:t>
            </a:fld>
            <a:endParaRPr lang="es-CO" sz="3600" b="1">
              <a:latin typeface="Bahnschrift SemiBold Condensed" panose="020B0502040204020203" pitchFamily="34" charset="0"/>
            </a:endParaRPr>
          </a:p>
        </xdr:txBody>
      </xdr:sp>
    </xdr:grpSp>
    <xdr:clientData/>
  </xdr:twoCellAnchor>
  <xdr:twoCellAnchor>
    <xdr:from>
      <xdr:col>8</xdr:col>
      <xdr:colOff>243840</xdr:colOff>
      <xdr:row>44</xdr:row>
      <xdr:rowOff>15240</xdr:rowOff>
    </xdr:from>
    <xdr:to>
      <xdr:col>11</xdr:col>
      <xdr:colOff>106680</xdr:colOff>
      <xdr:row>66</xdr:row>
      <xdr:rowOff>66040</xdr:rowOff>
    </xdr:to>
    <xdr:grpSp>
      <xdr:nvGrpSpPr>
        <xdr:cNvPr id="159" name="Grupo 158">
          <a:extLst>
            <a:ext uri="{FF2B5EF4-FFF2-40B4-BE49-F238E27FC236}">
              <a16:creationId xmlns:a16="http://schemas.microsoft.com/office/drawing/2014/main" id="{BD655FA0-E22A-4BF8-B401-404A5430EA3E}"/>
            </a:ext>
          </a:extLst>
        </xdr:cNvPr>
        <xdr:cNvGrpSpPr/>
      </xdr:nvGrpSpPr>
      <xdr:grpSpPr>
        <a:xfrm>
          <a:off x="9157188" y="8034704"/>
          <a:ext cx="3520587" cy="3943008"/>
          <a:chOff x="5275897" y="7883842"/>
          <a:chExt cx="4608644" cy="2743200"/>
        </a:xfrm>
      </xdr:grpSpPr>
      <xdr:graphicFrame macro="">
        <xdr:nvGraphicFramePr>
          <xdr:cNvPr id="160" name="Gráfico 159">
            <a:extLst>
              <a:ext uri="{FF2B5EF4-FFF2-40B4-BE49-F238E27FC236}">
                <a16:creationId xmlns:a16="http://schemas.microsoft.com/office/drawing/2014/main" id="{B50848B4-88C4-2927-BDB7-F49ADC2DDEA1}"/>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0"/>
          </a:graphicData>
        </a:graphic>
      </xdr:graphicFrame>
      <xdr:sp macro="" textlink="">
        <xdr:nvSpPr>
          <xdr:cNvPr id="161" name="CuadroTexto 160">
            <a:extLst>
              <a:ext uri="{FF2B5EF4-FFF2-40B4-BE49-F238E27FC236}">
                <a16:creationId xmlns:a16="http://schemas.microsoft.com/office/drawing/2014/main" id="{0F6389E8-2DBC-D62C-C9E4-EF6A8D062842}"/>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62" name="CuadroTexto 161">
            <a:extLst>
              <a:ext uri="{FF2B5EF4-FFF2-40B4-BE49-F238E27FC236}">
                <a16:creationId xmlns:a16="http://schemas.microsoft.com/office/drawing/2014/main" id="{6CBFEED2-6D24-81FD-3400-6C6C6D41DCBE}"/>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63" name="CuadroTexto 162">
            <a:extLst>
              <a:ext uri="{FF2B5EF4-FFF2-40B4-BE49-F238E27FC236}">
                <a16:creationId xmlns:a16="http://schemas.microsoft.com/office/drawing/2014/main" id="{6E46A62D-D816-89AE-BA57-C934D8045542}"/>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64" name="CuadroTexto 163">
            <a:extLst>
              <a:ext uri="{FF2B5EF4-FFF2-40B4-BE49-F238E27FC236}">
                <a16:creationId xmlns:a16="http://schemas.microsoft.com/office/drawing/2014/main" id="{4F9489C2-DBCA-3308-2D9E-FB1D6E636E7A}"/>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65" name="CuadroTexto 164">
            <a:extLst>
              <a:ext uri="{FF2B5EF4-FFF2-40B4-BE49-F238E27FC236}">
                <a16:creationId xmlns:a16="http://schemas.microsoft.com/office/drawing/2014/main" id="{A0839B62-4545-16FC-5F88-794D0CEA0774}"/>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66" name="CuadroTexto 165">
            <a:extLst>
              <a:ext uri="{FF2B5EF4-FFF2-40B4-BE49-F238E27FC236}">
                <a16:creationId xmlns:a16="http://schemas.microsoft.com/office/drawing/2014/main" id="{2FA3827A-A60D-57EB-B0CF-14CD27E96D05}"/>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99">
        <xdr:nvSpPr>
          <xdr:cNvPr id="167" name="Rectángulo 166">
            <a:extLst>
              <a:ext uri="{FF2B5EF4-FFF2-40B4-BE49-F238E27FC236}">
                <a16:creationId xmlns:a16="http://schemas.microsoft.com/office/drawing/2014/main" id="{72B5A6D7-450E-639B-F352-E5054ECEE17D}"/>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20BAD3-5DD6-4086-BBDC-97398EFB3B50}" type="TxLink">
              <a:rPr lang="en-US" sz="3600" b="0" i="0" u="none" strike="noStrike">
                <a:solidFill>
                  <a:srgbClr val="000000"/>
                </a:solidFill>
                <a:latin typeface="Bahnschrift SemiBold Condensed" panose="020B0502040204020203" pitchFamily="34" charset="0"/>
              </a:rPr>
              <a:pPr algn="l"/>
              <a:t>74</a:t>
            </a:fld>
            <a:endParaRPr lang="es-CO" sz="3600" b="1">
              <a:latin typeface="Bahnschrift SemiBold Condensed" panose="020B0502040204020203" pitchFamily="34" charset="0"/>
            </a:endParaRPr>
          </a:p>
        </xdr:txBody>
      </xdr:sp>
    </xdr:grpSp>
    <xdr:clientData/>
  </xdr:twoCellAnchor>
  <xdr:twoCellAnchor>
    <xdr:from>
      <xdr:col>11</xdr:col>
      <xdr:colOff>228600</xdr:colOff>
      <xdr:row>44</xdr:row>
      <xdr:rowOff>30480</xdr:rowOff>
    </xdr:from>
    <xdr:to>
      <xdr:col>14</xdr:col>
      <xdr:colOff>91440</xdr:colOff>
      <xdr:row>66</xdr:row>
      <xdr:rowOff>81280</xdr:rowOff>
    </xdr:to>
    <xdr:grpSp>
      <xdr:nvGrpSpPr>
        <xdr:cNvPr id="168" name="Grupo 167">
          <a:extLst>
            <a:ext uri="{FF2B5EF4-FFF2-40B4-BE49-F238E27FC236}">
              <a16:creationId xmlns:a16="http://schemas.microsoft.com/office/drawing/2014/main" id="{8A3D3A66-A93E-4D96-A889-D356DBB730DA}"/>
            </a:ext>
          </a:extLst>
        </xdr:cNvPr>
        <xdr:cNvGrpSpPr/>
      </xdr:nvGrpSpPr>
      <xdr:grpSpPr>
        <a:xfrm>
          <a:off x="12801600" y="8044229"/>
          <a:ext cx="3530112" cy="3952533"/>
          <a:chOff x="5275897" y="7883842"/>
          <a:chExt cx="4608644" cy="2743200"/>
        </a:xfrm>
      </xdr:grpSpPr>
      <xdr:graphicFrame macro="">
        <xdr:nvGraphicFramePr>
          <xdr:cNvPr id="169" name="Gráfico 168">
            <a:extLst>
              <a:ext uri="{FF2B5EF4-FFF2-40B4-BE49-F238E27FC236}">
                <a16:creationId xmlns:a16="http://schemas.microsoft.com/office/drawing/2014/main" id="{5F9ECF75-8693-A9F5-B183-47ED5067346D}"/>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1"/>
          </a:graphicData>
        </a:graphic>
      </xdr:graphicFrame>
      <xdr:sp macro="" textlink="">
        <xdr:nvSpPr>
          <xdr:cNvPr id="170" name="CuadroTexto 169">
            <a:extLst>
              <a:ext uri="{FF2B5EF4-FFF2-40B4-BE49-F238E27FC236}">
                <a16:creationId xmlns:a16="http://schemas.microsoft.com/office/drawing/2014/main" id="{662E7932-34B6-880C-7F91-E0CB358E564B}"/>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71" name="CuadroTexto 170">
            <a:extLst>
              <a:ext uri="{FF2B5EF4-FFF2-40B4-BE49-F238E27FC236}">
                <a16:creationId xmlns:a16="http://schemas.microsoft.com/office/drawing/2014/main" id="{D31514DC-791C-1088-4596-2F3C6C3FEDA5}"/>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72" name="CuadroTexto 171">
            <a:extLst>
              <a:ext uri="{FF2B5EF4-FFF2-40B4-BE49-F238E27FC236}">
                <a16:creationId xmlns:a16="http://schemas.microsoft.com/office/drawing/2014/main" id="{813B3E8F-10D6-EC38-6CAC-CEAC6791C3E8}"/>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73" name="CuadroTexto 172">
            <a:extLst>
              <a:ext uri="{FF2B5EF4-FFF2-40B4-BE49-F238E27FC236}">
                <a16:creationId xmlns:a16="http://schemas.microsoft.com/office/drawing/2014/main" id="{31682C4D-6455-EF84-084F-BCF6115882B5}"/>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74" name="CuadroTexto 173">
            <a:extLst>
              <a:ext uri="{FF2B5EF4-FFF2-40B4-BE49-F238E27FC236}">
                <a16:creationId xmlns:a16="http://schemas.microsoft.com/office/drawing/2014/main" id="{86EFFC2A-012A-832B-473C-B4CB1CAA206D}"/>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75" name="CuadroTexto 174">
            <a:extLst>
              <a:ext uri="{FF2B5EF4-FFF2-40B4-BE49-F238E27FC236}">
                <a16:creationId xmlns:a16="http://schemas.microsoft.com/office/drawing/2014/main" id="{89675C25-6005-1916-FC74-06FC532DA542}"/>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113">
        <xdr:nvSpPr>
          <xdr:cNvPr id="176" name="Rectángulo 175">
            <a:extLst>
              <a:ext uri="{FF2B5EF4-FFF2-40B4-BE49-F238E27FC236}">
                <a16:creationId xmlns:a16="http://schemas.microsoft.com/office/drawing/2014/main" id="{DC92EC9B-28AD-BBED-2D25-4A3AE0037CF3}"/>
              </a:ext>
            </a:extLst>
          </xdr:cNvPr>
          <xdr:cNvSpPr/>
        </xdr:nvSpPr>
        <xdr:spPr>
          <a:xfrm>
            <a:off x="7161176" y="8980581"/>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3583F37-AD9D-4CD3-B5FC-4D332B2498F6}" type="TxLink">
              <a:rPr lang="en-US" sz="3600" b="0" i="0" u="none" strike="noStrike">
                <a:solidFill>
                  <a:srgbClr val="000000"/>
                </a:solidFill>
                <a:latin typeface="Bahnschrift SemiBold Condensed" panose="020B0502040204020203" pitchFamily="34" charset="0"/>
              </a:rPr>
              <a:pPr algn="l"/>
              <a:t>57</a:t>
            </a:fld>
            <a:endParaRPr lang="es-CO" sz="3600" b="1">
              <a:latin typeface="Bahnschrift SemiBold Condensed" panose="020B0502040204020203" pitchFamily="34" charset="0"/>
            </a:endParaRPr>
          </a:p>
        </xdr:txBody>
      </xdr:sp>
    </xdr:grpSp>
    <xdr:clientData/>
  </xdr:twoCellAnchor>
  <xdr:twoCellAnchor>
    <xdr:from>
      <xdr:col>15</xdr:col>
      <xdr:colOff>41908</xdr:colOff>
      <xdr:row>0</xdr:row>
      <xdr:rowOff>0</xdr:rowOff>
    </xdr:from>
    <xdr:to>
      <xdr:col>23</xdr:col>
      <xdr:colOff>707571</xdr:colOff>
      <xdr:row>24</xdr:row>
      <xdr:rowOff>40822</xdr:rowOff>
    </xdr:to>
    <xdr:graphicFrame macro="">
      <xdr:nvGraphicFramePr>
        <xdr:cNvPr id="46" name="Gráfico 45">
          <a:extLst>
            <a:ext uri="{FF2B5EF4-FFF2-40B4-BE49-F238E27FC236}">
              <a16:creationId xmlns:a16="http://schemas.microsoft.com/office/drawing/2014/main" id="{D84502BB-2A31-9627-0B55-A228988A5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55517</xdr:colOff>
      <xdr:row>27</xdr:row>
      <xdr:rowOff>132805</xdr:rowOff>
    </xdr:from>
    <xdr:to>
      <xdr:col>23</xdr:col>
      <xdr:colOff>693965</xdr:colOff>
      <xdr:row>58</xdr:row>
      <xdr:rowOff>95249</xdr:rowOff>
    </xdr:to>
    <xdr:graphicFrame macro="">
      <xdr:nvGraphicFramePr>
        <xdr:cNvPr id="47" name="Gráfico 46">
          <a:extLst>
            <a:ext uri="{FF2B5EF4-FFF2-40B4-BE49-F238E27FC236}">
              <a16:creationId xmlns:a16="http://schemas.microsoft.com/office/drawing/2014/main" id="{4B0D157F-4E25-814E-4ABD-4528F7BA6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1181100</xdr:colOff>
      <xdr:row>35</xdr:row>
      <xdr:rowOff>12700</xdr:rowOff>
    </xdr:from>
    <xdr:to>
      <xdr:col>8</xdr:col>
      <xdr:colOff>279400</xdr:colOff>
      <xdr:row>49</xdr:row>
      <xdr:rowOff>63500</xdr:rowOff>
    </xdr:to>
    <xdr:graphicFrame macro="">
      <xdr:nvGraphicFramePr>
        <xdr:cNvPr id="2" name="Gráfico 1">
          <a:extLst>
            <a:ext uri="{FF2B5EF4-FFF2-40B4-BE49-F238E27FC236}">
              <a16:creationId xmlns:a16="http://schemas.microsoft.com/office/drawing/2014/main" id="{1DD112FE-DBBA-458E-AD25-41A29D33E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36</xdr:row>
      <xdr:rowOff>50800</xdr:rowOff>
    </xdr:from>
    <xdr:to>
      <xdr:col>7</xdr:col>
      <xdr:colOff>299026</xdr:colOff>
      <xdr:row>46</xdr:row>
      <xdr:rowOff>50387</xdr:rowOff>
    </xdr:to>
    <xdr:graphicFrame macro="">
      <xdr:nvGraphicFramePr>
        <xdr:cNvPr id="3" name="Gráfico 2">
          <a:extLst>
            <a:ext uri="{FF2B5EF4-FFF2-40B4-BE49-F238E27FC236}">
              <a16:creationId xmlns:a16="http://schemas.microsoft.com/office/drawing/2014/main" id="{805747ED-251C-4446-9BE1-79D27AEF3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29</xdr:row>
      <xdr:rowOff>22760</xdr:rowOff>
    </xdr:from>
    <xdr:to>
      <xdr:col>1</xdr:col>
      <xdr:colOff>714375</xdr:colOff>
      <xdr:row>38</xdr:row>
      <xdr:rowOff>60960</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33E22170-3325-4F96-B96D-243ECA8B7624}"/>
            </a:ext>
          </a:extLst>
        </xdr:cNvPr>
        <xdr:cNvSpPr/>
      </xdr:nvSpPr>
      <xdr:spPr>
        <a:xfrm>
          <a:off x="64770" y="5505350"/>
          <a:ext cx="1438275" cy="1666975"/>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400">
              <a:solidFill>
                <a:schemeClr val="accent1"/>
              </a:solidFill>
              <a:latin typeface="Artifakt Element Heavy" panose="020B0B03050000020004" pitchFamily="34" charset="0"/>
              <a:ea typeface="Artifakt Element Heavy" panose="020B0B03050000020004" pitchFamily="34" charset="0"/>
            </a:rPr>
            <a:t>POLÍTICAS ÁREA COMERCIAL</a:t>
          </a:r>
        </a:p>
      </xdr:txBody>
    </xdr:sp>
    <xdr:clientData/>
  </xdr:twoCellAnchor>
  <xdr:twoCellAnchor>
    <xdr:from>
      <xdr:col>12</xdr:col>
      <xdr:colOff>1130300</xdr:colOff>
      <xdr:row>35</xdr:row>
      <xdr:rowOff>0</xdr:rowOff>
    </xdr:from>
    <xdr:to>
      <xdr:col>14</xdr:col>
      <xdr:colOff>228600</xdr:colOff>
      <xdr:row>49</xdr:row>
      <xdr:rowOff>50800</xdr:rowOff>
    </xdr:to>
    <xdr:graphicFrame macro="">
      <xdr:nvGraphicFramePr>
        <xdr:cNvPr id="5" name="Gráfico 4">
          <a:extLst>
            <a:ext uri="{FF2B5EF4-FFF2-40B4-BE49-F238E27FC236}">
              <a16:creationId xmlns:a16="http://schemas.microsoft.com/office/drawing/2014/main" id="{5F1A4EC5-D5E5-4F26-AF61-4B1611142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36</xdr:row>
      <xdr:rowOff>38100</xdr:rowOff>
    </xdr:from>
    <xdr:to>
      <xdr:col>13</xdr:col>
      <xdr:colOff>248226</xdr:colOff>
      <xdr:row>46</xdr:row>
      <xdr:rowOff>37687</xdr:rowOff>
    </xdr:to>
    <xdr:graphicFrame macro="">
      <xdr:nvGraphicFramePr>
        <xdr:cNvPr id="6" name="Gráfico 5">
          <a:extLst>
            <a:ext uri="{FF2B5EF4-FFF2-40B4-BE49-F238E27FC236}">
              <a16:creationId xmlns:a16="http://schemas.microsoft.com/office/drawing/2014/main" id="{B2133220-C44E-43B0-8846-EE394F502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1168400</xdr:colOff>
      <xdr:row>17</xdr:row>
      <xdr:rowOff>76200</xdr:rowOff>
    </xdr:from>
    <xdr:to>
      <xdr:col>14</xdr:col>
      <xdr:colOff>228600</xdr:colOff>
      <xdr:row>30</xdr:row>
      <xdr:rowOff>25400</xdr:rowOff>
    </xdr:to>
    <xdr:graphicFrame macro="">
      <xdr:nvGraphicFramePr>
        <xdr:cNvPr id="7" name="Gráfico 6">
          <a:extLst>
            <a:ext uri="{FF2B5EF4-FFF2-40B4-BE49-F238E27FC236}">
              <a16:creationId xmlns:a16="http://schemas.microsoft.com/office/drawing/2014/main" id="{6CF6694A-FE1F-436E-878F-1C2F094C0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1117600</xdr:colOff>
      <xdr:row>35</xdr:row>
      <xdr:rowOff>0</xdr:rowOff>
    </xdr:from>
    <xdr:to>
      <xdr:col>11</xdr:col>
      <xdr:colOff>215900</xdr:colOff>
      <xdr:row>49</xdr:row>
      <xdr:rowOff>50800</xdr:rowOff>
    </xdr:to>
    <xdr:graphicFrame macro="">
      <xdr:nvGraphicFramePr>
        <xdr:cNvPr id="8" name="Gráfico 7">
          <a:extLst>
            <a:ext uri="{FF2B5EF4-FFF2-40B4-BE49-F238E27FC236}">
              <a16:creationId xmlns:a16="http://schemas.microsoft.com/office/drawing/2014/main" id="{F392AFBC-886D-4B3C-A3EB-04DC7E9CE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330200</xdr:colOff>
      <xdr:row>36</xdr:row>
      <xdr:rowOff>38100</xdr:rowOff>
    </xdr:from>
    <xdr:to>
      <xdr:col>10</xdr:col>
      <xdr:colOff>235526</xdr:colOff>
      <xdr:row>46</xdr:row>
      <xdr:rowOff>37687</xdr:rowOff>
    </xdr:to>
    <xdr:graphicFrame macro="">
      <xdr:nvGraphicFramePr>
        <xdr:cNvPr id="9" name="Gráfico 8">
          <a:extLst>
            <a:ext uri="{FF2B5EF4-FFF2-40B4-BE49-F238E27FC236}">
              <a16:creationId xmlns:a16="http://schemas.microsoft.com/office/drawing/2014/main" id="{C818019A-2388-44B3-8374-DCF84C10C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113851</xdr:colOff>
      <xdr:row>9</xdr:row>
      <xdr:rowOff>19792</xdr:rowOff>
    </xdr:from>
    <xdr:to>
      <xdr:col>4</xdr:col>
      <xdr:colOff>150586</xdr:colOff>
      <xdr:row>19</xdr:row>
      <xdr:rowOff>39585</xdr:rowOff>
    </xdr:to>
    <xdr:graphicFrame macro="">
      <xdr:nvGraphicFramePr>
        <xdr:cNvPr id="10" name="Gráfico 9">
          <a:extLst>
            <a:ext uri="{FF2B5EF4-FFF2-40B4-BE49-F238E27FC236}">
              <a16:creationId xmlns:a16="http://schemas.microsoft.com/office/drawing/2014/main" id="{806D7C84-11DE-4E22-87F5-C1C992F6B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1215240</xdr:colOff>
      <xdr:row>6</xdr:row>
      <xdr:rowOff>104570</xdr:rowOff>
    </xdr:from>
    <xdr:to>
      <xdr:col>5</xdr:col>
      <xdr:colOff>228599</xdr:colOff>
      <xdr:row>21</xdr:row>
      <xdr:rowOff>127000</xdr:rowOff>
    </xdr:to>
    <xdr:graphicFrame macro="">
      <xdr:nvGraphicFramePr>
        <xdr:cNvPr id="11" name="Gráfico 10">
          <a:extLst>
            <a:ext uri="{FF2B5EF4-FFF2-40B4-BE49-F238E27FC236}">
              <a16:creationId xmlns:a16="http://schemas.microsoft.com/office/drawing/2014/main" id="{4D1BE4C3-FA5A-4058-A4C6-E1EB535F3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1232848</xdr:colOff>
      <xdr:row>16</xdr:row>
      <xdr:rowOff>125102</xdr:rowOff>
    </xdr:from>
    <xdr:to>
      <xdr:col>5</xdr:col>
      <xdr:colOff>330200</xdr:colOff>
      <xdr:row>31</xdr:row>
      <xdr:rowOff>63500</xdr:rowOff>
    </xdr:to>
    <xdr:graphicFrame macro="">
      <xdr:nvGraphicFramePr>
        <xdr:cNvPr id="12" name="Gráfico 11">
          <a:extLst>
            <a:ext uri="{FF2B5EF4-FFF2-40B4-BE49-F238E27FC236}">
              <a16:creationId xmlns:a16="http://schemas.microsoft.com/office/drawing/2014/main" id="{E053DDF8-21EC-42A7-9EB7-129113EA3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99297</xdr:colOff>
      <xdr:row>18</xdr:row>
      <xdr:rowOff>328</xdr:rowOff>
    </xdr:from>
    <xdr:to>
      <xdr:col>4</xdr:col>
      <xdr:colOff>184562</xdr:colOff>
      <xdr:row>28</xdr:row>
      <xdr:rowOff>9896</xdr:rowOff>
    </xdr:to>
    <xdr:graphicFrame macro="">
      <xdr:nvGraphicFramePr>
        <xdr:cNvPr id="13" name="Gráfico 12">
          <a:extLst>
            <a:ext uri="{FF2B5EF4-FFF2-40B4-BE49-F238E27FC236}">
              <a16:creationId xmlns:a16="http://schemas.microsoft.com/office/drawing/2014/main" id="{721D25C1-50E6-4BD3-AC4B-A083F8A46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xdr:col>
      <xdr:colOff>506056</xdr:colOff>
      <xdr:row>1</xdr:row>
      <xdr:rowOff>20168</xdr:rowOff>
    </xdr:from>
    <xdr:ext cx="1454655" cy="885826"/>
    <xdr:pic>
      <xdr:nvPicPr>
        <xdr:cNvPr id="14" name="Imagen 13">
          <a:extLst>
            <a:ext uri="{FF2B5EF4-FFF2-40B4-BE49-F238E27FC236}">
              <a16:creationId xmlns:a16="http://schemas.microsoft.com/office/drawing/2014/main" id="{05985822-D4BB-40CE-9309-A5115CBC2D4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22436" y="283058"/>
          <a:ext cx="1454655" cy="885826"/>
        </a:xfrm>
        <a:prstGeom prst="rect">
          <a:avLst/>
        </a:prstGeom>
      </xdr:spPr>
    </xdr:pic>
    <xdr:clientData/>
  </xdr:oneCellAnchor>
  <xdr:oneCellAnchor>
    <xdr:from>
      <xdr:col>0</xdr:col>
      <xdr:colOff>99060</xdr:colOff>
      <xdr:row>0</xdr:row>
      <xdr:rowOff>137160</xdr:rowOff>
    </xdr:from>
    <xdr:ext cx="1401072" cy="943048"/>
    <xdr:pic>
      <xdr:nvPicPr>
        <xdr:cNvPr id="15" name="Imagen 14">
          <a:extLst>
            <a:ext uri="{FF2B5EF4-FFF2-40B4-BE49-F238E27FC236}">
              <a16:creationId xmlns:a16="http://schemas.microsoft.com/office/drawing/2014/main" id="{B8B985D5-FD6C-4187-BE8A-A3CDADA5DAC7}"/>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910" r="13534"/>
        <a:stretch/>
      </xdr:blipFill>
      <xdr:spPr>
        <a:xfrm>
          <a:off x="95250" y="133350"/>
          <a:ext cx="1401072" cy="943048"/>
        </a:xfrm>
        <a:prstGeom prst="rect">
          <a:avLst/>
        </a:prstGeom>
      </xdr:spPr>
    </xdr:pic>
    <xdr:clientData/>
  </xdr:oneCellAnchor>
  <xdr:twoCellAnchor>
    <xdr:from>
      <xdr:col>0</xdr:col>
      <xdr:colOff>66675</xdr:colOff>
      <xdr:row>5</xdr:row>
      <xdr:rowOff>114200</xdr:rowOff>
    </xdr:from>
    <xdr:to>
      <xdr:col>1</xdr:col>
      <xdr:colOff>714375</xdr:colOff>
      <xdr:row>10</xdr:row>
      <xdr:rowOff>167170</xdr:rowOff>
    </xdr:to>
    <xdr:sp macro="" textlink="">
      <xdr:nvSpPr>
        <xdr:cNvPr id="16" name="Rectángulo: esquinas redondeadas 15">
          <a:hlinkClick xmlns:r="http://schemas.openxmlformats.org/officeDocument/2006/relationships" r:id="rId15"/>
          <a:extLst>
            <a:ext uri="{FF2B5EF4-FFF2-40B4-BE49-F238E27FC236}">
              <a16:creationId xmlns:a16="http://schemas.microsoft.com/office/drawing/2014/main" id="{602FFCFA-8FA5-4AEC-8532-B4E84F35A6F3}"/>
            </a:ext>
          </a:extLst>
        </xdr:cNvPr>
        <xdr:cNvSpPr/>
      </xdr:nvSpPr>
      <xdr:spPr>
        <a:xfrm>
          <a:off x="64770" y="1238150"/>
          <a:ext cx="1438275" cy="980705"/>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DIRECTORA COMERCIAL</a:t>
          </a:r>
        </a:p>
      </xdr:txBody>
    </xdr:sp>
    <xdr:clientData/>
  </xdr:twoCellAnchor>
  <xdr:twoCellAnchor>
    <xdr:from>
      <xdr:col>24</xdr:col>
      <xdr:colOff>66675</xdr:colOff>
      <xdr:row>5</xdr:row>
      <xdr:rowOff>125310</xdr:rowOff>
    </xdr:from>
    <xdr:to>
      <xdr:col>24</xdr:col>
      <xdr:colOff>1506063</xdr:colOff>
      <xdr:row>10</xdr:row>
      <xdr:rowOff>168012</xdr:rowOff>
    </xdr:to>
    <xdr:sp macro="" textlink="">
      <xdr:nvSpPr>
        <xdr:cNvPr id="17" name="Rectángulo: esquinas redondeadas 16">
          <a:hlinkClick xmlns:r="http://schemas.openxmlformats.org/officeDocument/2006/relationships" r:id="rId16"/>
          <a:extLst>
            <a:ext uri="{FF2B5EF4-FFF2-40B4-BE49-F238E27FC236}">
              <a16:creationId xmlns:a16="http://schemas.microsoft.com/office/drawing/2014/main" id="{1B2128E4-9B1A-429B-8695-21B3F08789FA}"/>
            </a:ext>
          </a:extLst>
        </xdr:cNvPr>
        <xdr:cNvSpPr/>
      </xdr:nvSpPr>
      <xdr:spPr>
        <a:xfrm>
          <a:off x="23772495" y="1251165"/>
          <a:ext cx="1437483" cy="96853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DIRECTORA COMERCIAL</a:t>
          </a:r>
        </a:p>
      </xdr:txBody>
    </xdr:sp>
    <xdr:clientData/>
  </xdr:twoCellAnchor>
  <xdr:twoCellAnchor>
    <xdr:from>
      <xdr:col>3</xdr:col>
      <xdr:colOff>393700</xdr:colOff>
      <xdr:row>12</xdr:row>
      <xdr:rowOff>131288</xdr:rowOff>
    </xdr:from>
    <xdr:to>
      <xdr:col>3</xdr:col>
      <xdr:colOff>1266042</xdr:colOff>
      <xdr:row>16</xdr:row>
      <xdr:rowOff>98903</xdr:rowOff>
    </xdr:to>
    <xdr:sp macro="" textlink="$B$65">
      <xdr:nvSpPr>
        <xdr:cNvPr id="18" name="Rectángulo 17">
          <a:extLst>
            <a:ext uri="{FF2B5EF4-FFF2-40B4-BE49-F238E27FC236}">
              <a16:creationId xmlns:a16="http://schemas.microsoft.com/office/drawing/2014/main" id="{E9658268-893D-4E46-985D-77496E29FC85}"/>
            </a:ext>
          </a:extLst>
        </xdr:cNvPr>
        <xdr:cNvSpPr/>
      </xdr:nvSpPr>
      <xdr:spPr>
        <a:xfrm>
          <a:off x="2416810" y="2544923"/>
          <a:ext cx="870437"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535373-67D4-4052-B754-AC66BB4F54EC}"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34290</xdr:colOff>
      <xdr:row>18</xdr:row>
      <xdr:rowOff>55245</xdr:rowOff>
    </xdr:from>
    <xdr:to>
      <xdr:col>4</xdr:col>
      <xdr:colOff>1068780</xdr:colOff>
      <xdr:row>20</xdr:row>
      <xdr:rowOff>0</xdr:rowOff>
    </xdr:to>
    <xdr:sp macro="" textlink="$A$66">
      <xdr:nvSpPr>
        <xdr:cNvPr id="19" name="Rectángulo 18">
          <a:extLst>
            <a:ext uri="{FF2B5EF4-FFF2-40B4-BE49-F238E27FC236}">
              <a16:creationId xmlns:a16="http://schemas.microsoft.com/office/drawing/2014/main" id="{39933668-B7B5-4652-AB73-68ACC2C9703D}"/>
            </a:ext>
          </a:extLst>
        </xdr:cNvPr>
        <xdr:cNvSpPr/>
      </xdr:nvSpPr>
      <xdr:spPr>
        <a:xfrm>
          <a:off x="2053590" y="3554730"/>
          <a:ext cx="2644215"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278BB8-8729-4A4B-A8EB-9C84E7E1F12D}" type="TxLink">
            <a:rPr lang="en-US" sz="900" b="1" i="0" u="none" strike="noStrike">
              <a:solidFill>
                <a:srgbClr val="000000"/>
              </a:solidFill>
              <a:latin typeface="Aptos Narrow"/>
            </a:rPr>
            <a:pPr algn="l"/>
            <a:t>Liderazgo y Gestión del Equipo Comercial</a:t>
          </a:fld>
          <a:endParaRPr lang="es-CO" sz="1100">
            <a:solidFill>
              <a:sysClr val="windowText" lastClr="000000"/>
            </a:solidFill>
          </a:endParaRPr>
        </a:p>
      </xdr:txBody>
    </xdr:sp>
    <xdr:clientData/>
  </xdr:twoCellAnchor>
  <xdr:twoCellAnchor>
    <xdr:from>
      <xdr:col>3</xdr:col>
      <xdr:colOff>406400</xdr:colOff>
      <xdr:row>21</xdr:row>
      <xdr:rowOff>122662</xdr:rowOff>
    </xdr:from>
    <xdr:to>
      <xdr:col>3</xdr:col>
      <xdr:colOff>1242126</xdr:colOff>
      <xdr:row>25</xdr:row>
      <xdr:rowOff>95992</xdr:rowOff>
    </xdr:to>
    <xdr:sp macro="" textlink="$B$66">
      <xdr:nvSpPr>
        <xdr:cNvPr id="20" name="Rectángulo 19">
          <a:extLst>
            <a:ext uri="{FF2B5EF4-FFF2-40B4-BE49-F238E27FC236}">
              <a16:creationId xmlns:a16="http://schemas.microsoft.com/office/drawing/2014/main" id="{8516196D-D34F-4C50-B4D9-93BD5666259B}"/>
            </a:ext>
          </a:extLst>
        </xdr:cNvPr>
        <xdr:cNvSpPr/>
      </xdr:nvSpPr>
      <xdr:spPr>
        <a:xfrm>
          <a:off x="2421890" y="41631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315A53-CCDF-41F8-B98F-D21D689EE071}"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4</xdr:col>
      <xdr:colOff>457201</xdr:colOff>
      <xdr:row>12</xdr:row>
      <xdr:rowOff>107052</xdr:rowOff>
    </xdr:from>
    <xdr:to>
      <xdr:col>4</xdr:col>
      <xdr:colOff>1326351</xdr:colOff>
      <xdr:row>16</xdr:row>
      <xdr:rowOff>86097</xdr:rowOff>
    </xdr:to>
    <xdr:sp macro="" textlink="$B$71">
      <xdr:nvSpPr>
        <xdr:cNvPr id="21" name="Rectángulo 20">
          <a:extLst>
            <a:ext uri="{FF2B5EF4-FFF2-40B4-BE49-F238E27FC236}">
              <a16:creationId xmlns:a16="http://schemas.microsoft.com/office/drawing/2014/main" id="{C93E3A58-2B2B-4920-9B68-7AD79EB7656E}"/>
            </a:ext>
          </a:extLst>
        </xdr:cNvPr>
        <xdr:cNvSpPr/>
      </xdr:nvSpPr>
      <xdr:spPr>
        <a:xfrm>
          <a:off x="408622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BAD03B-9DF8-433B-BC00-B1D4C2D28DCF}" type="TxLink">
            <a:rPr lang="en-US" sz="2400" b="1" i="0" u="none" strike="noStrike">
              <a:solidFill>
                <a:schemeClr val="accent2"/>
              </a:solidFill>
              <a:latin typeface="Bahnschrift SemiBold SemiConden" panose="020B0502040204020203" pitchFamily="34" charset="0"/>
            </a:rPr>
            <a:pPr algn="l"/>
            <a:t>76%</a:t>
          </a:fld>
          <a:endParaRPr lang="es-CO" sz="2400" b="1">
            <a:solidFill>
              <a:schemeClr val="accent2"/>
            </a:solidFill>
            <a:latin typeface="Bahnschrift SemiBold SemiConden" panose="020B0502040204020203" pitchFamily="34" charset="0"/>
          </a:endParaRPr>
        </a:p>
      </xdr:txBody>
    </xdr:sp>
    <xdr:clientData/>
  </xdr:twoCellAnchor>
  <xdr:twoCellAnchor>
    <xdr:from>
      <xdr:col>4</xdr:col>
      <xdr:colOff>419100</xdr:colOff>
      <xdr:row>21</xdr:row>
      <xdr:rowOff>64664</xdr:rowOff>
    </xdr:from>
    <xdr:to>
      <xdr:col>4</xdr:col>
      <xdr:colOff>1420973</xdr:colOff>
      <xdr:row>25</xdr:row>
      <xdr:rowOff>45614</xdr:rowOff>
    </xdr:to>
    <xdr:sp macro="" textlink="$B$72">
      <xdr:nvSpPr>
        <xdr:cNvPr id="22" name="Rectángulo 21">
          <a:extLst>
            <a:ext uri="{FF2B5EF4-FFF2-40B4-BE49-F238E27FC236}">
              <a16:creationId xmlns:a16="http://schemas.microsoft.com/office/drawing/2014/main" id="{43D9D678-3818-4D79-97B2-962CC2951473}"/>
            </a:ext>
          </a:extLst>
        </xdr:cNvPr>
        <xdr:cNvSpPr/>
      </xdr:nvSpPr>
      <xdr:spPr>
        <a:xfrm>
          <a:off x="4048125" y="4099454"/>
          <a:ext cx="1003778"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658D7-C757-475F-B2B1-89153B1B31BE}" type="TxLink">
            <a:rPr lang="en-US" sz="2400" b="0" i="0" u="none" strike="noStrike">
              <a:solidFill>
                <a:schemeClr val="accent2"/>
              </a:solidFill>
              <a:latin typeface="Bahnschrift SemiBold SemiConden" panose="020B0502040204020203" pitchFamily="34" charset="0"/>
            </a:rPr>
            <a:pPr algn="l"/>
            <a:t>85%</a:t>
          </a:fld>
          <a:endParaRPr lang="es-CO" sz="4000" b="1">
            <a:solidFill>
              <a:schemeClr val="accent2"/>
            </a:solidFill>
            <a:latin typeface="Bahnschrift SemiBold SemiConden" panose="020B0502040204020203" pitchFamily="34" charset="0"/>
          </a:endParaRPr>
        </a:p>
      </xdr:txBody>
    </xdr:sp>
    <xdr:clientData/>
  </xdr:twoCellAnchor>
  <xdr:oneCellAnchor>
    <xdr:from>
      <xdr:col>15</xdr:col>
      <xdr:colOff>0</xdr:colOff>
      <xdr:row>63</xdr:row>
      <xdr:rowOff>64770</xdr:rowOff>
    </xdr:from>
    <xdr:ext cx="184731" cy="264560"/>
    <xdr:sp macro="" textlink="">
      <xdr:nvSpPr>
        <xdr:cNvPr id="23" name="CuadroTexto 22">
          <a:extLst>
            <a:ext uri="{FF2B5EF4-FFF2-40B4-BE49-F238E27FC236}">
              <a16:creationId xmlns:a16="http://schemas.microsoft.com/office/drawing/2014/main" id="{AEDF6E7C-E2EA-4D40-8F2C-B3490E66D639}"/>
            </a:ext>
          </a:extLst>
        </xdr:cNvPr>
        <xdr:cNvSpPr txBox="1"/>
      </xdr:nvSpPr>
      <xdr:spPr>
        <a:xfrm>
          <a:off x="16592550" y="117214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2</xdr:col>
      <xdr:colOff>304802</xdr:colOff>
      <xdr:row>44</xdr:row>
      <xdr:rowOff>19050</xdr:rowOff>
    </xdr:from>
    <xdr:to>
      <xdr:col>5</xdr:col>
      <xdr:colOff>133352</xdr:colOff>
      <xdr:row>66</xdr:row>
      <xdr:rowOff>64135</xdr:rowOff>
    </xdr:to>
    <xdr:grpSp>
      <xdr:nvGrpSpPr>
        <xdr:cNvPr id="24" name="Grupo 23">
          <a:extLst>
            <a:ext uri="{FF2B5EF4-FFF2-40B4-BE49-F238E27FC236}">
              <a16:creationId xmlns:a16="http://schemas.microsoft.com/office/drawing/2014/main" id="{5350BAD3-618F-4F73-8048-7EAD03F94FE3}"/>
            </a:ext>
          </a:extLst>
        </xdr:cNvPr>
        <xdr:cNvGrpSpPr/>
      </xdr:nvGrpSpPr>
      <xdr:grpSpPr>
        <a:xfrm>
          <a:off x="1887417" y="8030894"/>
          <a:ext cx="3488202" cy="3943008"/>
          <a:chOff x="5275897" y="7883842"/>
          <a:chExt cx="4608644" cy="2743200"/>
        </a:xfrm>
      </xdr:grpSpPr>
      <xdr:graphicFrame macro="">
        <xdr:nvGraphicFramePr>
          <xdr:cNvPr id="25" name="Gráfico 24">
            <a:extLst>
              <a:ext uri="{FF2B5EF4-FFF2-40B4-BE49-F238E27FC236}">
                <a16:creationId xmlns:a16="http://schemas.microsoft.com/office/drawing/2014/main" id="{EBF06E6D-BFF4-6A52-06C4-4D7EC56EEF34}"/>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6" name="CuadroTexto 25">
            <a:extLst>
              <a:ext uri="{FF2B5EF4-FFF2-40B4-BE49-F238E27FC236}">
                <a16:creationId xmlns:a16="http://schemas.microsoft.com/office/drawing/2014/main" id="{71589274-CE62-1675-C60A-3188F3BE3ED6}"/>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27" name="CuadroTexto 26">
            <a:extLst>
              <a:ext uri="{FF2B5EF4-FFF2-40B4-BE49-F238E27FC236}">
                <a16:creationId xmlns:a16="http://schemas.microsoft.com/office/drawing/2014/main" id="{EC3AEEAD-936C-1136-9F51-868B19A2F7E1}"/>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28" name="CuadroTexto 27">
            <a:extLst>
              <a:ext uri="{FF2B5EF4-FFF2-40B4-BE49-F238E27FC236}">
                <a16:creationId xmlns:a16="http://schemas.microsoft.com/office/drawing/2014/main" id="{7689FCFA-3852-F5E2-462C-A2DD68203144}"/>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29" name="CuadroTexto 28">
            <a:extLst>
              <a:ext uri="{FF2B5EF4-FFF2-40B4-BE49-F238E27FC236}">
                <a16:creationId xmlns:a16="http://schemas.microsoft.com/office/drawing/2014/main" id="{C39467DB-6DE5-753B-9898-E812F9AF36A7}"/>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30" name="CuadroTexto 29">
            <a:extLst>
              <a:ext uri="{FF2B5EF4-FFF2-40B4-BE49-F238E27FC236}">
                <a16:creationId xmlns:a16="http://schemas.microsoft.com/office/drawing/2014/main" id="{A4431230-C1E2-2D54-112C-57DCAFFFDA9C}"/>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31" name="CuadroTexto 30">
            <a:extLst>
              <a:ext uri="{FF2B5EF4-FFF2-40B4-BE49-F238E27FC236}">
                <a16:creationId xmlns:a16="http://schemas.microsoft.com/office/drawing/2014/main" id="{66B8FF3C-67AA-7C64-D18B-B8B533F083AA}"/>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71">
        <xdr:nvSpPr>
          <xdr:cNvPr id="32" name="Rectángulo 31">
            <a:extLst>
              <a:ext uri="{FF2B5EF4-FFF2-40B4-BE49-F238E27FC236}">
                <a16:creationId xmlns:a16="http://schemas.microsoft.com/office/drawing/2014/main" id="{D8773CD4-AE66-90F8-0615-BF5120216E2B}"/>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C44D068-C346-4A09-8CD2-B484E23083F3}" type="TxLink">
              <a:rPr lang="en-US" sz="3600" b="0" i="0" u="none" strike="noStrike">
                <a:solidFill>
                  <a:srgbClr val="000000"/>
                </a:solidFill>
                <a:latin typeface="Bahnschrift SemiBold Condensed" panose="020B0502040204020203" pitchFamily="34" charset="0"/>
              </a:rPr>
              <a:pPr algn="l"/>
              <a:t>82</a:t>
            </a:fld>
            <a:endParaRPr lang="es-CO" sz="19900" b="1">
              <a:latin typeface="Bahnschrift SemiBold Condensed" panose="020B0502040204020203" pitchFamily="34" charset="0"/>
            </a:endParaRPr>
          </a:p>
        </xdr:txBody>
      </xdr:sp>
    </xdr:grpSp>
    <xdr:clientData/>
  </xdr:twoCellAnchor>
  <xdr:twoCellAnchor>
    <xdr:from>
      <xdr:col>3</xdr:col>
      <xdr:colOff>15240</xdr:colOff>
      <xdr:row>18</xdr:row>
      <xdr:rowOff>0</xdr:rowOff>
    </xdr:from>
    <xdr:to>
      <xdr:col>5</xdr:col>
      <xdr:colOff>9525</xdr:colOff>
      <xdr:row>18</xdr:row>
      <xdr:rowOff>0</xdr:rowOff>
    </xdr:to>
    <xdr:cxnSp macro="">
      <xdr:nvCxnSpPr>
        <xdr:cNvPr id="33" name="Conector recto 32">
          <a:extLst>
            <a:ext uri="{FF2B5EF4-FFF2-40B4-BE49-F238E27FC236}">
              <a16:creationId xmlns:a16="http://schemas.microsoft.com/office/drawing/2014/main" id="{54A0241C-8293-46D4-8CD8-3086FB460B0D}"/>
            </a:ext>
          </a:extLst>
        </xdr:cNvPr>
        <xdr:cNvCxnSpPr/>
      </xdr:nvCxnSpPr>
      <xdr:spPr>
        <a:xfrm>
          <a:off x="2038350" y="3495675"/>
          <a:ext cx="321183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27</xdr:row>
      <xdr:rowOff>0</xdr:rowOff>
    </xdr:from>
    <xdr:to>
      <xdr:col>5</xdr:col>
      <xdr:colOff>0</xdr:colOff>
      <xdr:row>27</xdr:row>
      <xdr:rowOff>0</xdr:rowOff>
    </xdr:to>
    <xdr:cxnSp macro="">
      <xdr:nvCxnSpPr>
        <xdr:cNvPr id="34" name="Conector recto 33">
          <a:extLst>
            <a:ext uri="{FF2B5EF4-FFF2-40B4-BE49-F238E27FC236}">
              <a16:creationId xmlns:a16="http://schemas.microsoft.com/office/drawing/2014/main" id="{775DF709-CF75-4631-94E6-9B1F0D8A0DC7}"/>
            </a:ext>
          </a:extLst>
        </xdr:cNvPr>
        <xdr:cNvCxnSpPr/>
      </xdr:nvCxnSpPr>
      <xdr:spPr>
        <a:xfrm>
          <a:off x="2030730" y="5124450"/>
          <a:ext cx="320802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xdr:colOff>
      <xdr:row>36</xdr:row>
      <xdr:rowOff>0</xdr:rowOff>
    </xdr:from>
    <xdr:to>
      <xdr:col>5</xdr:col>
      <xdr:colOff>0</xdr:colOff>
      <xdr:row>36</xdr:row>
      <xdr:rowOff>0</xdr:rowOff>
    </xdr:to>
    <xdr:cxnSp macro="">
      <xdr:nvCxnSpPr>
        <xdr:cNvPr id="35" name="Conector recto 34">
          <a:extLst>
            <a:ext uri="{FF2B5EF4-FFF2-40B4-BE49-F238E27FC236}">
              <a16:creationId xmlns:a16="http://schemas.microsoft.com/office/drawing/2014/main" id="{CB3F4016-E4FA-4326-9C6C-85C91DF1B0A5}"/>
            </a:ext>
          </a:extLst>
        </xdr:cNvPr>
        <xdr:cNvCxnSpPr/>
      </xdr:nvCxnSpPr>
      <xdr:spPr>
        <a:xfrm>
          <a:off x="2021205" y="6753225"/>
          <a:ext cx="321754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70697</xdr:colOff>
      <xdr:row>54</xdr:row>
      <xdr:rowOff>177165</xdr:rowOff>
    </xdr:from>
    <xdr:ext cx="1408863" cy="732906"/>
    <xdr:pic>
      <xdr:nvPicPr>
        <xdr:cNvPr id="36" name="Imagen 35">
          <a:extLst>
            <a:ext uri="{FF2B5EF4-FFF2-40B4-BE49-F238E27FC236}">
              <a16:creationId xmlns:a16="http://schemas.microsoft.com/office/drawing/2014/main" id="{A971ADCB-E789-4CD7-9173-F105401499FE}"/>
            </a:ext>
          </a:extLst>
        </xdr:cNvPr>
        <xdr:cNvPicPr>
          <a:picLocks noChangeAspect="1"/>
        </xdr:cNvPicPr>
      </xdr:nvPicPr>
      <xdr:blipFill>
        <a:blip xmlns:r="http://schemas.openxmlformats.org/officeDocument/2006/relationships" r:embed="rId18"/>
        <a:stretch>
          <a:fillRect/>
        </a:stretch>
      </xdr:blipFill>
      <xdr:spPr>
        <a:xfrm>
          <a:off x="68792" y="10184130"/>
          <a:ext cx="1408863" cy="732906"/>
        </a:xfrm>
        <a:prstGeom prst="rect">
          <a:avLst/>
        </a:prstGeom>
      </xdr:spPr>
    </xdr:pic>
    <xdr:clientData/>
  </xdr:oneCellAnchor>
  <xdr:oneCellAnchor>
    <xdr:from>
      <xdr:col>0</xdr:col>
      <xdr:colOff>504700</xdr:colOff>
      <xdr:row>5</xdr:row>
      <xdr:rowOff>165643</xdr:rowOff>
    </xdr:from>
    <xdr:ext cx="524494" cy="524494"/>
    <xdr:pic>
      <xdr:nvPicPr>
        <xdr:cNvPr id="37" name="Imagen 36">
          <a:extLst>
            <a:ext uri="{FF2B5EF4-FFF2-40B4-BE49-F238E27FC236}">
              <a16:creationId xmlns:a16="http://schemas.microsoft.com/office/drawing/2014/main" id="{157B3253-455D-44CE-90A9-8338BF41E13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6605" y="1293403"/>
          <a:ext cx="524494" cy="524494"/>
        </a:xfrm>
        <a:prstGeom prst="rect">
          <a:avLst/>
        </a:prstGeom>
      </xdr:spPr>
    </xdr:pic>
    <xdr:clientData/>
  </xdr:oneCellAnchor>
  <xdr:oneCellAnchor>
    <xdr:from>
      <xdr:col>24</xdr:col>
      <xdr:colOff>534391</xdr:colOff>
      <xdr:row>6</xdr:row>
      <xdr:rowOff>22558</xdr:rowOff>
    </xdr:from>
    <xdr:ext cx="484907" cy="484907"/>
    <xdr:pic>
      <xdr:nvPicPr>
        <xdr:cNvPr id="38" name="Imagen 37">
          <a:extLst>
            <a:ext uri="{FF2B5EF4-FFF2-40B4-BE49-F238E27FC236}">
              <a16:creationId xmlns:a16="http://schemas.microsoft.com/office/drawing/2014/main" id="{17E54254-654A-4965-A2DD-53F14A83A44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2116" y="1323673"/>
          <a:ext cx="484907" cy="484907"/>
        </a:xfrm>
        <a:prstGeom prst="rect">
          <a:avLst/>
        </a:prstGeom>
      </xdr:spPr>
    </xdr:pic>
    <xdr:clientData/>
  </xdr:oneCellAnchor>
  <xdr:twoCellAnchor>
    <xdr:from>
      <xdr:col>0</xdr:col>
      <xdr:colOff>56779</xdr:colOff>
      <xdr:row>11</xdr:row>
      <xdr:rowOff>43345</xdr:rowOff>
    </xdr:from>
    <xdr:to>
      <xdr:col>1</xdr:col>
      <xdr:colOff>704479</xdr:colOff>
      <xdr:row>16</xdr:row>
      <xdr:rowOff>126003</xdr:rowOff>
    </xdr:to>
    <xdr:sp macro="" textlink="">
      <xdr:nvSpPr>
        <xdr:cNvPr id="39" name="Rectángulo: esquinas redondeadas 38">
          <a:hlinkClick xmlns:r="http://schemas.openxmlformats.org/officeDocument/2006/relationships" r:id="rId21"/>
          <a:extLst>
            <a:ext uri="{FF2B5EF4-FFF2-40B4-BE49-F238E27FC236}">
              <a16:creationId xmlns:a16="http://schemas.microsoft.com/office/drawing/2014/main" id="{0CF91FBF-D023-416A-B594-D4CC86752F73}"/>
            </a:ext>
          </a:extLst>
        </xdr:cNvPr>
        <xdr:cNvSpPr/>
      </xdr:nvSpPr>
      <xdr:spPr>
        <a:xfrm>
          <a:off x="60589" y="2274100"/>
          <a:ext cx="1438275" cy="98943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LIDER SALA VENTAS</a:t>
          </a:r>
        </a:p>
      </xdr:txBody>
    </xdr:sp>
    <xdr:clientData/>
  </xdr:twoCellAnchor>
  <xdr:twoCellAnchor>
    <xdr:from>
      <xdr:col>0</xdr:col>
      <xdr:colOff>60736</xdr:colOff>
      <xdr:row>16</xdr:row>
      <xdr:rowOff>166057</xdr:rowOff>
    </xdr:from>
    <xdr:to>
      <xdr:col>1</xdr:col>
      <xdr:colOff>708436</xdr:colOff>
      <xdr:row>22</xdr:row>
      <xdr:rowOff>70584</xdr:rowOff>
    </xdr:to>
    <xdr:sp macro="" textlink="">
      <xdr:nvSpPr>
        <xdr:cNvPr id="40" name="Rectángulo: esquinas redondeadas 39">
          <a:hlinkClick xmlns:r="http://schemas.openxmlformats.org/officeDocument/2006/relationships" r:id="rId22"/>
          <a:extLst>
            <a:ext uri="{FF2B5EF4-FFF2-40B4-BE49-F238E27FC236}">
              <a16:creationId xmlns:a16="http://schemas.microsoft.com/office/drawing/2014/main" id="{A6DCE647-4231-41AE-8C15-E3384BAD9A2C}"/>
            </a:ext>
          </a:extLst>
        </xdr:cNvPr>
        <xdr:cNvSpPr/>
      </xdr:nvSpPr>
      <xdr:spPr>
        <a:xfrm>
          <a:off x="56926" y="3303592"/>
          <a:ext cx="1438275" cy="984662"/>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ASESOR COMERCIAL</a:t>
          </a:r>
        </a:p>
      </xdr:txBody>
    </xdr:sp>
    <xdr:clientData/>
  </xdr:twoCellAnchor>
  <xdr:twoCellAnchor>
    <xdr:from>
      <xdr:col>0</xdr:col>
      <xdr:colOff>44903</xdr:colOff>
      <xdr:row>22</xdr:row>
      <xdr:rowOff>120533</xdr:rowOff>
    </xdr:from>
    <xdr:to>
      <xdr:col>1</xdr:col>
      <xdr:colOff>692603</xdr:colOff>
      <xdr:row>28</xdr:row>
      <xdr:rowOff>25061</xdr:rowOff>
    </xdr:to>
    <xdr:sp macro="" textlink="">
      <xdr:nvSpPr>
        <xdr:cNvPr id="41" name="Rectángulo: esquinas redondeadas 40">
          <a:hlinkClick xmlns:r="http://schemas.openxmlformats.org/officeDocument/2006/relationships" r:id="rId23"/>
          <a:extLst>
            <a:ext uri="{FF2B5EF4-FFF2-40B4-BE49-F238E27FC236}">
              <a16:creationId xmlns:a16="http://schemas.microsoft.com/office/drawing/2014/main" id="{8A91D5E4-2B5B-4DAC-9FAC-3E6AEB0F33C0}"/>
            </a:ext>
          </a:extLst>
        </xdr:cNvPr>
        <xdr:cNvSpPr/>
      </xdr:nvSpPr>
      <xdr:spPr>
        <a:xfrm>
          <a:off x="46808" y="4342013"/>
          <a:ext cx="1438275" cy="984663"/>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t>
          </a:r>
          <a:r>
            <a:rPr lang="es-CO" sz="600">
              <a:solidFill>
                <a:schemeClr val="accent1"/>
              </a:solidFill>
              <a:latin typeface="Artifakt Element Heavy" panose="020B0B03050000020004" pitchFamily="34" charset="0"/>
              <a:ea typeface="Artifakt Element Heavy" panose="020B0B03050000020004" pitchFamily="34" charset="0"/>
            </a:rPr>
            <a:t>ASESOR COMERCIAL ADMON</a:t>
          </a:r>
          <a:endParaRPr lang="es-CO" sz="700">
            <a:solidFill>
              <a:schemeClr val="accent1"/>
            </a:solidFill>
            <a:latin typeface="Artifakt Element Heavy" panose="020B0B03050000020004" pitchFamily="34" charset="0"/>
            <a:ea typeface="Artifakt Element Heavy" panose="020B0B03050000020004" pitchFamily="34" charset="0"/>
          </a:endParaRPr>
        </a:p>
      </xdr:txBody>
    </xdr:sp>
    <xdr:clientData/>
  </xdr:twoCellAnchor>
  <xdr:oneCellAnchor>
    <xdr:from>
      <xdr:col>0</xdr:col>
      <xdr:colOff>508659</xdr:colOff>
      <xdr:row>11</xdr:row>
      <xdr:rowOff>80537</xdr:rowOff>
    </xdr:from>
    <xdr:ext cx="524494" cy="524494"/>
    <xdr:pic>
      <xdr:nvPicPr>
        <xdr:cNvPr id="42" name="Imagen 41">
          <a:extLst>
            <a:ext uri="{FF2B5EF4-FFF2-40B4-BE49-F238E27FC236}">
              <a16:creationId xmlns:a16="http://schemas.microsoft.com/office/drawing/2014/main" id="{40EB5F1E-5688-4088-AC28-7C5A64FC605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12469" y="2311292"/>
          <a:ext cx="524494" cy="524494"/>
        </a:xfrm>
        <a:prstGeom prst="rect">
          <a:avLst/>
        </a:prstGeom>
      </xdr:spPr>
    </xdr:pic>
    <xdr:clientData/>
  </xdr:oneCellAnchor>
  <xdr:oneCellAnchor>
    <xdr:from>
      <xdr:col>0</xdr:col>
      <xdr:colOff>502721</xdr:colOff>
      <xdr:row>17</xdr:row>
      <xdr:rowOff>15223</xdr:rowOff>
    </xdr:from>
    <xdr:ext cx="524494" cy="524494"/>
    <xdr:pic>
      <xdr:nvPicPr>
        <xdr:cNvPr id="43" name="Imagen 42">
          <a:extLst>
            <a:ext uri="{FF2B5EF4-FFF2-40B4-BE49-F238E27FC236}">
              <a16:creationId xmlns:a16="http://schemas.microsoft.com/office/drawing/2014/main" id="{4F4CA603-B06D-4F3B-BA18-18D12F01538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4626" y="3333733"/>
          <a:ext cx="524494" cy="524494"/>
        </a:xfrm>
        <a:prstGeom prst="rect">
          <a:avLst/>
        </a:prstGeom>
      </xdr:spPr>
    </xdr:pic>
    <xdr:clientData/>
  </xdr:oneCellAnchor>
  <xdr:oneCellAnchor>
    <xdr:from>
      <xdr:col>0</xdr:col>
      <xdr:colOff>506679</xdr:colOff>
      <xdr:row>22</xdr:row>
      <xdr:rowOff>157726</xdr:rowOff>
    </xdr:from>
    <xdr:ext cx="524494" cy="524494"/>
    <xdr:pic>
      <xdr:nvPicPr>
        <xdr:cNvPr id="44" name="Imagen 43">
          <a:extLst>
            <a:ext uri="{FF2B5EF4-FFF2-40B4-BE49-F238E27FC236}">
              <a16:creationId xmlns:a16="http://schemas.microsoft.com/office/drawing/2014/main" id="{2911EB7D-B8FC-4C10-B7C3-16FCB767254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8584" y="4379206"/>
          <a:ext cx="524494" cy="524494"/>
        </a:xfrm>
        <a:prstGeom prst="rect">
          <a:avLst/>
        </a:prstGeom>
      </xdr:spPr>
    </xdr:pic>
    <xdr:clientData/>
  </xdr:oneCellAnchor>
  <xdr:twoCellAnchor>
    <xdr:from>
      <xdr:col>24</xdr:col>
      <xdr:colOff>60738</xdr:colOff>
      <xdr:row>11</xdr:row>
      <xdr:rowOff>50099</xdr:rowOff>
    </xdr:from>
    <xdr:to>
      <xdr:col>24</xdr:col>
      <xdr:colOff>1500126</xdr:colOff>
      <xdr:row>16</xdr:row>
      <xdr:rowOff>122489</xdr:rowOff>
    </xdr:to>
    <xdr:sp macro="" textlink="">
      <xdr:nvSpPr>
        <xdr:cNvPr id="45" name="Rectángulo: esquinas redondeadas 44">
          <a:hlinkClick xmlns:r="http://schemas.openxmlformats.org/officeDocument/2006/relationships" r:id="rId24"/>
          <a:extLst>
            <a:ext uri="{FF2B5EF4-FFF2-40B4-BE49-F238E27FC236}">
              <a16:creationId xmlns:a16="http://schemas.microsoft.com/office/drawing/2014/main" id="{2664AEA1-B4D7-44FE-A2AA-90A97FAB004D}"/>
            </a:ext>
          </a:extLst>
        </xdr:cNvPr>
        <xdr:cNvSpPr/>
      </xdr:nvSpPr>
      <xdr:spPr>
        <a:xfrm>
          <a:off x="23764653" y="2282759"/>
          <a:ext cx="1447008" cy="97536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LIDER SALA DE VENTAS</a:t>
          </a:r>
        </a:p>
      </xdr:txBody>
    </xdr:sp>
    <xdr:clientData/>
  </xdr:twoCellAnchor>
  <xdr:oneCellAnchor>
    <xdr:from>
      <xdr:col>24</xdr:col>
      <xdr:colOff>528454</xdr:colOff>
      <xdr:row>11</xdr:row>
      <xdr:rowOff>135373</xdr:rowOff>
    </xdr:from>
    <xdr:ext cx="484907" cy="484907"/>
    <xdr:pic>
      <xdr:nvPicPr>
        <xdr:cNvPr id="46" name="Imagen 45">
          <a:extLst>
            <a:ext uri="{FF2B5EF4-FFF2-40B4-BE49-F238E27FC236}">
              <a16:creationId xmlns:a16="http://schemas.microsoft.com/office/drawing/2014/main" id="{CBA2DE8F-F4C8-4D6E-9978-1D67FF39D0F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4274" y="2360413"/>
          <a:ext cx="484907" cy="484907"/>
        </a:xfrm>
        <a:prstGeom prst="rect">
          <a:avLst/>
        </a:prstGeom>
      </xdr:spPr>
    </xdr:pic>
    <xdr:clientData/>
  </xdr:oneCellAnchor>
  <xdr:twoCellAnchor>
    <xdr:from>
      <xdr:col>24</xdr:col>
      <xdr:colOff>64698</xdr:colOff>
      <xdr:row>16</xdr:row>
      <xdr:rowOff>172811</xdr:rowOff>
    </xdr:from>
    <xdr:to>
      <xdr:col>24</xdr:col>
      <xdr:colOff>1504086</xdr:colOff>
      <xdr:row>22</xdr:row>
      <xdr:rowOff>67070</xdr:rowOff>
    </xdr:to>
    <xdr:sp macro="" textlink="">
      <xdr:nvSpPr>
        <xdr:cNvPr id="47" name="Rectángulo: esquinas redondeadas 46">
          <a:hlinkClick xmlns:r="http://schemas.openxmlformats.org/officeDocument/2006/relationships" r:id="rId25"/>
          <a:extLst>
            <a:ext uri="{FF2B5EF4-FFF2-40B4-BE49-F238E27FC236}">
              <a16:creationId xmlns:a16="http://schemas.microsoft.com/office/drawing/2014/main" id="{8CA21583-C0D8-4E33-BA0D-B430CC62B516}"/>
            </a:ext>
          </a:extLst>
        </xdr:cNvPr>
        <xdr:cNvSpPr/>
      </xdr:nvSpPr>
      <xdr:spPr>
        <a:xfrm>
          <a:off x="23768613" y="3302726"/>
          <a:ext cx="1447008" cy="982014"/>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ASESOR COMERCIAL</a:t>
          </a:r>
        </a:p>
      </xdr:txBody>
    </xdr:sp>
    <xdr:clientData/>
  </xdr:twoCellAnchor>
  <xdr:oneCellAnchor>
    <xdr:from>
      <xdr:col>24</xdr:col>
      <xdr:colOff>532414</xdr:colOff>
      <xdr:row>17</xdr:row>
      <xdr:rowOff>79955</xdr:rowOff>
    </xdr:from>
    <xdr:ext cx="484907" cy="484907"/>
    <xdr:pic>
      <xdr:nvPicPr>
        <xdr:cNvPr id="48" name="Imagen 47">
          <a:extLst>
            <a:ext uri="{FF2B5EF4-FFF2-40B4-BE49-F238E27FC236}">
              <a16:creationId xmlns:a16="http://schemas.microsoft.com/office/drawing/2014/main" id="{2EE8A182-8302-41DF-9E44-A06671CE07D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0139" y="3394655"/>
          <a:ext cx="484907" cy="484907"/>
        </a:xfrm>
        <a:prstGeom prst="rect">
          <a:avLst/>
        </a:prstGeom>
      </xdr:spPr>
    </xdr:pic>
    <xdr:clientData/>
  </xdr:oneCellAnchor>
  <xdr:twoCellAnchor>
    <xdr:from>
      <xdr:col>24</xdr:col>
      <xdr:colOff>58760</xdr:colOff>
      <xdr:row>22</xdr:row>
      <xdr:rowOff>117392</xdr:rowOff>
    </xdr:from>
    <xdr:to>
      <xdr:col>24</xdr:col>
      <xdr:colOff>1498148</xdr:colOff>
      <xdr:row>28</xdr:row>
      <xdr:rowOff>11652</xdr:rowOff>
    </xdr:to>
    <xdr:sp macro="" textlink="">
      <xdr:nvSpPr>
        <xdr:cNvPr id="49" name="Rectángulo: esquinas redondeadas 48">
          <a:hlinkClick xmlns:r="http://schemas.openxmlformats.org/officeDocument/2006/relationships" r:id="rId26"/>
          <a:extLst>
            <a:ext uri="{FF2B5EF4-FFF2-40B4-BE49-F238E27FC236}">
              <a16:creationId xmlns:a16="http://schemas.microsoft.com/office/drawing/2014/main" id="{C68822EE-A7E9-4726-A4C3-97462E7F3C63}"/>
            </a:ext>
          </a:extLst>
        </xdr:cNvPr>
        <xdr:cNvSpPr/>
      </xdr:nvSpPr>
      <xdr:spPr>
        <a:xfrm>
          <a:off x="23762675" y="4336967"/>
          <a:ext cx="1447008" cy="98392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ASESOR COMERCIAL ADMON</a:t>
          </a:r>
        </a:p>
      </xdr:txBody>
    </xdr:sp>
    <xdr:clientData/>
  </xdr:twoCellAnchor>
  <xdr:oneCellAnchor>
    <xdr:from>
      <xdr:col>24</xdr:col>
      <xdr:colOff>526476</xdr:colOff>
      <xdr:row>23</xdr:row>
      <xdr:rowOff>24536</xdr:rowOff>
    </xdr:from>
    <xdr:ext cx="484907" cy="484907"/>
    <xdr:pic>
      <xdr:nvPicPr>
        <xdr:cNvPr id="50" name="Imagen 49">
          <a:extLst>
            <a:ext uri="{FF2B5EF4-FFF2-40B4-BE49-F238E27FC236}">
              <a16:creationId xmlns:a16="http://schemas.microsoft.com/office/drawing/2014/main" id="{B36F35AC-19B6-40B7-91A5-D0353A9E9BE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2296" y="4421276"/>
          <a:ext cx="484907" cy="484907"/>
        </a:xfrm>
        <a:prstGeom prst="rect">
          <a:avLst/>
        </a:prstGeom>
      </xdr:spPr>
    </xdr:pic>
    <xdr:clientData/>
  </xdr:oneCellAnchor>
  <xdr:twoCellAnchor>
    <xdr:from>
      <xdr:col>3</xdr:col>
      <xdr:colOff>57149</xdr:colOff>
      <xdr:row>9</xdr:row>
      <xdr:rowOff>20956</xdr:rowOff>
    </xdr:from>
    <xdr:to>
      <xdr:col>4</xdr:col>
      <xdr:colOff>1227116</xdr:colOff>
      <xdr:row>10</xdr:row>
      <xdr:rowOff>98962</xdr:rowOff>
    </xdr:to>
    <xdr:sp macro="" textlink="$A$65">
      <xdr:nvSpPr>
        <xdr:cNvPr id="51" name="Rectángulo 50">
          <a:extLst>
            <a:ext uri="{FF2B5EF4-FFF2-40B4-BE49-F238E27FC236}">
              <a16:creationId xmlns:a16="http://schemas.microsoft.com/office/drawing/2014/main" id="{5E04E54D-68C1-41DB-BEA7-46E1A01535CA}"/>
            </a:ext>
          </a:extLst>
        </xdr:cNvPr>
        <xdr:cNvSpPr/>
      </xdr:nvSpPr>
      <xdr:spPr>
        <a:xfrm>
          <a:off x="2080259" y="1884046"/>
          <a:ext cx="2777787"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3D07D8-2C8A-4E10-82FE-573E7CD5990F}" type="TxLink">
            <a:rPr lang="en-US" sz="900" b="1" i="0" u="none" strike="noStrike">
              <a:solidFill>
                <a:srgbClr val="000000"/>
              </a:solidFill>
              <a:latin typeface="Aptos Narrow"/>
            </a:rPr>
            <a:pPr algn="l"/>
            <a:t>Estrategia y Planificación Comercial</a:t>
          </a:fld>
          <a:endParaRPr lang="es-CO" sz="1100">
            <a:solidFill>
              <a:sysClr val="windowText" lastClr="000000"/>
            </a:solidFill>
          </a:endParaRPr>
        </a:p>
      </xdr:txBody>
    </xdr:sp>
    <xdr:clientData/>
  </xdr:twoCellAnchor>
  <xdr:twoCellAnchor>
    <xdr:from>
      <xdr:col>3</xdr:col>
      <xdr:colOff>1206500</xdr:colOff>
      <xdr:row>26</xdr:row>
      <xdr:rowOff>127001</xdr:rowOff>
    </xdr:from>
    <xdr:to>
      <xdr:col>5</xdr:col>
      <xdr:colOff>266700</xdr:colOff>
      <xdr:row>39</xdr:row>
      <xdr:rowOff>76201</xdr:rowOff>
    </xdr:to>
    <xdr:graphicFrame macro="">
      <xdr:nvGraphicFramePr>
        <xdr:cNvPr id="52" name="Gráfico 51">
          <a:extLst>
            <a:ext uri="{FF2B5EF4-FFF2-40B4-BE49-F238E27FC236}">
              <a16:creationId xmlns:a16="http://schemas.microsoft.com/office/drawing/2014/main" id="{09CFF26A-C58D-4728-9778-77AF9454A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482600</xdr:colOff>
      <xdr:row>30</xdr:row>
      <xdr:rowOff>133301</xdr:rowOff>
    </xdr:from>
    <xdr:to>
      <xdr:col>4</xdr:col>
      <xdr:colOff>1415077</xdr:colOff>
      <xdr:row>34</xdr:row>
      <xdr:rowOff>121871</xdr:rowOff>
    </xdr:to>
    <xdr:sp macro="" textlink="$B$73">
      <xdr:nvSpPr>
        <xdr:cNvPr id="53" name="Rectángulo 52">
          <a:extLst>
            <a:ext uri="{FF2B5EF4-FFF2-40B4-BE49-F238E27FC236}">
              <a16:creationId xmlns:a16="http://schemas.microsoft.com/office/drawing/2014/main" id="{A923F074-1307-4633-86F2-C5D0210F96FE}"/>
            </a:ext>
          </a:extLst>
        </xdr:cNvPr>
        <xdr:cNvSpPr/>
      </xdr:nvSpPr>
      <xdr:spPr>
        <a:xfrm>
          <a:off x="410781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12F86-146D-46A1-819C-080CBABE43EE}" type="TxLink">
            <a:rPr lang="en-US" sz="2400" b="0" i="0" u="none" strike="noStrike">
              <a:solidFill>
                <a:schemeClr val="accent2"/>
              </a:solidFill>
              <a:latin typeface="Bahnschrift SemiBold SemiConden" panose="020B0502040204020203" pitchFamily="34" charset="0"/>
            </a:rPr>
            <a:pPr algn="l"/>
            <a:t>83%</a:t>
          </a:fld>
          <a:endParaRPr lang="es-CO" sz="7200" b="1">
            <a:solidFill>
              <a:schemeClr val="accent2"/>
            </a:solidFill>
            <a:latin typeface="Bahnschrift SemiBold SemiConden" panose="020B0502040204020203" pitchFamily="34" charset="0"/>
          </a:endParaRPr>
        </a:p>
      </xdr:txBody>
    </xdr:sp>
    <xdr:clientData/>
  </xdr:twoCellAnchor>
  <xdr:twoCellAnchor>
    <xdr:from>
      <xdr:col>2</xdr:col>
      <xdr:colOff>9898</xdr:colOff>
      <xdr:row>27</xdr:row>
      <xdr:rowOff>62593</xdr:rowOff>
    </xdr:from>
    <xdr:to>
      <xdr:col>4</xdr:col>
      <xdr:colOff>258124</xdr:colOff>
      <xdr:row>37</xdr:row>
      <xdr:rowOff>49480</xdr:rowOff>
    </xdr:to>
    <xdr:graphicFrame macro="">
      <xdr:nvGraphicFramePr>
        <xdr:cNvPr id="54" name="Gráfico 53">
          <a:extLst>
            <a:ext uri="{FF2B5EF4-FFF2-40B4-BE49-F238E27FC236}">
              <a16:creationId xmlns:a16="http://schemas.microsoft.com/office/drawing/2014/main" id="{81941CE5-D0C4-4FE0-8EB9-1F4C2A117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12064</xdr:colOff>
      <xdr:row>27</xdr:row>
      <xdr:rowOff>78105</xdr:rowOff>
    </xdr:from>
    <xdr:to>
      <xdr:col>4</xdr:col>
      <xdr:colOff>1085767</xdr:colOff>
      <xdr:row>29</xdr:row>
      <xdr:rowOff>0</xdr:rowOff>
    </xdr:to>
    <xdr:sp macro="" textlink="$A$67">
      <xdr:nvSpPr>
        <xdr:cNvPr id="55" name="Rectángulo 54">
          <a:extLst>
            <a:ext uri="{FF2B5EF4-FFF2-40B4-BE49-F238E27FC236}">
              <a16:creationId xmlns:a16="http://schemas.microsoft.com/office/drawing/2014/main" id="{8A07EE18-403D-4B17-97FD-53048BC019F9}"/>
            </a:ext>
          </a:extLst>
        </xdr:cNvPr>
        <xdr:cNvSpPr/>
      </xdr:nvSpPr>
      <xdr:spPr>
        <a:xfrm>
          <a:off x="2035174" y="5202555"/>
          <a:ext cx="2683428"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8E57EB-F09B-4A66-A074-95FAF6C5C1F3}"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3</xdr:col>
      <xdr:colOff>419100</xdr:colOff>
      <xdr:row>30</xdr:row>
      <xdr:rowOff>172712</xdr:rowOff>
    </xdr:from>
    <xdr:to>
      <xdr:col>3</xdr:col>
      <xdr:colOff>1359066</xdr:colOff>
      <xdr:row>34</xdr:row>
      <xdr:rowOff>150182</xdr:rowOff>
    </xdr:to>
    <xdr:sp macro="" textlink="$B$67">
      <xdr:nvSpPr>
        <xdr:cNvPr id="56" name="Rectángulo 55">
          <a:extLst>
            <a:ext uri="{FF2B5EF4-FFF2-40B4-BE49-F238E27FC236}">
              <a16:creationId xmlns:a16="http://schemas.microsoft.com/office/drawing/2014/main" id="{02A0CD15-5D14-4F87-A46B-C433C83928C3}"/>
            </a:ext>
          </a:extLst>
        </xdr:cNvPr>
        <xdr:cNvSpPr/>
      </xdr:nvSpPr>
      <xdr:spPr>
        <a:xfrm>
          <a:off x="2438400" y="58362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531075-0DF5-47F5-9E0C-35FB255065FF}"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46355</xdr:colOff>
      <xdr:row>36</xdr:row>
      <xdr:rowOff>77470</xdr:rowOff>
    </xdr:from>
    <xdr:to>
      <xdr:col>4</xdr:col>
      <xdr:colOff>401320</xdr:colOff>
      <xdr:row>38</xdr:row>
      <xdr:rowOff>12700</xdr:rowOff>
    </xdr:to>
    <xdr:sp macro="" textlink="$A$68">
      <xdr:nvSpPr>
        <xdr:cNvPr id="57" name="Rectángulo 56">
          <a:extLst>
            <a:ext uri="{FF2B5EF4-FFF2-40B4-BE49-F238E27FC236}">
              <a16:creationId xmlns:a16="http://schemas.microsoft.com/office/drawing/2014/main" id="{14F947FB-B661-46BD-997D-A83360629193}"/>
            </a:ext>
          </a:extLst>
        </xdr:cNvPr>
        <xdr:cNvSpPr/>
      </xdr:nvSpPr>
      <xdr:spPr>
        <a:xfrm>
          <a:off x="2067560" y="6830695"/>
          <a:ext cx="195897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54BDE8-124D-4AF6-B77A-C0F17417990D}" type="TxLink">
            <a:rPr lang="en-US" sz="900" b="1" i="0" u="none" strike="noStrike">
              <a:solidFill>
                <a:srgbClr val="000000"/>
              </a:solidFill>
              <a:latin typeface="Aptos Narrow"/>
            </a:rPr>
            <a:pPr algn="l"/>
            <a:t>Gestión Documental y Procesos Legales/Internos</a:t>
          </a:fld>
          <a:endParaRPr lang="es-CO" sz="1100">
            <a:solidFill>
              <a:sysClr val="windowText" lastClr="000000"/>
            </a:solidFill>
          </a:endParaRPr>
        </a:p>
      </xdr:txBody>
    </xdr:sp>
    <xdr:clientData/>
  </xdr:twoCellAnchor>
  <xdr:twoCellAnchor>
    <xdr:from>
      <xdr:col>2</xdr:col>
      <xdr:colOff>38100</xdr:colOff>
      <xdr:row>36</xdr:row>
      <xdr:rowOff>63500</xdr:rowOff>
    </xdr:from>
    <xdr:to>
      <xdr:col>4</xdr:col>
      <xdr:colOff>286326</xdr:colOff>
      <xdr:row>46</xdr:row>
      <xdr:rowOff>63087</xdr:rowOff>
    </xdr:to>
    <xdr:graphicFrame macro="">
      <xdr:nvGraphicFramePr>
        <xdr:cNvPr id="58" name="Gráfico 57">
          <a:extLst>
            <a:ext uri="{FF2B5EF4-FFF2-40B4-BE49-F238E27FC236}">
              <a16:creationId xmlns:a16="http://schemas.microsoft.com/office/drawing/2014/main" id="{7A4C2B1D-5272-4D2E-B450-3A8E100B6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431800</xdr:colOff>
      <xdr:row>40</xdr:row>
      <xdr:rowOff>33919</xdr:rowOff>
    </xdr:from>
    <xdr:to>
      <xdr:col>3</xdr:col>
      <xdr:colOff>1374568</xdr:colOff>
      <xdr:row>44</xdr:row>
      <xdr:rowOff>11389</xdr:rowOff>
    </xdr:to>
    <xdr:sp macro="" textlink="$B$68">
      <xdr:nvSpPr>
        <xdr:cNvPr id="59" name="Rectángulo 58">
          <a:extLst>
            <a:ext uri="{FF2B5EF4-FFF2-40B4-BE49-F238E27FC236}">
              <a16:creationId xmlns:a16="http://schemas.microsoft.com/office/drawing/2014/main" id="{A3E31CE4-D236-4733-B60D-A0AB3F6D9188}"/>
            </a:ext>
          </a:extLst>
        </xdr:cNvPr>
        <xdr:cNvSpPr/>
      </xdr:nvSpPr>
      <xdr:spPr>
        <a:xfrm>
          <a:off x="2454910" y="7509139"/>
          <a:ext cx="938958"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397614-A3C7-4E47-969D-F2E581A381A7}" type="TxLink">
            <a:rPr lang="en-US" sz="2400" b="0" i="0" u="none" strike="noStrike">
              <a:solidFill>
                <a:schemeClr val="tx2">
                  <a:lumMod val="50000"/>
                  <a:lumOff val="50000"/>
                </a:schemeClr>
              </a:solidFill>
              <a:latin typeface="Bahnschrift SemiBold SemiConden" panose="020B0502040204020203" pitchFamily="34" charset="0"/>
            </a:rPr>
            <a:pPr algn="l"/>
            <a:t>10%</a:t>
          </a:fld>
          <a:endParaRPr lang="es-CO" sz="4800">
            <a:solidFill>
              <a:schemeClr val="tx2">
                <a:lumMod val="50000"/>
                <a:lumOff val="50000"/>
              </a:schemeClr>
            </a:solidFill>
            <a:latin typeface="Bahnschrift SemiBold SemiConden" panose="020B0502040204020203" pitchFamily="34" charset="0"/>
          </a:endParaRPr>
        </a:p>
      </xdr:txBody>
    </xdr:sp>
    <xdr:clientData/>
  </xdr:twoCellAnchor>
  <xdr:twoCellAnchor>
    <xdr:from>
      <xdr:col>3</xdr:col>
      <xdr:colOff>1168400</xdr:colOff>
      <xdr:row>35</xdr:row>
      <xdr:rowOff>25400</xdr:rowOff>
    </xdr:from>
    <xdr:to>
      <xdr:col>5</xdr:col>
      <xdr:colOff>266700</xdr:colOff>
      <xdr:row>49</xdr:row>
      <xdr:rowOff>76200</xdr:rowOff>
    </xdr:to>
    <xdr:graphicFrame macro="">
      <xdr:nvGraphicFramePr>
        <xdr:cNvPr id="60" name="Gráfico 59">
          <a:extLst>
            <a:ext uri="{FF2B5EF4-FFF2-40B4-BE49-F238E27FC236}">
              <a16:creationId xmlns:a16="http://schemas.microsoft.com/office/drawing/2014/main" id="{920D3BE9-69E4-4144-86E6-05CC2B70B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431800</xdr:colOff>
      <xdr:row>39</xdr:row>
      <xdr:rowOff>126206</xdr:rowOff>
    </xdr:from>
    <xdr:to>
      <xdr:col>4</xdr:col>
      <xdr:colOff>1287219</xdr:colOff>
      <xdr:row>43</xdr:row>
      <xdr:rowOff>114776</xdr:rowOff>
    </xdr:to>
    <xdr:sp macro="" textlink="$B$74">
      <xdr:nvSpPr>
        <xdr:cNvPr id="61" name="Rectángulo 60">
          <a:extLst>
            <a:ext uri="{FF2B5EF4-FFF2-40B4-BE49-F238E27FC236}">
              <a16:creationId xmlns:a16="http://schemas.microsoft.com/office/drawing/2014/main" id="{BAFBC636-9DD5-457D-A790-B3979C21BC34}"/>
            </a:ext>
          </a:extLst>
        </xdr:cNvPr>
        <xdr:cNvSpPr/>
      </xdr:nvSpPr>
      <xdr:spPr>
        <a:xfrm>
          <a:off x="406463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CF9677-B3B5-4374-B430-B5B9F02553B2}" type="TxLink">
            <a:rPr lang="en-US" sz="2400" b="0" i="0" u="none" strike="noStrike">
              <a:solidFill>
                <a:schemeClr val="accent2"/>
              </a:solidFill>
              <a:latin typeface="Bahnschrift SemiBold SemiConden" panose="020B0502040204020203" pitchFamily="34" charset="0"/>
            </a:rPr>
            <a:pPr algn="l"/>
            <a:t>92%</a:t>
          </a:fld>
          <a:endParaRPr lang="es-CO" sz="16600" b="1">
            <a:solidFill>
              <a:schemeClr val="accent2"/>
            </a:solidFill>
            <a:latin typeface="Bahnschrift SemiBold SemiConden" panose="020B0502040204020203" pitchFamily="34" charset="0"/>
          </a:endParaRPr>
        </a:p>
      </xdr:txBody>
    </xdr:sp>
    <xdr:clientData/>
  </xdr:twoCellAnchor>
  <xdr:twoCellAnchor>
    <xdr:from>
      <xdr:col>5</xdr:col>
      <xdr:colOff>278951</xdr:colOff>
      <xdr:row>8</xdr:row>
      <xdr:rowOff>184892</xdr:rowOff>
    </xdr:from>
    <xdr:to>
      <xdr:col>7</xdr:col>
      <xdr:colOff>315686</xdr:colOff>
      <xdr:row>19</xdr:row>
      <xdr:rowOff>14185</xdr:rowOff>
    </xdr:to>
    <xdr:graphicFrame macro="">
      <xdr:nvGraphicFramePr>
        <xdr:cNvPr id="62" name="Gráfico 61">
          <a:extLst>
            <a:ext uri="{FF2B5EF4-FFF2-40B4-BE49-F238E27FC236}">
              <a16:creationId xmlns:a16="http://schemas.microsoft.com/office/drawing/2014/main" id="{C59AF1C2-0551-46AB-89EC-9ADE721AB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1215240</xdr:colOff>
      <xdr:row>6</xdr:row>
      <xdr:rowOff>104570</xdr:rowOff>
    </xdr:from>
    <xdr:to>
      <xdr:col>8</xdr:col>
      <xdr:colOff>228599</xdr:colOff>
      <xdr:row>21</xdr:row>
      <xdr:rowOff>127000</xdr:rowOff>
    </xdr:to>
    <xdr:graphicFrame macro="">
      <xdr:nvGraphicFramePr>
        <xdr:cNvPr id="63" name="Gráfico 62">
          <a:extLst>
            <a:ext uri="{FF2B5EF4-FFF2-40B4-BE49-F238E27FC236}">
              <a16:creationId xmlns:a16="http://schemas.microsoft.com/office/drawing/2014/main" id="{81F81A06-C6E6-4766-8A33-55C7510B6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xdr:col>
      <xdr:colOff>1232848</xdr:colOff>
      <xdr:row>16</xdr:row>
      <xdr:rowOff>125102</xdr:rowOff>
    </xdr:from>
    <xdr:to>
      <xdr:col>8</xdr:col>
      <xdr:colOff>330200</xdr:colOff>
      <xdr:row>31</xdr:row>
      <xdr:rowOff>63500</xdr:rowOff>
    </xdr:to>
    <xdr:graphicFrame macro="">
      <xdr:nvGraphicFramePr>
        <xdr:cNvPr id="64" name="Gráfico 63">
          <a:extLst>
            <a:ext uri="{FF2B5EF4-FFF2-40B4-BE49-F238E27FC236}">
              <a16:creationId xmlns:a16="http://schemas.microsoft.com/office/drawing/2014/main" id="{123A3CB6-F195-4603-BC44-F44A9E70F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264397</xdr:colOff>
      <xdr:row>17</xdr:row>
      <xdr:rowOff>152728</xdr:rowOff>
    </xdr:from>
    <xdr:to>
      <xdr:col>7</xdr:col>
      <xdr:colOff>349662</xdr:colOff>
      <xdr:row>27</xdr:row>
      <xdr:rowOff>162296</xdr:rowOff>
    </xdr:to>
    <xdr:graphicFrame macro="">
      <xdr:nvGraphicFramePr>
        <xdr:cNvPr id="65" name="Gráfico 64">
          <a:extLst>
            <a:ext uri="{FF2B5EF4-FFF2-40B4-BE49-F238E27FC236}">
              <a16:creationId xmlns:a16="http://schemas.microsoft.com/office/drawing/2014/main" id="{2CC3691E-FB3D-4765-8096-F6225DC29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xdr:col>
      <xdr:colOff>596900</xdr:colOff>
      <xdr:row>12</xdr:row>
      <xdr:rowOff>93188</xdr:rowOff>
    </xdr:from>
    <xdr:to>
      <xdr:col>6</xdr:col>
      <xdr:colOff>1469242</xdr:colOff>
      <xdr:row>16</xdr:row>
      <xdr:rowOff>60803</xdr:rowOff>
    </xdr:to>
    <xdr:sp macro="" textlink="$B$79">
      <xdr:nvSpPr>
        <xdr:cNvPr id="66" name="Rectángulo 65">
          <a:extLst>
            <a:ext uri="{FF2B5EF4-FFF2-40B4-BE49-F238E27FC236}">
              <a16:creationId xmlns:a16="http://schemas.microsoft.com/office/drawing/2014/main" id="{5B15E81E-466A-41C2-8C0B-5308418A39C9}"/>
            </a:ext>
          </a:extLst>
        </xdr:cNvPr>
        <xdr:cNvSpPr/>
      </xdr:nvSpPr>
      <xdr:spPr>
        <a:xfrm>
          <a:off x="6241415" y="2506823"/>
          <a:ext cx="872342"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6BCCF-D0AA-4E12-A142-E04E7285F328}"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34290</xdr:colOff>
      <xdr:row>18</xdr:row>
      <xdr:rowOff>55245</xdr:rowOff>
    </xdr:from>
    <xdr:to>
      <xdr:col>7</xdr:col>
      <xdr:colOff>1068780</xdr:colOff>
      <xdr:row>20</xdr:row>
      <xdr:rowOff>0</xdr:rowOff>
    </xdr:to>
    <xdr:sp macro="" textlink="$A$80">
      <xdr:nvSpPr>
        <xdr:cNvPr id="67" name="Rectángulo 66">
          <a:extLst>
            <a:ext uri="{FF2B5EF4-FFF2-40B4-BE49-F238E27FC236}">
              <a16:creationId xmlns:a16="http://schemas.microsoft.com/office/drawing/2014/main" id="{77F7DC22-5D56-486F-99F9-DB1354DF0FA1}"/>
            </a:ext>
          </a:extLst>
        </xdr:cNvPr>
        <xdr:cNvSpPr/>
      </xdr:nvSpPr>
      <xdr:spPr>
        <a:xfrm>
          <a:off x="568261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17D805-10F0-443C-8F68-0FB57E349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6</xdr:col>
      <xdr:colOff>596900</xdr:colOff>
      <xdr:row>21</xdr:row>
      <xdr:rowOff>84562</xdr:rowOff>
    </xdr:from>
    <xdr:to>
      <xdr:col>6</xdr:col>
      <xdr:colOff>1432626</xdr:colOff>
      <xdr:row>25</xdr:row>
      <xdr:rowOff>57892</xdr:rowOff>
    </xdr:to>
    <xdr:sp macro="" textlink="$B$80">
      <xdr:nvSpPr>
        <xdr:cNvPr id="68" name="Rectángulo 67">
          <a:extLst>
            <a:ext uri="{FF2B5EF4-FFF2-40B4-BE49-F238E27FC236}">
              <a16:creationId xmlns:a16="http://schemas.microsoft.com/office/drawing/2014/main" id="{454E5820-DFC8-4F23-985A-272D5945BEFF}"/>
            </a:ext>
          </a:extLst>
        </xdr:cNvPr>
        <xdr:cNvSpPr/>
      </xdr:nvSpPr>
      <xdr:spPr>
        <a:xfrm>
          <a:off x="6241415" y="41250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2A036D-9C6E-4E79-A643-0D978971BDA2}"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508001</xdr:colOff>
      <xdr:row>12</xdr:row>
      <xdr:rowOff>107052</xdr:rowOff>
    </xdr:from>
    <xdr:to>
      <xdr:col>7</xdr:col>
      <xdr:colOff>1377151</xdr:colOff>
      <xdr:row>16</xdr:row>
      <xdr:rowOff>86097</xdr:rowOff>
    </xdr:to>
    <xdr:sp macro="" textlink="$B$85">
      <xdr:nvSpPr>
        <xdr:cNvPr id="69" name="Rectángulo 68">
          <a:extLst>
            <a:ext uri="{FF2B5EF4-FFF2-40B4-BE49-F238E27FC236}">
              <a16:creationId xmlns:a16="http://schemas.microsoft.com/office/drawing/2014/main" id="{CE34C7C7-09A2-4CF7-9CF6-47953FA3D377}"/>
            </a:ext>
          </a:extLst>
        </xdr:cNvPr>
        <xdr:cNvSpPr/>
      </xdr:nvSpPr>
      <xdr:spPr>
        <a:xfrm>
          <a:off x="777938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164A49-02F3-4C92-B32B-7DFAD6F12063}" type="TxLink">
            <a:rPr lang="en-US" sz="2400" b="0" i="0" u="none" strike="noStrike">
              <a:solidFill>
                <a:schemeClr val="accent2"/>
              </a:solidFill>
              <a:latin typeface="Bahnschrift SemiBold Condensed" panose="020B0502040204020203" pitchFamily="34" charset="0"/>
            </a:rPr>
            <a:pPr algn="l"/>
            <a:t>72%</a:t>
          </a:fld>
          <a:endParaRPr lang="es-CO" sz="2400" b="1">
            <a:solidFill>
              <a:schemeClr val="accent2"/>
            </a:solidFill>
            <a:latin typeface="Bahnschrift SemiBold Condensed" panose="020B0502040204020203" pitchFamily="34" charset="0"/>
          </a:endParaRPr>
        </a:p>
      </xdr:txBody>
    </xdr:sp>
    <xdr:clientData/>
  </xdr:twoCellAnchor>
  <xdr:twoCellAnchor>
    <xdr:from>
      <xdr:col>7</xdr:col>
      <xdr:colOff>469900</xdr:colOff>
      <xdr:row>21</xdr:row>
      <xdr:rowOff>64664</xdr:rowOff>
    </xdr:from>
    <xdr:to>
      <xdr:col>7</xdr:col>
      <xdr:colOff>1471773</xdr:colOff>
      <xdr:row>25</xdr:row>
      <xdr:rowOff>45614</xdr:rowOff>
    </xdr:to>
    <xdr:sp macro="" textlink="$B$86">
      <xdr:nvSpPr>
        <xdr:cNvPr id="70" name="Rectángulo 69">
          <a:extLst>
            <a:ext uri="{FF2B5EF4-FFF2-40B4-BE49-F238E27FC236}">
              <a16:creationId xmlns:a16="http://schemas.microsoft.com/office/drawing/2014/main" id="{1E5C0D13-9E25-4D39-8070-87AF44CCFEC8}"/>
            </a:ext>
          </a:extLst>
        </xdr:cNvPr>
        <xdr:cNvSpPr/>
      </xdr:nvSpPr>
      <xdr:spPr>
        <a:xfrm>
          <a:off x="7741285" y="4099454"/>
          <a:ext cx="994253"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A7C717-D3BA-4729-B3C3-5B856689DDD1}" type="TxLink">
            <a:rPr lang="en-US" sz="2400" b="0" i="0" u="none" strike="noStrike">
              <a:solidFill>
                <a:schemeClr val="accent2"/>
              </a:solidFill>
              <a:latin typeface="Bahnschrift SemiBold Condensed" panose="020B0502040204020203" pitchFamily="34" charset="0"/>
            </a:rPr>
            <a:pPr algn="l"/>
            <a:t>92%</a:t>
          </a:fld>
          <a:endParaRPr lang="es-CO" sz="2400" b="1">
            <a:solidFill>
              <a:schemeClr val="accent2"/>
            </a:solidFill>
            <a:latin typeface="Bahnschrift SemiBold Condensed" panose="020B0502040204020203" pitchFamily="34" charset="0"/>
          </a:endParaRPr>
        </a:p>
      </xdr:txBody>
    </xdr:sp>
    <xdr:clientData/>
  </xdr:twoCellAnchor>
  <xdr:twoCellAnchor>
    <xdr:from>
      <xdr:col>6</xdr:col>
      <xdr:colOff>15240</xdr:colOff>
      <xdr:row>18</xdr:row>
      <xdr:rowOff>0</xdr:rowOff>
    </xdr:from>
    <xdr:to>
      <xdr:col>8</xdr:col>
      <xdr:colOff>9525</xdr:colOff>
      <xdr:row>18</xdr:row>
      <xdr:rowOff>0</xdr:rowOff>
    </xdr:to>
    <xdr:cxnSp macro="">
      <xdr:nvCxnSpPr>
        <xdr:cNvPr id="71" name="Conector recto 70">
          <a:extLst>
            <a:ext uri="{FF2B5EF4-FFF2-40B4-BE49-F238E27FC236}">
              <a16:creationId xmlns:a16="http://schemas.microsoft.com/office/drawing/2014/main" id="{770E22F9-A205-4277-8062-44B18222D524}"/>
            </a:ext>
          </a:extLst>
        </xdr:cNvPr>
        <xdr:cNvCxnSpPr/>
      </xdr:nvCxnSpPr>
      <xdr:spPr>
        <a:xfrm>
          <a:off x="566737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27</xdr:row>
      <xdr:rowOff>0</xdr:rowOff>
    </xdr:from>
    <xdr:to>
      <xdr:col>8</xdr:col>
      <xdr:colOff>0</xdr:colOff>
      <xdr:row>27</xdr:row>
      <xdr:rowOff>0</xdr:rowOff>
    </xdr:to>
    <xdr:cxnSp macro="">
      <xdr:nvCxnSpPr>
        <xdr:cNvPr id="72" name="Conector recto 71">
          <a:extLst>
            <a:ext uri="{FF2B5EF4-FFF2-40B4-BE49-F238E27FC236}">
              <a16:creationId xmlns:a16="http://schemas.microsoft.com/office/drawing/2014/main" id="{7BB11907-F699-4B92-B618-21CDE25CB35E}"/>
            </a:ext>
          </a:extLst>
        </xdr:cNvPr>
        <xdr:cNvCxnSpPr/>
      </xdr:nvCxnSpPr>
      <xdr:spPr>
        <a:xfrm>
          <a:off x="565975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xdr:colOff>
      <xdr:row>36</xdr:row>
      <xdr:rowOff>0</xdr:rowOff>
    </xdr:from>
    <xdr:to>
      <xdr:col>8</xdr:col>
      <xdr:colOff>0</xdr:colOff>
      <xdr:row>36</xdr:row>
      <xdr:rowOff>0</xdr:rowOff>
    </xdr:to>
    <xdr:cxnSp macro="">
      <xdr:nvCxnSpPr>
        <xdr:cNvPr id="73" name="Conector recto 72">
          <a:extLst>
            <a:ext uri="{FF2B5EF4-FFF2-40B4-BE49-F238E27FC236}">
              <a16:creationId xmlns:a16="http://schemas.microsoft.com/office/drawing/2014/main" id="{A84AF7D9-F2BB-4579-9B02-7A3BC6A3F08E}"/>
            </a:ext>
          </a:extLst>
        </xdr:cNvPr>
        <xdr:cNvCxnSpPr/>
      </xdr:nvCxnSpPr>
      <xdr:spPr>
        <a:xfrm>
          <a:off x="565023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57149</xdr:colOff>
      <xdr:row>9</xdr:row>
      <xdr:rowOff>20956</xdr:rowOff>
    </xdr:from>
    <xdr:to>
      <xdr:col>7</xdr:col>
      <xdr:colOff>1227116</xdr:colOff>
      <xdr:row>10</xdr:row>
      <xdr:rowOff>98962</xdr:rowOff>
    </xdr:to>
    <xdr:sp macro="" textlink="$A$79">
      <xdr:nvSpPr>
        <xdr:cNvPr id="74" name="Rectángulo 73">
          <a:extLst>
            <a:ext uri="{FF2B5EF4-FFF2-40B4-BE49-F238E27FC236}">
              <a16:creationId xmlns:a16="http://schemas.microsoft.com/office/drawing/2014/main" id="{128B2364-DDEF-45D1-8079-7DF18CF72395}"/>
            </a:ext>
          </a:extLst>
        </xdr:cNvPr>
        <xdr:cNvSpPr/>
      </xdr:nvSpPr>
      <xdr:spPr>
        <a:xfrm>
          <a:off x="570928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1EE6F-6A54-4B7B-A189-E53EB6002616}"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6</xdr:col>
      <xdr:colOff>1206500</xdr:colOff>
      <xdr:row>26</xdr:row>
      <xdr:rowOff>127001</xdr:rowOff>
    </xdr:from>
    <xdr:to>
      <xdr:col>8</xdr:col>
      <xdr:colOff>266700</xdr:colOff>
      <xdr:row>39</xdr:row>
      <xdr:rowOff>76201</xdr:rowOff>
    </xdr:to>
    <xdr:graphicFrame macro="">
      <xdr:nvGraphicFramePr>
        <xdr:cNvPr id="75" name="Gráfico 74">
          <a:extLst>
            <a:ext uri="{FF2B5EF4-FFF2-40B4-BE49-F238E27FC236}">
              <a16:creationId xmlns:a16="http://schemas.microsoft.com/office/drawing/2014/main" id="{BA5562BF-9B6D-4E15-83CC-E377AD5C3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482600</xdr:colOff>
      <xdr:row>30</xdr:row>
      <xdr:rowOff>133301</xdr:rowOff>
    </xdr:from>
    <xdr:to>
      <xdr:col>7</xdr:col>
      <xdr:colOff>1415077</xdr:colOff>
      <xdr:row>34</xdr:row>
      <xdr:rowOff>121871</xdr:rowOff>
    </xdr:to>
    <xdr:sp macro="" textlink="$B$87">
      <xdr:nvSpPr>
        <xdr:cNvPr id="76" name="Rectángulo 75">
          <a:extLst>
            <a:ext uri="{FF2B5EF4-FFF2-40B4-BE49-F238E27FC236}">
              <a16:creationId xmlns:a16="http://schemas.microsoft.com/office/drawing/2014/main" id="{70821DB4-2D17-43AC-818F-EA2C952FB98C}"/>
            </a:ext>
          </a:extLst>
        </xdr:cNvPr>
        <xdr:cNvSpPr/>
      </xdr:nvSpPr>
      <xdr:spPr>
        <a:xfrm>
          <a:off x="774636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BDFB86-966E-449E-BDC5-239E0FC32BE7}" type="TxLink">
            <a:rPr lang="en-US" sz="2400" b="0" i="0" u="none" strike="noStrike">
              <a:solidFill>
                <a:schemeClr val="accent2"/>
              </a:solidFill>
              <a:latin typeface="Bahnschrift SemiBold Condensed" panose="020B0502040204020203" pitchFamily="34" charset="0"/>
            </a:rPr>
            <a:pPr algn="l"/>
            <a:t>87%</a:t>
          </a:fld>
          <a:endParaRPr lang="es-CO" sz="2400" b="1">
            <a:solidFill>
              <a:schemeClr val="accent2"/>
            </a:solidFill>
            <a:latin typeface="Bahnschrift SemiBold Condensed" panose="020B0502040204020203" pitchFamily="34" charset="0"/>
          </a:endParaRPr>
        </a:p>
      </xdr:txBody>
    </xdr:sp>
    <xdr:clientData/>
  </xdr:twoCellAnchor>
  <xdr:twoCellAnchor>
    <xdr:from>
      <xdr:col>5</xdr:col>
      <xdr:colOff>174998</xdr:colOff>
      <xdr:row>27</xdr:row>
      <xdr:rowOff>37193</xdr:rowOff>
    </xdr:from>
    <xdr:to>
      <xdr:col>7</xdr:col>
      <xdr:colOff>423224</xdr:colOff>
      <xdr:row>37</xdr:row>
      <xdr:rowOff>24080</xdr:rowOff>
    </xdr:to>
    <xdr:graphicFrame macro="">
      <xdr:nvGraphicFramePr>
        <xdr:cNvPr id="77" name="Gráfico 76">
          <a:extLst>
            <a:ext uri="{FF2B5EF4-FFF2-40B4-BE49-F238E27FC236}">
              <a16:creationId xmlns:a16="http://schemas.microsoft.com/office/drawing/2014/main" id="{42085899-B8C5-4349-A245-C02044061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xdr:col>
      <xdr:colOff>12064</xdr:colOff>
      <xdr:row>27</xdr:row>
      <xdr:rowOff>78105</xdr:rowOff>
    </xdr:from>
    <xdr:to>
      <xdr:col>7</xdr:col>
      <xdr:colOff>1085767</xdr:colOff>
      <xdr:row>29</xdr:row>
      <xdr:rowOff>0</xdr:rowOff>
    </xdr:to>
    <xdr:sp macro="" textlink="$A$81">
      <xdr:nvSpPr>
        <xdr:cNvPr id="78" name="Rectángulo 77">
          <a:extLst>
            <a:ext uri="{FF2B5EF4-FFF2-40B4-BE49-F238E27FC236}">
              <a16:creationId xmlns:a16="http://schemas.microsoft.com/office/drawing/2014/main" id="{9D6203B2-7AB6-475A-9B21-6F9D8478E55C}"/>
            </a:ext>
          </a:extLst>
        </xdr:cNvPr>
        <xdr:cNvSpPr/>
      </xdr:nvSpPr>
      <xdr:spPr>
        <a:xfrm>
          <a:off x="566419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A5438E-EC18-4990-9213-56745D4C6EB4}"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6</xdr:col>
      <xdr:colOff>622300</xdr:colOff>
      <xdr:row>30</xdr:row>
      <xdr:rowOff>134612</xdr:rowOff>
    </xdr:from>
    <xdr:to>
      <xdr:col>6</xdr:col>
      <xdr:colOff>1562266</xdr:colOff>
      <xdr:row>34</xdr:row>
      <xdr:rowOff>112082</xdr:rowOff>
    </xdr:to>
    <xdr:sp macro="" textlink="$B$81">
      <xdr:nvSpPr>
        <xdr:cNvPr id="79" name="Rectángulo 78">
          <a:extLst>
            <a:ext uri="{FF2B5EF4-FFF2-40B4-BE49-F238E27FC236}">
              <a16:creationId xmlns:a16="http://schemas.microsoft.com/office/drawing/2014/main" id="{ACA453EC-A3A7-4416-B243-57977A697804}"/>
            </a:ext>
          </a:extLst>
        </xdr:cNvPr>
        <xdr:cNvSpPr/>
      </xdr:nvSpPr>
      <xdr:spPr>
        <a:xfrm>
          <a:off x="6274435" y="57981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95023-431B-43D4-BF99-CD7BF615958B}"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46355</xdr:colOff>
      <xdr:row>36</xdr:row>
      <xdr:rowOff>77470</xdr:rowOff>
    </xdr:from>
    <xdr:to>
      <xdr:col>7</xdr:col>
      <xdr:colOff>401320</xdr:colOff>
      <xdr:row>38</xdr:row>
      <xdr:rowOff>12700</xdr:rowOff>
    </xdr:to>
    <xdr:sp macro="" textlink="$A$82">
      <xdr:nvSpPr>
        <xdr:cNvPr id="80" name="Rectángulo 79">
          <a:extLst>
            <a:ext uri="{FF2B5EF4-FFF2-40B4-BE49-F238E27FC236}">
              <a16:creationId xmlns:a16="http://schemas.microsoft.com/office/drawing/2014/main" id="{A64B2D78-1C6F-493A-B43A-1CEF526D887A}"/>
            </a:ext>
          </a:extLst>
        </xdr:cNvPr>
        <xdr:cNvSpPr/>
      </xdr:nvSpPr>
      <xdr:spPr>
        <a:xfrm>
          <a:off x="569658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DBF6AA-E184-4443-8F92-62BAF0EEFBB1}"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6</xdr:col>
      <xdr:colOff>647700</xdr:colOff>
      <xdr:row>39</xdr:row>
      <xdr:rowOff>173619</xdr:rowOff>
    </xdr:from>
    <xdr:to>
      <xdr:col>6</xdr:col>
      <xdr:colOff>1590468</xdr:colOff>
      <xdr:row>43</xdr:row>
      <xdr:rowOff>151089</xdr:rowOff>
    </xdr:to>
    <xdr:sp macro="" textlink="$B$82">
      <xdr:nvSpPr>
        <xdr:cNvPr id="81" name="Rectángulo 80">
          <a:extLst>
            <a:ext uri="{FF2B5EF4-FFF2-40B4-BE49-F238E27FC236}">
              <a16:creationId xmlns:a16="http://schemas.microsoft.com/office/drawing/2014/main" id="{F39994A9-3056-47DA-BC34-35BDABFACE4E}"/>
            </a:ext>
          </a:extLst>
        </xdr:cNvPr>
        <xdr:cNvSpPr/>
      </xdr:nvSpPr>
      <xdr:spPr>
        <a:xfrm>
          <a:off x="6296025" y="7465959"/>
          <a:ext cx="940863"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5D155C-DC7A-43AF-A755-DB7C4A1603E6}"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508000</xdr:colOff>
      <xdr:row>39</xdr:row>
      <xdr:rowOff>126206</xdr:rowOff>
    </xdr:from>
    <xdr:to>
      <xdr:col>7</xdr:col>
      <xdr:colOff>1363419</xdr:colOff>
      <xdr:row>43</xdr:row>
      <xdr:rowOff>114776</xdr:rowOff>
    </xdr:to>
    <xdr:sp macro="" textlink="$B$88">
      <xdr:nvSpPr>
        <xdr:cNvPr id="82" name="Rectángulo 81">
          <a:extLst>
            <a:ext uri="{FF2B5EF4-FFF2-40B4-BE49-F238E27FC236}">
              <a16:creationId xmlns:a16="http://schemas.microsoft.com/office/drawing/2014/main" id="{BFEB4896-C17C-46E7-818F-3EE5262D30C0}"/>
            </a:ext>
          </a:extLst>
        </xdr:cNvPr>
        <xdr:cNvSpPr/>
      </xdr:nvSpPr>
      <xdr:spPr>
        <a:xfrm>
          <a:off x="777938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432BF6-9D50-402A-A629-A32CF816319F}"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278951</xdr:colOff>
      <xdr:row>8</xdr:row>
      <xdr:rowOff>184892</xdr:rowOff>
    </xdr:from>
    <xdr:to>
      <xdr:col>10</xdr:col>
      <xdr:colOff>315686</xdr:colOff>
      <xdr:row>19</xdr:row>
      <xdr:rowOff>14185</xdr:rowOff>
    </xdr:to>
    <xdr:graphicFrame macro="">
      <xdr:nvGraphicFramePr>
        <xdr:cNvPr id="83" name="Gráfico 82">
          <a:extLst>
            <a:ext uri="{FF2B5EF4-FFF2-40B4-BE49-F238E27FC236}">
              <a16:creationId xmlns:a16="http://schemas.microsoft.com/office/drawing/2014/main" id="{D8485288-9575-4B9A-BF85-9B29D2558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9</xdr:col>
      <xdr:colOff>1215240</xdr:colOff>
      <xdr:row>6</xdr:row>
      <xdr:rowOff>104570</xdr:rowOff>
    </xdr:from>
    <xdr:to>
      <xdr:col>11</xdr:col>
      <xdr:colOff>228599</xdr:colOff>
      <xdr:row>21</xdr:row>
      <xdr:rowOff>127000</xdr:rowOff>
    </xdr:to>
    <xdr:graphicFrame macro="">
      <xdr:nvGraphicFramePr>
        <xdr:cNvPr id="84" name="Gráfico 83">
          <a:extLst>
            <a:ext uri="{FF2B5EF4-FFF2-40B4-BE49-F238E27FC236}">
              <a16:creationId xmlns:a16="http://schemas.microsoft.com/office/drawing/2014/main" id="{74EFF71F-7F4F-44C9-880B-D84EB4464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9</xdr:col>
      <xdr:colOff>1232848</xdr:colOff>
      <xdr:row>16</xdr:row>
      <xdr:rowOff>125102</xdr:rowOff>
    </xdr:from>
    <xdr:to>
      <xdr:col>11</xdr:col>
      <xdr:colOff>330200</xdr:colOff>
      <xdr:row>31</xdr:row>
      <xdr:rowOff>63500</xdr:rowOff>
    </xdr:to>
    <xdr:graphicFrame macro="">
      <xdr:nvGraphicFramePr>
        <xdr:cNvPr id="85" name="Gráfico 84">
          <a:extLst>
            <a:ext uri="{FF2B5EF4-FFF2-40B4-BE49-F238E27FC236}">
              <a16:creationId xmlns:a16="http://schemas.microsoft.com/office/drawing/2014/main" id="{92B50F02-7B95-41D5-8700-442731756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264397</xdr:colOff>
      <xdr:row>17</xdr:row>
      <xdr:rowOff>152728</xdr:rowOff>
    </xdr:from>
    <xdr:to>
      <xdr:col>10</xdr:col>
      <xdr:colOff>349662</xdr:colOff>
      <xdr:row>27</xdr:row>
      <xdr:rowOff>162296</xdr:rowOff>
    </xdr:to>
    <xdr:graphicFrame macro="">
      <xdr:nvGraphicFramePr>
        <xdr:cNvPr id="86" name="Gráfico 85">
          <a:extLst>
            <a:ext uri="{FF2B5EF4-FFF2-40B4-BE49-F238E27FC236}">
              <a16:creationId xmlns:a16="http://schemas.microsoft.com/office/drawing/2014/main" id="{08522078-A3CA-4B97-9BB8-15EC0926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9</xdr:col>
      <xdr:colOff>558800</xdr:colOff>
      <xdr:row>12</xdr:row>
      <xdr:rowOff>105888</xdr:rowOff>
    </xdr:from>
    <xdr:to>
      <xdr:col>9</xdr:col>
      <xdr:colOff>1431142</xdr:colOff>
      <xdr:row>16</xdr:row>
      <xdr:rowOff>73503</xdr:rowOff>
    </xdr:to>
    <xdr:sp macro="" textlink="$B$93">
      <xdr:nvSpPr>
        <xdr:cNvPr id="87" name="Rectángulo 86">
          <a:extLst>
            <a:ext uri="{FF2B5EF4-FFF2-40B4-BE49-F238E27FC236}">
              <a16:creationId xmlns:a16="http://schemas.microsoft.com/office/drawing/2014/main" id="{3188F9C7-C4D8-4FA2-93FD-9889A601C65B}"/>
            </a:ext>
          </a:extLst>
        </xdr:cNvPr>
        <xdr:cNvSpPr/>
      </xdr:nvSpPr>
      <xdr:spPr>
        <a:xfrm>
          <a:off x="9851390"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BBA8C0-2E14-4D16-92AB-8D90ED5788C3}"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34290</xdr:colOff>
      <xdr:row>18</xdr:row>
      <xdr:rowOff>55245</xdr:rowOff>
    </xdr:from>
    <xdr:to>
      <xdr:col>10</xdr:col>
      <xdr:colOff>1068780</xdr:colOff>
      <xdr:row>20</xdr:row>
      <xdr:rowOff>0</xdr:rowOff>
    </xdr:to>
    <xdr:sp macro="" textlink="$A$94">
      <xdr:nvSpPr>
        <xdr:cNvPr id="88" name="Rectángulo 87">
          <a:extLst>
            <a:ext uri="{FF2B5EF4-FFF2-40B4-BE49-F238E27FC236}">
              <a16:creationId xmlns:a16="http://schemas.microsoft.com/office/drawing/2014/main" id="{B6D60B63-E868-4283-B594-1FD8C07EF17B}"/>
            </a:ext>
          </a:extLst>
        </xdr:cNvPr>
        <xdr:cNvSpPr/>
      </xdr:nvSpPr>
      <xdr:spPr>
        <a:xfrm>
          <a:off x="9330690"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98879F-4A37-4BC9-B19C-17E17EC5F519}"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9</xdr:col>
      <xdr:colOff>571500</xdr:colOff>
      <xdr:row>21</xdr:row>
      <xdr:rowOff>97262</xdr:rowOff>
    </xdr:from>
    <xdr:to>
      <xdr:col>9</xdr:col>
      <xdr:colOff>1407226</xdr:colOff>
      <xdr:row>25</xdr:row>
      <xdr:rowOff>70592</xdr:rowOff>
    </xdr:to>
    <xdr:sp macro="" textlink="$B$94">
      <xdr:nvSpPr>
        <xdr:cNvPr id="89" name="Rectángulo 88">
          <a:extLst>
            <a:ext uri="{FF2B5EF4-FFF2-40B4-BE49-F238E27FC236}">
              <a16:creationId xmlns:a16="http://schemas.microsoft.com/office/drawing/2014/main" id="{E2F0E587-6C4F-418C-A034-FFFF59E34DE4}"/>
            </a:ext>
          </a:extLst>
        </xdr:cNvPr>
        <xdr:cNvSpPr/>
      </xdr:nvSpPr>
      <xdr:spPr>
        <a:xfrm>
          <a:off x="9867900"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F3FFE1-D581-47EB-9959-42160BB39F7D}"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10</xdr:col>
      <xdr:colOff>543561</xdr:colOff>
      <xdr:row>12</xdr:row>
      <xdr:rowOff>96892</xdr:rowOff>
    </xdr:from>
    <xdr:to>
      <xdr:col>10</xdr:col>
      <xdr:colOff>1412711</xdr:colOff>
      <xdr:row>16</xdr:row>
      <xdr:rowOff>75937</xdr:rowOff>
    </xdr:to>
    <xdr:sp macro="" textlink="$B$99">
      <xdr:nvSpPr>
        <xdr:cNvPr id="90" name="Rectángulo 89">
          <a:extLst>
            <a:ext uri="{FF2B5EF4-FFF2-40B4-BE49-F238E27FC236}">
              <a16:creationId xmlns:a16="http://schemas.microsoft.com/office/drawing/2014/main" id="{495D0D94-44EA-4F37-B928-164BA1FC4B7B}"/>
            </a:ext>
          </a:extLst>
        </xdr:cNvPr>
        <xdr:cNvSpPr/>
      </xdr:nvSpPr>
      <xdr:spPr>
        <a:xfrm>
          <a:off x="11461116" y="2502907"/>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F6FAFB-0228-43BB-B7D9-6FACB8C4D6E8}" type="TxLink">
            <a:rPr lang="en-US" sz="2400" b="0" i="0" u="none" strike="noStrike">
              <a:solidFill>
                <a:schemeClr val="accent2"/>
              </a:solidFill>
              <a:latin typeface="Bahnschrift SemiBold Condensed" panose="020B0502040204020203" pitchFamily="34" charset="0"/>
            </a:rPr>
            <a:pPr algn="l"/>
            <a:t>66%</a:t>
          </a:fld>
          <a:endParaRPr lang="es-CO" sz="2400" b="1">
            <a:solidFill>
              <a:schemeClr val="accent2"/>
            </a:solidFill>
            <a:latin typeface="Bahnschrift SemiBold Condensed" panose="020B0502040204020203" pitchFamily="34" charset="0"/>
          </a:endParaRPr>
        </a:p>
      </xdr:txBody>
    </xdr:sp>
    <xdr:clientData/>
  </xdr:twoCellAnchor>
  <xdr:twoCellAnchor>
    <xdr:from>
      <xdr:col>10</xdr:col>
      <xdr:colOff>505460</xdr:colOff>
      <xdr:row>21</xdr:row>
      <xdr:rowOff>39264</xdr:rowOff>
    </xdr:from>
    <xdr:to>
      <xdr:col>10</xdr:col>
      <xdr:colOff>1507333</xdr:colOff>
      <xdr:row>25</xdr:row>
      <xdr:rowOff>20214</xdr:rowOff>
    </xdr:to>
    <xdr:sp macro="" textlink="$B$100">
      <xdr:nvSpPr>
        <xdr:cNvPr id="91" name="Rectángulo 90">
          <a:extLst>
            <a:ext uri="{FF2B5EF4-FFF2-40B4-BE49-F238E27FC236}">
              <a16:creationId xmlns:a16="http://schemas.microsoft.com/office/drawing/2014/main" id="{785FF087-425A-4B95-A41B-9D300FFC5308}"/>
            </a:ext>
          </a:extLst>
        </xdr:cNvPr>
        <xdr:cNvSpPr/>
      </xdr:nvSpPr>
      <xdr:spPr>
        <a:xfrm>
          <a:off x="11423015" y="4077864"/>
          <a:ext cx="996158"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C19981-5E1E-43A2-9ADC-B0DAD7DC0A9F}" type="TxLink">
            <a:rPr lang="en-US" sz="2400" b="0" i="0" u="none" strike="noStrike">
              <a:solidFill>
                <a:schemeClr val="accent2"/>
              </a:solidFill>
              <a:latin typeface="Bahnschrift SemiBold Condensed" panose="020B0502040204020203" pitchFamily="34" charset="0"/>
            </a:rPr>
            <a:pPr algn="l"/>
            <a:t>91%</a:t>
          </a:fld>
          <a:endParaRPr lang="es-CO" sz="2400" b="1">
            <a:solidFill>
              <a:schemeClr val="accent2"/>
            </a:solidFill>
            <a:latin typeface="Bahnschrift SemiBold Condensed" panose="020B0502040204020203" pitchFamily="34" charset="0"/>
          </a:endParaRPr>
        </a:p>
      </xdr:txBody>
    </xdr:sp>
    <xdr:clientData/>
  </xdr:twoCellAnchor>
  <xdr:twoCellAnchor>
    <xdr:from>
      <xdr:col>9</xdr:col>
      <xdr:colOff>15240</xdr:colOff>
      <xdr:row>18</xdr:row>
      <xdr:rowOff>0</xdr:rowOff>
    </xdr:from>
    <xdr:to>
      <xdr:col>11</xdr:col>
      <xdr:colOff>9525</xdr:colOff>
      <xdr:row>18</xdr:row>
      <xdr:rowOff>0</xdr:rowOff>
    </xdr:to>
    <xdr:cxnSp macro="">
      <xdr:nvCxnSpPr>
        <xdr:cNvPr id="92" name="Conector recto 91">
          <a:extLst>
            <a:ext uri="{FF2B5EF4-FFF2-40B4-BE49-F238E27FC236}">
              <a16:creationId xmlns:a16="http://schemas.microsoft.com/office/drawing/2014/main" id="{4D794FCB-A641-4C4B-8991-EFC3166E7B92}"/>
            </a:ext>
          </a:extLst>
        </xdr:cNvPr>
        <xdr:cNvCxnSpPr/>
      </xdr:nvCxnSpPr>
      <xdr:spPr>
        <a:xfrm>
          <a:off x="9315450"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xdr:colOff>
      <xdr:row>27</xdr:row>
      <xdr:rowOff>0</xdr:rowOff>
    </xdr:from>
    <xdr:to>
      <xdr:col>11</xdr:col>
      <xdr:colOff>0</xdr:colOff>
      <xdr:row>27</xdr:row>
      <xdr:rowOff>0</xdr:rowOff>
    </xdr:to>
    <xdr:cxnSp macro="">
      <xdr:nvCxnSpPr>
        <xdr:cNvPr id="93" name="Conector recto 92">
          <a:extLst>
            <a:ext uri="{FF2B5EF4-FFF2-40B4-BE49-F238E27FC236}">
              <a16:creationId xmlns:a16="http://schemas.microsoft.com/office/drawing/2014/main" id="{1CEF01D9-EC04-4B1D-A75C-FC51DC87060D}"/>
            </a:ext>
          </a:extLst>
        </xdr:cNvPr>
        <xdr:cNvCxnSpPr/>
      </xdr:nvCxnSpPr>
      <xdr:spPr>
        <a:xfrm>
          <a:off x="9307830"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xdr:colOff>
      <xdr:row>36</xdr:row>
      <xdr:rowOff>0</xdr:rowOff>
    </xdr:from>
    <xdr:to>
      <xdr:col>11</xdr:col>
      <xdr:colOff>0</xdr:colOff>
      <xdr:row>36</xdr:row>
      <xdr:rowOff>0</xdr:rowOff>
    </xdr:to>
    <xdr:cxnSp macro="">
      <xdr:nvCxnSpPr>
        <xdr:cNvPr id="94" name="Conector recto 93">
          <a:extLst>
            <a:ext uri="{FF2B5EF4-FFF2-40B4-BE49-F238E27FC236}">
              <a16:creationId xmlns:a16="http://schemas.microsoft.com/office/drawing/2014/main" id="{3B6C5A0D-E99F-4B97-A57E-6447F244655E}"/>
            </a:ext>
          </a:extLst>
        </xdr:cNvPr>
        <xdr:cNvCxnSpPr/>
      </xdr:nvCxnSpPr>
      <xdr:spPr>
        <a:xfrm>
          <a:off x="9298305"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57149</xdr:colOff>
      <xdr:row>9</xdr:row>
      <xdr:rowOff>20956</xdr:rowOff>
    </xdr:from>
    <xdr:to>
      <xdr:col>10</xdr:col>
      <xdr:colOff>1227116</xdr:colOff>
      <xdr:row>10</xdr:row>
      <xdr:rowOff>98962</xdr:rowOff>
    </xdr:to>
    <xdr:sp macro="" textlink="$A$93">
      <xdr:nvSpPr>
        <xdr:cNvPr id="95" name="Rectángulo 94">
          <a:extLst>
            <a:ext uri="{FF2B5EF4-FFF2-40B4-BE49-F238E27FC236}">
              <a16:creationId xmlns:a16="http://schemas.microsoft.com/office/drawing/2014/main" id="{E1C1FD8D-4305-4F5B-843A-31B232D72666}"/>
            </a:ext>
          </a:extLst>
        </xdr:cNvPr>
        <xdr:cNvSpPr/>
      </xdr:nvSpPr>
      <xdr:spPr>
        <a:xfrm>
          <a:off x="9357359"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977AE-043E-4B3B-AFCF-8E8260E95B09}"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9</xdr:col>
      <xdr:colOff>1206500</xdr:colOff>
      <xdr:row>26</xdr:row>
      <xdr:rowOff>127001</xdr:rowOff>
    </xdr:from>
    <xdr:to>
      <xdr:col>11</xdr:col>
      <xdr:colOff>266700</xdr:colOff>
      <xdr:row>39</xdr:row>
      <xdr:rowOff>76201</xdr:rowOff>
    </xdr:to>
    <xdr:graphicFrame macro="">
      <xdr:nvGraphicFramePr>
        <xdr:cNvPr id="96" name="Gráfico 95">
          <a:extLst>
            <a:ext uri="{FF2B5EF4-FFF2-40B4-BE49-F238E27FC236}">
              <a16:creationId xmlns:a16="http://schemas.microsoft.com/office/drawing/2014/main" id="{F635B2C9-8E69-4708-AAD4-4A3C1CB82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447040</xdr:colOff>
      <xdr:row>30</xdr:row>
      <xdr:rowOff>107901</xdr:rowOff>
    </xdr:from>
    <xdr:to>
      <xdr:col>10</xdr:col>
      <xdr:colOff>1379517</xdr:colOff>
      <xdr:row>34</xdr:row>
      <xdr:rowOff>96471</xdr:rowOff>
    </xdr:to>
    <xdr:sp macro="" textlink="$B$101">
      <xdr:nvSpPr>
        <xdr:cNvPr id="97" name="Rectángulo 96">
          <a:extLst>
            <a:ext uri="{FF2B5EF4-FFF2-40B4-BE49-F238E27FC236}">
              <a16:creationId xmlns:a16="http://schemas.microsoft.com/office/drawing/2014/main" id="{BBEB5150-6BFF-463A-8D12-A1939E0D7A08}"/>
            </a:ext>
          </a:extLst>
        </xdr:cNvPr>
        <xdr:cNvSpPr/>
      </xdr:nvSpPr>
      <xdr:spPr>
        <a:xfrm>
          <a:off x="11360785" y="5773371"/>
          <a:ext cx="936287"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89741D-677C-474C-AB64-40F26A29BCF0}" type="TxLink">
            <a:rPr lang="en-US" sz="2400" b="0" i="0" u="none" strike="noStrike">
              <a:solidFill>
                <a:schemeClr val="accent2"/>
              </a:solidFill>
              <a:latin typeface="Bahnschrift SemiBold Condensed" panose="020B0502040204020203" pitchFamily="34" charset="0"/>
            </a:rPr>
            <a:pPr algn="l"/>
            <a:t>72%</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174998</xdr:colOff>
      <xdr:row>27</xdr:row>
      <xdr:rowOff>37193</xdr:rowOff>
    </xdr:from>
    <xdr:to>
      <xdr:col>10</xdr:col>
      <xdr:colOff>423224</xdr:colOff>
      <xdr:row>37</xdr:row>
      <xdr:rowOff>24080</xdr:rowOff>
    </xdr:to>
    <xdr:graphicFrame macro="">
      <xdr:nvGraphicFramePr>
        <xdr:cNvPr id="98" name="Gráfico 97">
          <a:extLst>
            <a:ext uri="{FF2B5EF4-FFF2-40B4-BE49-F238E27FC236}">
              <a16:creationId xmlns:a16="http://schemas.microsoft.com/office/drawing/2014/main" id="{CEC51220-D088-4454-AEBE-B9B022A9D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12064</xdr:colOff>
      <xdr:row>27</xdr:row>
      <xdr:rowOff>78105</xdr:rowOff>
    </xdr:from>
    <xdr:to>
      <xdr:col>10</xdr:col>
      <xdr:colOff>1397000</xdr:colOff>
      <xdr:row>29</xdr:row>
      <xdr:rowOff>0</xdr:rowOff>
    </xdr:to>
    <xdr:sp macro="" textlink="$A$95">
      <xdr:nvSpPr>
        <xdr:cNvPr id="99" name="Rectángulo 98">
          <a:extLst>
            <a:ext uri="{FF2B5EF4-FFF2-40B4-BE49-F238E27FC236}">
              <a16:creationId xmlns:a16="http://schemas.microsoft.com/office/drawing/2014/main" id="{9548C253-0656-45F1-A31D-E214B6FD3F6D}"/>
            </a:ext>
          </a:extLst>
        </xdr:cNvPr>
        <xdr:cNvSpPr/>
      </xdr:nvSpPr>
      <xdr:spPr>
        <a:xfrm>
          <a:off x="9312274" y="5202555"/>
          <a:ext cx="2996566"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48BCF8-7E4F-42CC-AFFE-B542E774EA8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9</xdr:col>
      <xdr:colOff>584200</xdr:colOff>
      <xdr:row>30</xdr:row>
      <xdr:rowOff>147312</xdr:rowOff>
    </xdr:from>
    <xdr:to>
      <xdr:col>9</xdr:col>
      <xdr:colOff>1524166</xdr:colOff>
      <xdr:row>34</xdr:row>
      <xdr:rowOff>124782</xdr:rowOff>
    </xdr:to>
    <xdr:sp macro="" textlink="$B$95">
      <xdr:nvSpPr>
        <xdr:cNvPr id="100" name="Rectángulo 99">
          <a:extLst>
            <a:ext uri="{FF2B5EF4-FFF2-40B4-BE49-F238E27FC236}">
              <a16:creationId xmlns:a16="http://schemas.microsoft.com/office/drawing/2014/main" id="{ABB1CC3D-D819-4E2F-9CD1-B3DBB984BBC4}"/>
            </a:ext>
          </a:extLst>
        </xdr:cNvPr>
        <xdr:cNvSpPr/>
      </xdr:nvSpPr>
      <xdr:spPr>
        <a:xfrm>
          <a:off x="9884410"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0BD397-F171-4695-87F7-8EADEFE05782}"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46355</xdr:colOff>
      <xdr:row>36</xdr:row>
      <xdr:rowOff>77470</xdr:rowOff>
    </xdr:from>
    <xdr:to>
      <xdr:col>10</xdr:col>
      <xdr:colOff>1016000</xdr:colOff>
      <xdr:row>38</xdr:row>
      <xdr:rowOff>0</xdr:rowOff>
    </xdr:to>
    <xdr:sp macro="" textlink="$A$96">
      <xdr:nvSpPr>
        <xdr:cNvPr id="101" name="Rectángulo 100">
          <a:extLst>
            <a:ext uri="{FF2B5EF4-FFF2-40B4-BE49-F238E27FC236}">
              <a16:creationId xmlns:a16="http://schemas.microsoft.com/office/drawing/2014/main" id="{E2F141EF-81DC-48E1-89FC-404CDB9CC770}"/>
            </a:ext>
          </a:extLst>
        </xdr:cNvPr>
        <xdr:cNvSpPr/>
      </xdr:nvSpPr>
      <xdr:spPr>
        <a:xfrm>
          <a:off x="9344660" y="6830695"/>
          <a:ext cx="2583180" cy="284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D69B4-D428-41FA-8479-64A896BA7D5B}"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9</xdr:col>
      <xdr:colOff>596900</xdr:colOff>
      <xdr:row>40</xdr:row>
      <xdr:rowOff>8519</xdr:rowOff>
    </xdr:from>
    <xdr:to>
      <xdr:col>9</xdr:col>
      <xdr:colOff>1539668</xdr:colOff>
      <xdr:row>43</xdr:row>
      <xdr:rowOff>163789</xdr:rowOff>
    </xdr:to>
    <xdr:sp macro="" textlink="$B$96">
      <xdr:nvSpPr>
        <xdr:cNvPr id="102" name="Rectángulo 101">
          <a:extLst>
            <a:ext uri="{FF2B5EF4-FFF2-40B4-BE49-F238E27FC236}">
              <a16:creationId xmlns:a16="http://schemas.microsoft.com/office/drawing/2014/main" id="{BF2FF6C6-6787-44CB-937B-4B8B91C6F9A1}"/>
            </a:ext>
          </a:extLst>
        </xdr:cNvPr>
        <xdr:cNvSpPr/>
      </xdr:nvSpPr>
      <xdr:spPr>
        <a:xfrm>
          <a:off x="9889490"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62D859-2E2D-4CDF-9451-4353414B6E4A}"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11</xdr:col>
      <xdr:colOff>278951</xdr:colOff>
      <xdr:row>8</xdr:row>
      <xdr:rowOff>184892</xdr:rowOff>
    </xdr:from>
    <xdr:to>
      <xdr:col>13</xdr:col>
      <xdr:colOff>315686</xdr:colOff>
      <xdr:row>19</xdr:row>
      <xdr:rowOff>14185</xdr:rowOff>
    </xdr:to>
    <xdr:graphicFrame macro="">
      <xdr:nvGraphicFramePr>
        <xdr:cNvPr id="103" name="Gráfico 102">
          <a:extLst>
            <a:ext uri="{FF2B5EF4-FFF2-40B4-BE49-F238E27FC236}">
              <a16:creationId xmlns:a16="http://schemas.microsoft.com/office/drawing/2014/main" id="{D9A3ED5A-4429-4E42-B3FA-E4307D825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xdr:col>
      <xdr:colOff>1215240</xdr:colOff>
      <xdr:row>6</xdr:row>
      <xdr:rowOff>104570</xdr:rowOff>
    </xdr:from>
    <xdr:to>
      <xdr:col>14</xdr:col>
      <xdr:colOff>228599</xdr:colOff>
      <xdr:row>21</xdr:row>
      <xdr:rowOff>127000</xdr:rowOff>
    </xdr:to>
    <xdr:graphicFrame macro="">
      <xdr:nvGraphicFramePr>
        <xdr:cNvPr id="104" name="Gráfico 103">
          <a:extLst>
            <a:ext uri="{FF2B5EF4-FFF2-40B4-BE49-F238E27FC236}">
              <a16:creationId xmlns:a16="http://schemas.microsoft.com/office/drawing/2014/main" id="{B8782098-5E36-4D47-A84F-656573760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11</xdr:col>
      <xdr:colOff>264397</xdr:colOff>
      <xdr:row>17</xdr:row>
      <xdr:rowOff>152728</xdr:rowOff>
    </xdr:from>
    <xdr:to>
      <xdr:col>13</xdr:col>
      <xdr:colOff>349662</xdr:colOff>
      <xdr:row>27</xdr:row>
      <xdr:rowOff>162296</xdr:rowOff>
    </xdr:to>
    <xdr:graphicFrame macro="">
      <xdr:nvGraphicFramePr>
        <xdr:cNvPr id="105" name="Gráfico 104">
          <a:extLst>
            <a:ext uri="{FF2B5EF4-FFF2-40B4-BE49-F238E27FC236}">
              <a16:creationId xmlns:a16="http://schemas.microsoft.com/office/drawing/2014/main" id="{A00913E0-F514-4EA8-B5CE-64F1A1D38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558800</xdr:colOff>
      <xdr:row>12</xdr:row>
      <xdr:rowOff>105888</xdr:rowOff>
    </xdr:from>
    <xdr:to>
      <xdr:col>12</xdr:col>
      <xdr:colOff>1431142</xdr:colOff>
      <xdr:row>16</xdr:row>
      <xdr:rowOff>73503</xdr:rowOff>
    </xdr:to>
    <xdr:sp macro="" textlink="$B$107">
      <xdr:nvSpPr>
        <xdr:cNvPr id="106" name="Rectángulo 105">
          <a:extLst>
            <a:ext uri="{FF2B5EF4-FFF2-40B4-BE49-F238E27FC236}">
              <a16:creationId xmlns:a16="http://schemas.microsoft.com/office/drawing/2014/main" id="{5185C59F-0EB9-440B-A203-5E54710CA790}"/>
            </a:ext>
          </a:extLst>
        </xdr:cNvPr>
        <xdr:cNvSpPr/>
      </xdr:nvSpPr>
      <xdr:spPr>
        <a:xfrm>
          <a:off x="13499465"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88497-F44D-4DDC-83C4-DABE43C8782E}"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34290</xdr:colOff>
      <xdr:row>18</xdr:row>
      <xdr:rowOff>55245</xdr:rowOff>
    </xdr:from>
    <xdr:to>
      <xdr:col>13</xdr:col>
      <xdr:colOff>1068780</xdr:colOff>
      <xdr:row>20</xdr:row>
      <xdr:rowOff>0</xdr:rowOff>
    </xdr:to>
    <xdr:sp macro="" textlink="$A$108">
      <xdr:nvSpPr>
        <xdr:cNvPr id="107" name="Rectángulo 106">
          <a:extLst>
            <a:ext uri="{FF2B5EF4-FFF2-40B4-BE49-F238E27FC236}">
              <a16:creationId xmlns:a16="http://schemas.microsoft.com/office/drawing/2014/main" id="{6F885B61-D4F0-40F1-A796-36AF8E5DE517}"/>
            </a:ext>
          </a:extLst>
        </xdr:cNvPr>
        <xdr:cNvSpPr/>
      </xdr:nvSpPr>
      <xdr:spPr>
        <a:xfrm>
          <a:off x="1297876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6A95C0-514B-4790-A797-E266CA28C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12</xdr:col>
      <xdr:colOff>571500</xdr:colOff>
      <xdr:row>21</xdr:row>
      <xdr:rowOff>97262</xdr:rowOff>
    </xdr:from>
    <xdr:to>
      <xdr:col>12</xdr:col>
      <xdr:colOff>1407226</xdr:colOff>
      <xdr:row>25</xdr:row>
      <xdr:rowOff>70592</xdr:rowOff>
    </xdr:to>
    <xdr:sp macro="" textlink="$B$108">
      <xdr:nvSpPr>
        <xdr:cNvPr id="108" name="Rectángulo 107">
          <a:extLst>
            <a:ext uri="{FF2B5EF4-FFF2-40B4-BE49-F238E27FC236}">
              <a16:creationId xmlns:a16="http://schemas.microsoft.com/office/drawing/2014/main" id="{55FD548C-F369-4D69-A967-925D0CA17AF2}"/>
            </a:ext>
          </a:extLst>
        </xdr:cNvPr>
        <xdr:cNvSpPr/>
      </xdr:nvSpPr>
      <xdr:spPr>
        <a:xfrm>
          <a:off x="13515975"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FC3769-FBE7-4678-AB37-171373CED98C}"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482601</xdr:colOff>
      <xdr:row>12</xdr:row>
      <xdr:rowOff>81652</xdr:rowOff>
    </xdr:from>
    <xdr:to>
      <xdr:col>13</xdr:col>
      <xdr:colOff>1351751</xdr:colOff>
      <xdr:row>16</xdr:row>
      <xdr:rowOff>60697</xdr:rowOff>
    </xdr:to>
    <xdr:sp macro="" textlink="$B$113">
      <xdr:nvSpPr>
        <xdr:cNvPr id="109" name="Rectángulo 108">
          <a:extLst>
            <a:ext uri="{FF2B5EF4-FFF2-40B4-BE49-F238E27FC236}">
              <a16:creationId xmlns:a16="http://schemas.microsoft.com/office/drawing/2014/main" id="{7ACDC404-51C1-4CC1-A24F-920101DA6CF9}"/>
            </a:ext>
          </a:extLst>
        </xdr:cNvPr>
        <xdr:cNvSpPr/>
      </xdr:nvSpPr>
      <xdr:spPr>
        <a:xfrm>
          <a:off x="15042516" y="2493382"/>
          <a:ext cx="876770" cy="697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09825-EC47-430E-A869-684AC437E120}" type="TxLink">
            <a:rPr lang="en-US" sz="2400" b="0" i="0" u="none" strike="noStrike">
              <a:solidFill>
                <a:schemeClr val="accent2"/>
              </a:solidFill>
              <a:latin typeface="Bahnschrift SemiBold Condensed" panose="020B0502040204020203" pitchFamily="34" charset="0"/>
            </a:rPr>
            <a:pPr algn="l"/>
            <a:t>90%</a:t>
          </a:fld>
          <a:endParaRPr lang="es-CO" sz="2400" b="1">
            <a:solidFill>
              <a:schemeClr val="accent2"/>
            </a:solidFill>
            <a:latin typeface="Bahnschrift SemiBold Condensed" panose="020B0502040204020203" pitchFamily="34" charset="0"/>
          </a:endParaRPr>
        </a:p>
      </xdr:txBody>
    </xdr:sp>
    <xdr:clientData/>
  </xdr:twoCellAnchor>
  <xdr:twoCellAnchor>
    <xdr:from>
      <xdr:col>13</xdr:col>
      <xdr:colOff>444500</xdr:colOff>
      <xdr:row>21</xdr:row>
      <xdr:rowOff>39264</xdr:rowOff>
    </xdr:from>
    <xdr:to>
      <xdr:col>13</xdr:col>
      <xdr:colOff>1446373</xdr:colOff>
      <xdr:row>25</xdr:row>
      <xdr:rowOff>20214</xdr:rowOff>
    </xdr:to>
    <xdr:sp macro="" textlink="$B$114">
      <xdr:nvSpPr>
        <xdr:cNvPr id="110" name="Rectángulo 109">
          <a:extLst>
            <a:ext uri="{FF2B5EF4-FFF2-40B4-BE49-F238E27FC236}">
              <a16:creationId xmlns:a16="http://schemas.microsoft.com/office/drawing/2014/main" id="{66F7A6CB-15DA-40AC-B922-15499CCA9FDA}"/>
            </a:ext>
          </a:extLst>
        </xdr:cNvPr>
        <xdr:cNvSpPr/>
      </xdr:nvSpPr>
      <xdr:spPr>
        <a:xfrm>
          <a:off x="15004415" y="4077864"/>
          <a:ext cx="1005683"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D7DA45-F8F1-4D82-B0C4-5D8E515CEDE2}" type="TxLink">
            <a:rPr lang="en-US" sz="2400" b="0" i="0" u="none" strike="noStrike">
              <a:solidFill>
                <a:schemeClr val="accent2"/>
              </a:solidFill>
              <a:latin typeface="Bahnschrift SemiBold Condensed" panose="020B0502040204020203" pitchFamily="34" charset="0"/>
            </a:rPr>
            <a:pPr algn="l"/>
            <a:t>88%</a:t>
          </a:fld>
          <a:endParaRPr lang="es-CO" sz="2400" b="1">
            <a:solidFill>
              <a:schemeClr val="accent2"/>
            </a:solidFill>
            <a:latin typeface="Bahnschrift SemiBold Condensed" panose="020B0502040204020203" pitchFamily="34" charset="0"/>
          </a:endParaRPr>
        </a:p>
      </xdr:txBody>
    </xdr:sp>
    <xdr:clientData/>
  </xdr:twoCellAnchor>
  <xdr:twoCellAnchor>
    <xdr:from>
      <xdr:col>12</xdr:col>
      <xdr:colOff>15240</xdr:colOff>
      <xdr:row>18</xdr:row>
      <xdr:rowOff>0</xdr:rowOff>
    </xdr:from>
    <xdr:to>
      <xdr:col>14</xdr:col>
      <xdr:colOff>9525</xdr:colOff>
      <xdr:row>18</xdr:row>
      <xdr:rowOff>0</xdr:rowOff>
    </xdr:to>
    <xdr:cxnSp macro="">
      <xdr:nvCxnSpPr>
        <xdr:cNvPr id="111" name="Conector recto 110">
          <a:extLst>
            <a:ext uri="{FF2B5EF4-FFF2-40B4-BE49-F238E27FC236}">
              <a16:creationId xmlns:a16="http://schemas.microsoft.com/office/drawing/2014/main" id="{3B2F290C-36BC-4D11-8A25-C11C2758CC55}"/>
            </a:ext>
          </a:extLst>
        </xdr:cNvPr>
        <xdr:cNvCxnSpPr/>
      </xdr:nvCxnSpPr>
      <xdr:spPr>
        <a:xfrm>
          <a:off x="1296352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9525</xdr:colOff>
      <xdr:row>27</xdr:row>
      <xdr:rowOff>0</xdr:rowOff>
    </xdr:from>
    <xdr:to>
      <xdr:col>14</xdr:col>
      <xdr:colOff>0</xdr:colOff>
      <xdr:row>27</xdr:row>
      <xdr:rowOff>0</xdr:rowOff>
    </xdr:to>
    <xdr:cxnSp macro="">
      <xdr:nvCxnSpPr>
        <xdr:cNvPr id="112" name="Conector recto 111">
          <a:extLst>
            <a:ext uri="{FF2B5EF4-FFF2-40B4-BE49-F238E27FC236}">
              <a16:creationId xmlns:a16="http://schemas.microsoft.com/office/drawing/2014/main" id="{AA1C9274-DDBB-4847-9F1A-9F93E1368906}"/>
            </a:ext>
          </a:extLst>
        </xdr:cNvPr>
        <xdr:cNvCxnSpPr/>
      </xdr:nvCxnSpPr>
      <xdr:spPr>
        <a:xfrm>
          <a:off x="1295590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1905</xdr:colOff>
      <xdr:row>36</xdr:row>
      <xdr:rowOff>0</xdr:rowOff>
    </xdr:from>
    <xdr:to>
      <xdr:col>14</xdr:col>
      <xdr:colOff>0</xdr:colOff>
      <xdr:row>36</xdr:row>
      <xdr:rowOff>0</xdr:rowOff>
    </xdr:to>
    <xdr:cxnSp macro="">
      <xdr:nvCxnSpPr>
        <xdr:cNvPr id="113" name="Conector recto 112">
          <a:extLst>
            <a:ext uri="{FF2B5EF4-FFF2-40B4-BE49-F238E27FC236}">
              <a16:creationId xmlns:a16="http://schemas.microsoft.com/office/drawing/2014/main" id="{76418D84-AF1F-4B84-98F6-C6812816E48B}"/>
            </a:ext>
          </a:extLst>
        </xdr:cNvPr>
        <xdr:cNvCxnSpPr/>
      </xdr:nvCxnSpPr>
      <xdr:spPr>
        <a:xfrm>
          <a:off x="1294638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57149</xdr:colOff>
      <xdr:row>9</xdr:row>
      <xdr:rowOff>20956</xdr:rowOff>
    </xdr:from>
    <xdr:to>
      <xdr:col>13</xdr:col>
      <xdr:colOff>1227116</xdr:colOff>
      <xdr:row>10</xdr:row>
      <xdr:rowOff>98962</xdr:rowOff>
    </xdr:to>
    <xdr:sp macro="" textlink="$A$107">
      <xdr:nvSpPr>
        <xdr:cNvPr id="114" name="Rectángulo 113">
          <a:extLst>
            <a:ext uri="{FF2B5EF4-FFF2-40B4-BE49-F238E27FC236}">
              <a16:creationId xmlns:a16="http://schemas.microsoft.com/office/drawing/2014/main" id="{DF903699-F6D9-407B-B278-F1DF7C8A0E93}"/>
            </a:ext>
          </a:extLst>
        </xdr:cNvPr>
        <xdr:cNvSpPr/>
      </xdr:nvSpPr>
      <xdr:spPr>
        <a:xfrm>
          <a:off x="1300543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10B08E-DC29-4DB8-8ED0-863E5A72C388}"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12</xdr:col>
      <xdr:colOff>1206500</xdr:colOff>
      <xdr:row>26</xdr:row>
      <xdr:rowOff>127001</xdr:rowOff>
    </xdr:from>
    <xdr:to>
      <xdr:col>14</xdr:col>
      <xdr:colOff>266700</xdr:colOff>
      <xdr:row>39</xdr:row>
      <xdr:rowOff>76201</xdr:rowOff>
    </xdr:to>
    <xdr:graphicFrame macro="">
      <xdr:nvGraphicFramePr>
        <xdr:cNvPr id="115" name="Gráfico 114">
          <a:extLst>
            <a:ext uri="{FF2B5EF4-FFF2-40B4-BE49-F238E27FC236}">
              <a16:creationId xmlns:a16="http://schemas.microsoft.com/office/drawing/2014/main" id="{68EB2D0E-6B31-422B-9E5A-D22CE49D1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xdr:col>
      <xdr:colOff>508000</xdr:colOff>
      <xdr:row>30</xdr:row>
      <xdr:rowOff>107901</xdr:rowOff>
    </xdr:from>
    <xdr:to>
      <xdr:col>13</xdr:col>
      <xdr:colOff>1440477</xdr:colOff>
      <xdr:row>34</xdr:row>
      <xdr:rowOff>96471</xdr:rowOff>
    </xdr:to>
    <xdr:sp macro="" textlink="$B$115">
      <xdr:nvSpPr>
        <xdr:cNvPr id="116" name="Rectángulo 115">
          <a:extLst>
            <a:ext uri="{FF2B5EF4-FFF2-40B4-BE49-F238E27FC236}">
              <a16:creationId xmlns:a16="http://schemas.microsoft.com/office/drawing/2014/main" id="{F311DFA6-2E3E-4C38-9942-EB46F913D941}"/>
            </a:ext>
          </a:extLst>
        </xdr:cNvPr>
        <xdr:cNvSpPr/>
      </xdr:nvSpPr>
      <xdr:spPr>
        <a:xfrm>
          <a:off x="15075535" y="5773371"/>
          <a:ext cx="92676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6A86C2-20A2-4236-991C-2612CFB2A4F8}" type="TxLink">
            <a:rPr lang="en-US" sz="2400" b="0" i="0" u="none" strike="noStrike">
              <a:solidFill>
                <a:schemeClr val="accent2"/>
              </a:solidFill>
              <a:latin typeface="Bahnschrift SemiBold Condensed" panose="020B0502040204020203" pitchFamily="34" charset="0"/>
            </a:rPr>
            <a:pPr algn="l"/>
            <a:t>83%</a:t>
          </a:fld>
          <a:endParaRPr lang="es-CO" sz="2400" b="1">
            <a:solidFill>
              <a:schemeClr val="accent2"/>
            </a:solidFill>
            <a:latin typeface="Bahnschrift SemiBold Condensed" panose="020B0502040204020203" pitchFamily="34" charset="0"/>
          </a:endParaRPr>
        </a:p>
      </xdr:txBody>
    </xdr:sp>
    <xdr:clientData/>
  </xdr:twoCellAnchor>
  <xdr:twoCellAnchor>
    <xdr:from>
      <xdr:col>11</xdr:col>
      <xdr:colOff>174998</xdr:colOff>
      <xdr:row>27</xdr:row>
      <xdr:rowOff>37193</xdr:rowOff>
    </xdr:from>
    <xdr:to>
      <xdr:col>13</xdr:col>
      <xdr:colOff>423224</xdr:colOff>
      <xdr:row>37</xdr:row>
      <xdr:rowOff>24080</xdr:rowOff>
    </xdr:to>
    <xdr:graphicFrame macro="">
      <xdr:nvGraphicFramePr>
        <xdr:cNvPr id="117" name="Gráfico 116">
          <a:extLst>
            <a:ext uri="{FF2B5EF4-FFF2-40B4-BE49-F238E27FC236}">
              <a16:creationId xmlns:a16="http://schemas.microsoft.com/office/drawing/2014/main" id="{DE017E84-23E0-485B-B4C3-E0D0B6DB5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12</xdr:col>
      <xdr:colOff>12064</xdr:colOff>
      <xdr:row>27</xdr:row>
      <xdr:rowOff>78105</xdr:rowOff>
    </xdr:from>
    <xdr:to>
      <xdr:col>13</xdr:col>
      <xdr:colOff>1085767</xdr:colOff>
      <xdr:row>29</xdr:row>
      <xdr:rowOff>0</xdr:rowOff>
    </xdr:to>
    <xdr:sp macro="" textlink="$A$109">
      <xdr:nvSpPr>
        <xdr:cNvPr id="118" name="Rectángulo 117">
          <a:extLst>
            <a:ext uri="{FF2B5EF4-FFF2-40B4-BE49-F238E27FC236}">
              <a16:creationId xmlns:a16="http://schemas.microsoft.com/office/drawing/2014/main" id="{DF02F009-4875-4D69-A368-0ACC58A6890B}"/>
            </a:ext>
          </a:extLst>
        </xdr:cNvPr>
        <xdr:cNvSpPr/>
      </xdr:nvSpPr>
      <xdr:spPr>
        <a:xfrm>
          <a:off x="1296034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762506-7F0F-428F-B52C-A3BDDB34AF0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12</xdr:col>
      <xdr:colOff>584200</xdr:colOff>
      <xdr:row>30</xdr:row>
      <xdr:rowOff>147312</xdr:rowOff>
    </xdr:from>
    <xdr:to>
      <xdr:col>12</xdr:col>
      <xdr:colOff>1524166</xdr:colOff>
      <xdr:row>34</xdr:row>
      <xdr:rowOff>124782</xdr:rowOff>
    </xdr:to>
    <xdr:sp macro="" textlink="$B$109">
      <xdr:nvSpPr>
        <xdr:cNvPr id="119" name="Rectángulo 118">
          <a:extLst>
            <a:ext uri="{FF2B5EF4-FFF2-40B4-BE49-F238E27FC236}">
              <a16:creationId xmlns:a16="http://schemas.microsoft.com/office/drawing/2014/main" id="{8004854D-CA8D-4ECC-84EE-72BE7A30EC8A}"/>
            </a:ext>
          </a:extLst>
        </xdr:cNvPr>
        <xdr:cNvSpPr/>
      </xdr:nvSpPr>
      <xdr:spPr>
        <a:xfrm>
          <a:off x="13532485"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4D1FEF-3904-48DA-B25F-F713612F0A75}"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46355</xdr:colOff>
      <xdr:row>36</xdr:row>
      <xdr:rowOff>77470</xdr:rowOff>
    </xdr:from>
    <xdr:to>
      <xdr:col>13</xdr:col>
      <xdr:colOff>401320</xdr:colOff>
      <xdr:row>38</xdr:row>
      <xdr:rowOff>12700</xdr:rowOff>
    </xdr:to>
    <xdr:sp macro="" textlink="$A$110">
      <xdr:nvSpPr>
        <xdr:cNvPr id="120" name="Rectángulo 119">
          <a:extLst>
            <a:ext uri="{FF2B5EF4-FFF2-40B4-BE49-F238E27FC236}">
              <a16:creationId xmlns:a16="http://schemas.microsoft.com/office/drawing/2014/main" id="{553D47A8-90C2-41A4-9BED-A639C1A37778}"/>
            </a:ext>
          </a:extLst>
        </xdr:cNvPr>
        <xdr:cNvSpPr/>
      </xdr:nvSpPr>
      <xdr:spPr>
        <a:xfrm>
          <a:off x="1299273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62D34-F84A-4F50-AE94-5055B298555E}"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12</xdr:col>
      <xdr:colOff>596900</xdr:colOff>
      <xdr:row>40</xdr:row>
      <xdr:rowOff>8519</xdr:rowOff>
    </xdr:from>
    <xdr:to>
      <xdr:col>12</xdr:col>
      <xdr:colOff>1539668</xdr:colOff>
      <xdr:row>43</xdr:row>
      <xdr:rowOff>163789</xdr:rowOff>
    </xdr:to>
    <xdr:sp macro="" textlink="$B$110">
      <xdr:nvSpPr>
        <xdr:cNvPr id="121" name="Rectángulo 120">
          <a:extLst>
            <a:ext uri="{FF2B5EF4-FFF2-40B4-BE49-F238E27FC236}">
              <a16:creationId xmlns:a16="http://schemas.microsoft.com/office/drawing/2014/main" id="{AA8ADBC5-6696-44B9-8A94-EADA6038A9C1}"/>
            </a:ext>
          </a:extLst>
        </xdr:cNvPr>
        <xdr:cNvSpPr/>
      </xdr:nvSpPr>
      <xdr:spPr>
        <a:xfrm>
          <a:off x="13537565"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F819A-F1B7-4DB6-A5DB-7B89EC642AF1}"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457200</xdr:colOff>
      <xdr:row>39</xdr:row>
      <xdr:rowOff>100806</xdr:rowOff>
    </xdr:from>
    <xdr:to>
      <xdr:col>13</xdr:col>
      <xdr:colOff>1312619</xdr:colOff>
      <xdr:row>43</xdr:row>
      <xdr:rowOff>89376</xdr:rowOff>
    </xdr:to>
    <xdr:sp macro="" textlink="$B$116">
      <xdr:nvSpPr>
        <xdr:cNvPr id="122" name="Rectángulo 121">
          <a:extLst>
            <a:ext uri="{FF2B5EF4-FFF2-40B4-BE49-F238E27FC236}">
              <a16:creationId xmlns:a16="http://schemas.microsoft.com/office/drawing/2014/main" id="{0980553D-561E-491F-BFB3-6F8E079C96DE}"/>
            </a:ext>
          </a:extLst>
        </xdr:cNvPr>
        <xdr:cNvSpPr/>
      </xdr:nvSpPr>
      <xdr:spPr>
        <a:xfrm>
          <a:off x="15020925" y="7393146"/>
          <a:ext cx="85922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543804-8942-49F6-97FC-7F994BF8F3BB}"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14</xdr:col>
      <xdr:colOff>174998</xdr:colOff>
      <xdr:row>27</xdr:row>
      <xdr:rowOff>37193</xdr:rowOff>
    </xdr:from>
    <xdr:to>
      <xdr:col>15</xdr:col>
      <xdr:colOff>0</xdr:colOff>
      <xdr:row>37</xdr:row>
      <xdr:rowOff>24080</xdr:rowOff>
    </xdr:to>
    <xdr:graphicFrame macro="">
      <xdr:nvGraphicFramePr>
        <xdr:cNvPr id="123" name="Gráfico 122">
          <a:extLst>
            <a:ext uri="{FF2B5EF4-FFF2-40B4-BE49-F238E27FC236}">
              <a16:creationId xmlns:a16="http://schemas.microsoft.com/office/drawing/2014/main" id="{4A106F9E-0F41-4695-A448-A40D899C3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228600</xdr:colOff>
      <xdr:row>44</xdr:row>
      <xdr:rowOff>47625</xdr:rowOff>
    </xdr:from>
    <xdr:to>
      <xdr:col>8</xdr:col>
      <xdr:colOff>95250</xdr:colOff>
      <xdr:row>66</xdr:row>
      <xdr:rowOff>92710</xdr:rowOff>
    </xdr:to>
    <xdr:grpSp>
      <xdr:nvGrpSpPr>
        <xdr:cNvPr id="124" name="Grupo 123">
          <a:extLst>
            <a:ext uri="{FF2B5EF4-FFF2-40B4-BE49-F238E27FC236}">
              <a16:creationId xmlns:a16="http://schemas.microsoft.com/office/drawing/2014/main" id="{523D6A26-2739-4360-A4CE-3F0E550A9FFA}"/>
            </a:ext>
          </a:extLst>
        </xdr:cNvPr>
        <xdr:cNvGrpSpPr/>
      </xdr:nvGrpSpPr>
      <xdr:grpSpPr>
        <a:xfrm>
          <a:off x="5474677" y="8065184"/>
          <a:ext cx="3526301" cy="3944913"/>
          <a:chOff x="5275897" y="7883842"/>
          <a:chExt cx="4608644" cy="2743200"/>
        </a:xfrm>
      </xdr:grpSpPr>
      <xdr:graphicFrame macro="">
        <xdr:nvGraphicFramePr>
          <xdr:cNvPr id="125" name="Gráfico 124">
            <a:extLst>
              <a:ext uri="{FF2B5EF4-FFF2-40B4-BE49-F238E27FC236}">
                <a16:creationId xmlns:a16="http://schemas.microsoft.com/office/drawing/2014/main" id="{ECEAE264-23D6-84D6-352C-6A0E9D2CF2DC}"/>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126" name="CuadroTexto 125">
            <a:extLst>
              <a:ext uri="{FF2B5EF4-FFF2-40B4-BE49-F238E27FC236}">
                <a16:creationId xmlns:a16="http://schemas.microsoft.com/office/drawing/2014/main" id="{EC8223A2-948A-A81F-FC02-8025B9C5836A}"/>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27" name="CuadroTexto 126">
            <a:extLst>
              <a:ext uri="{FF2B5EF4-FFF2-40B4-BE49-F238E27FC236}">
                <a16:creationId xmlns:a16="http://schemas.microsoft.com/office/drawing/2014/main" id="{A80631CB-875F-B0F7-5579-4DD3EF7CCDD7}"/>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28" name="CuadroTexto 127">
            <a:extLst>
              <a:ext uri="{FF2B5EF4-FFF2-40B4-BE49-F238E27FC236}">
                <a16:creationId xmlns:a16="http://schemas.microsoft.com/office/drawing/2014/main" id="{B034708F-77BC-25A9-8BF0-68EB7CE44A24}"/>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29" name="CuadroTexto 128">
            <a:extLst>
              <a:ext uri="{FF2B5EF4-FFF2-40B4-BE49-F238E27FC236}">
                <a16:creationId xmlns:a16="http://schemas.microsoft.com/office/drawing/2014/main" id="{ED87C483-CF11-165D-9DD8-A1BCBAC875B3}"/>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0" name="CuadroTexto 129">
            <a:extLst>
              <a:ext uri="{FF2B5EF4-FFF2-40B4-BE49-F238E27FC236}">
                <a16:creationId xmlns:a16="http://schemas.microsoft.com/office/drawing/2014/main" id="{3AC62989-9204-C2BA-8CC7-75F89FCFEFCA}"/>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31" name="CuadroTexto 130">
            <a:extLst>
              <a:ext uri="{FF2B5EF4-FFF2-40B4-BE49-F238E27FC236}">
                <a16:creationId xmlns:a16="http://schemas.microsoft.com/office/drawing/2014/main" id="{905CD1C3-1136-B287-B461-472227D74ACE}"/>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85">
        <xdr:nvSpPr>
          <xdr:cNvPr id="132" name="Rectángulo 131">
            <a:extLst>
              <a:ext uri="{FF2B5EF4-FFF2-40B4-BE49-F238E27FC236}">
                <a16:creationId xmlns:a16="http://schemas.microsoft.com/office/drawing/2014/main" id="{81CAA510-7A62-9B63-C21B-F395F533BA59}"/>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61732A5-298E-4C12-B4CB-18548FFEB212}" type="TxLink">
              <a:rPr lang="en-US" sz="3600" b="0" i="0" u="none" strike="noStrike">
                <a:solidFill>
                  <a:srgbClr val="000000"/>
                </a:solidFill>
                <a:latin typeface="Bahnschrift SemiBold Condensed" panose="020B0502040204020203" pitchFamily="34" charset="0"/>
              </a:rPr>
              <a:pPr algn="l"/>
              <a:t>76</a:t>
            </a:fld>
            <a:endParaRPr lang="es-CO" sz="8800" b="1">
              <a:latin typeface="Bahnschrift SemiBold Condensed" panose="020B0502040204020203" pitchFamily="34" charset="0"/>
            </a:endParaRPr>
          </a:p>
        </xdr:txBody>
      </xdr:sp>
    </xdr:grpSp>
    <xdr:clientData/>
  </xdr:twoCellAnchor>
  <xdr:twoCellAnchor>
    <xdr:from>
      <xdr:col>8</xdr:col>
      <xdr:colOff>247650</xdr:colOff>
      <xdr:row>44</xdr:row>
      <xdr:rowOff>19050</xdr:rowOff>
    </xdr:from>
    <xdr:to>
      <xdr:col>11</xdr:col>
      <xdr:colOff>104775</xdr:colOff>
      <xdr:row>66</xdr:row>
      <xdr:rowOff>64135</xdr:rowOff>
    </xdr:to>
    <xdr:grpSp>
      <xdr:nvGrpSpPr>
        <xdr:cNvPr id="133" name="Grupo 132">
          <a:extLst>
            <a:ext uri="{FF2B5EF4-FFF2-40B4-BE49-F238E27FC236}">
              <a16:creationId xmlns:a16="http://schemas.microsoft.com/office/drawing/2014/main" id="{CF268BEA-E2F8-434A-A554-ED36ACD3252B}"/>
            </a:ext>
          </a:extLst>
        </xdr:cNvPr>
        <xdr:cNvGrpSpPr/>
      </xdr:nvGrpSpPr>
      <xdr:grpSpPr>
        <a:xfrm>
          <a:off x="9153378" y="8030894"/>
          <a:ext cx="3522492" cy="3943008"/>
          <a:chOff x="5275897" y="7883842"/>
          <a:chExt cx="4608644" cy="2743200"/>
        </a:xfrm>
      </xdr:grpSpPr>
      <xdr:graphicFrame macro="">
        <xdr:nvGraphicFramePr>
          <xdr:cNvPr id="134" name="Gráfico 133">
            <a:extLst>
              <a:ext uri="{FF2B5EF4-FFF2-40B4-BE49-F238E27FC236}">
                <a16:creationId xmlns:a16="http://schemas.microsoft.com/office/drawing/2014/main" id="{328530FC-4A3A-80A6-9C60-1EC1D4ECF3DB}"/>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0"/>
          </a:graphicData>
        </a:graphic>
      </xdr:graphicFrame>
      <xdr:sp macro="" textlink="">
        <xdr:nvSpPr>
          <xdr:cNvPr id="135" name="CuadroTexto 134">
            <a:extLst>
              <a:ext uri="{FF2B5EF4-FFF2-40B4-BE49-F238E27FC236}">
                <a16:creationId xmlns:a16="http://schemas.microsoft.com/office/drawing/2014/main" id="{55E5D89A-5440-9A00-8234-E1528BDE0506}"/>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36" name="CuadroTexto 135">
            <a:extLst>
              <a:ext uri="{FF2B5EF4-FFF2-40B4-BE49-F238E27FC236}">
                <a16:creationId xmlns:a16="http://schemas.microsoft.com/office/drawing/2014/main" id="{279B4763-D1DF-0135-8640-54324111E549}"/>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37" name="CuadroTexto 136">
            <a:extLst>
              <a:ext uri="{FF2B5EF4-FFF2-40B4-BE49-F238E27FC236}">
                <a16:creationId xmlns:a16="http://schemas.microsoft.com/office/drawing/2014/main" id="{1F52CCDD-C41B-F936-EA25-5F23C424F3F2}"/>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38" name="CuadroTexto 137">
            <a:extLst>
              <a:ext uri="{FF2B5EF4-FFF2-40B4-BE49-F238E27FC236}">
                <a16:creationId xmlns:a16="http://schemas.microsoft.com/office/drawing/2014/main" id="{A9F5DD0A-08B4-CEA3-1D0A-3BB566FE97EA}"/>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9" name="CuadroTexto 138">
            <a:extLst>
              <a:ext uri="{FF2B5EF4-FFF2-40B4-BE49-F238E27FC236}">
                <a16:creationId xmlns:a16="http://schemas.microsoft.com/office/drawing/2014/main" id="{38B07CF5-466D-C400-384B-8DBEA283C878}"/>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0" name="CuadroTexto 139">
            <a:extLst>
              <a:ext uri="{FF2B5EF4-FFF2-40B4-BE49-F238E27FC236}">
                <a16:creationId xmlns:a16="http://schemas.microsoft.com/office/drawing/2014/main" id="{4A5470F3-4BDB-6826-5F55-1148D98EE0C2}"/>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99">
        <xdr:nvSpPr>
          <xdr:cNvPr id="141" name="Rectángulo 140">
            <a:extLst>
              <a:ext uri="{FF2B5EF4-FFF2-40B4-BE49-F238E27FC236}">
                <a16:creationId xmlns:a16="http://schemas.microsoft.com/office/drawing/2014/main" id="{4F14245A-303D-3B9F-EB3A-125BD774CB6E}"/>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DFEAA8C-E1D7-4E99-A2ED-66A18DE56CB4}" type="TxLink">
              <a:rPr lang="en-US" sz="3600" b="0" i="0" u="none" strike="noStrike">
                <a:solidFill>
                  <a:srgbClr val="000000"/>
                </a:solidFill>
                <a:latin typeface="Bahnschrift SemiBold Condensed" panose="020B0502040204020203" pitchFamily="34" charset="0"/>
              </a:rPr>
              <a:pPr algn="l"/>
              <a:t>69</a:t>
            </a:fld>
            <a:endParaRPr lang="es-CO" sz="8800" b="1">
              <a:latin typeface="Bahnschrift SemiBold Condensed" panose="020B0502040204020203" pitchFamily="34" charset="0"/>
            </a:endParaRPr>
          </a:p>
        </xdr:txBody>
      </xdr:sp>
    </xdr:grpSp>
    <xdr:clientData/>
  </xdr:twoCellAnchor>
  <xdr:twoCellAnchor>
    <xdr:from>
      <xdr:col>11</xdr:col>
      <xdr:colOff>228600</xdr:colOff>
      <xdr:row>44</xdr:row>
      <xdr:rowOff>28575</xdr:rowOff>
    </xdr:from>
    <xdr:to>
      <xdr:col>14</xdr:col>
      <xdr:colOff>95250</xdr:colOff>
      <xdr:row>66</xdr:row>
      <xdr:rowOff>83185</xdr:rowOff>
    </xdr:to>
    <xdr:grpSp>
      <xdr:nvGrpSpPr>
        <xdr:cNvPr id="142" name="Grupo 141">
          <a:extLst>
            <a:ext uri="{FF2B5EF4-FFF2-40B4-BE49-F238E27FC236}">
              <a16:creationId xmlns:a16="http://schemas.microsoft.com/office/drawing/2014/main" id="{77E0A187-5B51-4420-8286-C5E7F99797BB}"/>
            </a:ext>
          </a:extLst>
        </xdr:cNvPr>
        <xdr:cNvGrpSpPr/>
      </xdr:nvGrpSpPr>
      <xdr:grpSpPr>
        <a:xfrm>
          <a:off x="12801600" y="8042324"/>
          <a:ext cx="3526302" cy="3956343"/>
          <a:chOff x="5275897" y="7883842"/>
          <a:chExt cx="4608644" cy="2743200"/>
        </a:xfrm>
      </xdr:grpSpPr>
      <xdr:graphicFrame macro="">
        <xdr:nvGraphicFramePr>
          <xdr:cNvPr id="143" name="Gráfico 142">
            <a:extLst>
              <a:ext uri="{FF2B5EF4-FFF2-40B4-BE49-F238E27FC236}">
                <a16:creationId xmlns:a16="http://schemas.microsoft.com/office/drawing/2014/main" id="{9A784722-B76D-9795-8F19-098C64A579A4}"/>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1"/>
          </a:graphicData>
        </a:graphic>
      </xdr:graphicFrame>
      <xdr:sp macro="" textlink="">
        <xdr:nvSpPr>
          <xdr:cNvPr id="144" name="CuadroTexto 143">
            <a:extLst>
              <a:ext uri="{FF2B5EF4-FFF2-40B4-BE49-F238E27FC236}">
                <a16:creationId xmlns:a16="http://schemas.microsoft.com/office/drawing/2014/main" id="{B813CC76-5712-881D-586C-EE9FD42D6110}"/>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45" name="CuadroTexto 144">
            <a:extLst>
              <a:ext uri="{FF2B5EF4-FFF2-40B4-BE49-F238E27FC236}">
                <a16:creationId xmlns:a16="http://schemas.microsoft.com/office/drawing/2014/main" id="{654BB17B-B0C6-CFB1-5D62-3890EBF364B2}"/>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46" name="CuadroTexto 145">
            <a:extLst>
              <a:ext uri="{FF2B5EF4-FFF2-40B4-BE49-F238E27FC236}">
                <a16:creationId xmlns:a16="http://schemas.microsoft.com/office/drawing/2014/main" id="{1DD514A3-13E1-0FE5-2119-C91FDEE09BE3}"/>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47" name="CuadroTexto 146">
            <a:extLst>
              <a:ext uri="{FF2B5EF4-FFF2-40B4-BE49-F238E27FC236}">
                <a16:creationId xmlns:a16="http://schemas.microsoft.com/office/drawing/2014/main" id="{F61D7D0C-B1AD-A53C-230A-D2B30B9FAFBD}"/>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48" name="CuadroTexto 147">
            <a:extLst>
              <a:ext uri="{FF2B5EF4-FFF2-40B4-BE49-F238E27FC236}">
                <a16:creationId xmlns:a16="http://schemas.microsoft.com/office/drawing/2014/main" id="{41E8E7C4-2082-14E9-7581-BC0DFD265ABC}"/>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9" name="CuadroTexto 148">
            <a:extLst>
              <a:ext uri="{FF2B5EF4-FFF2-40B4-BE49-F238E27FC236}">
                <a16:creationId xmlns:a16="http://schemas.microsoft.com/office/drawing/2014/main" id="{C8F2B39D-B01D-E88B-C5C5-376C68F9E98A}"/>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113">
        <xdr:nvSpPr>
          <xdr:cNvPr id="150" name="Rectángulo 149">
            <a:extLst>
              <a:ext uri="{FF2B5EF4-FFF2-40B4-BE49-F238E27FC236}">
                <a16:creationId xmlns:a16="http://schemas.microsoft.com/office/drawing/2014/main" id="{9B83BFB3-8099-3D34-1793-DE3167B12BDD}"/>
              </a:ext>
            </a:extLst>
          </xdr:cNvPr>
          <xdr:cNvSpPr/>
        </xdr:nvSpPr>
        <xdr:spPr>
          <a:xfrm>
            <a:off x="7161176" y="8980581"/>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6B8D28-B8B8-40AA-99BD-B24430608CE7}" type="TxLink">
              <a:rPr lang="en-US" sz="3600" b="0" i="0" u="none" strike="noStrike">
                <a:solidFill>
                  <a:srgbClr val="000000"/>
                </a:solidFill>
                <a:latin typeface="Bahnschrift SemiBold Condensed" panose="020B0502040204020203" pitchFamily="34" charset="0"/>
              </a:rPr>
              <a:pPr algn="l"/>
              <a:t>88</a:t>
            </a:fld>
            <a:endParaRPr lang="es-CO" sz="8800" b="1">
              <a:latin typeface="Bahnschrift SemiBold Condensed" panose="020B0502040204020203" pitchFamily="34" charset="0"/>
            </a:endParaRPr>
          </a:p>
        </xdr:txBody>
      </xdr:sp>
    </xdr:grpSp>
    <xdr:clientData/>
  </xdr:twoCellAnchor>
  <xdr:twoCellAnchor>
    <xdr:from>
      <xdr:col>15</xdr:col>
      <xdr:colOff>86311</xdr:colOff>
      <xdr:row>0</xdr:row>
      <xdr:rowOff>148590</xdr:rowOff>
    </xdr:from>
    <xdr:to>
      <xdr:col>23</xdr:col>
      <xdr:colOff>659422</xdr:colOff>
      <xdr:row>26</xdr:row>
      <xdr:rowOff>29308</xdr:rowOff>
    </xdr:to>
    <xdr:graphicFrame macro="">
      <xdr:nvGraphicFramePr>
        <xdr:cNvPr id="153" name="Gráfico 152">
          <a:extLst>
            <a:ext uri="{FF2B5EF4-FFF2-40B4-BE49-F238E27FC236}">
              <a16:creationId xmlns:a16="http://schemas.microsoft.com/office/drawing/2014/main" id="{8ABF0CAB-E0D1-B194-376A-1FD211F5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181266</xdr:colOff>
      <xdr:row>27</xdr:row>
      <xdr:rowOff>144781</xdr:rowOff>
    </xdr:from>
    <xdr:to>
      <xdr:col>23</xdr:col>
      <xdr:colOff>556845</xdr:colOff>
      <xdr:row>58</xdr:row>
      <xdr:rowOff>0</xdr:rowOff>
    </xdr:to>
    <xdr:graphicFrame macro="">
      <xdr:nvGraphicFramePr>
        <xdr:cNvPr id="154" name="Gráfico 153">
          <a:extLst>
            <a:ext uri="{FF2B5EF4-FFF2-40B4-BE49-F238E27FC236}">
              <a16:creationId xmlns:a16="http://schemas.microsoft.com/office/drawing/2014/main" id="{7A0C118D-8EAA-F96A-B46D-CF95312BA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1181100</xdr:colOff>
      <xdr:row>35</xdr:row>
      <xdr:rowOff>12700</xdr:rowOff>
    </xdr:from>
    <xdr:to>
      <xdr:col>8</xdr:col>
      <xdr:colOff>279400</xdr:colOff>
      <xdr:row>49</xdr:row>
      <xdr:rowOff>63500</xdr:rowOff>
    </xdr:to>
    <xdr:graphicFrame macro="">
      <xdr:nvGraphicFramePr>
        <xdr:cNvPr id="2" name="Gráfico 1">
          <a:extLst>
            <a:ext uri="{FF2B5EF4-FFF2-40B4-BE49-F238E27FC236}">
              <a16:creationId xmlns:a16="http://schemas.microsoft.com/office/drawing/2014/main" id="{1934A170-77A3-45AC-A229-6DB66B8EE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36</xdr:row>
      <xdr:rowOff>50800</xdr:rowOff>
    </xdr:from>
    <xdr:to>
      <xdr:col>7</xdr:col>
      <xdr:colOff>299026</xdr:colOff>
      <xdr:row>46</xdr:row>
      <xdr:rowOff>50387</xdr:rowOff>
    </xdr:to>
    <xdr:graphicFrame macro="">
      <xdr:nvGraphicFramePr>
        <xdr:cNvPr id="3" name="Gráfico 2">
          <a:extLst>
            <a:ext uri="{FF2B5EF4-FFF2-40B4-BE49-F238E27FC236}">
              <a16:creationId xmlns:a16="http://schemas.microsoft.com/office/drawing/2014/main" id="{D2F1CC40-BBC4-4A60-A2C5-6CE2F5EDC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29</xdr:row>
      <xdr:rowOff>22760</xdr:rowOff>
    </xdr:from>
    <xdr:to>
      <xdr:col>1</xdr:col>
      <xdr:colOff>714375</xdr:colOff>
      <xdr:row>38</xdr:row>
      <xdr:rowOff>60960</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F8B25A94-5C80-4555-9003-0E36E98C2FA3}"/>
            </a:ext>
          </a:extLst>
        </xdr:cNvPr>
        <xdr:cNvSpPr/>
      </xdr:nvSpPr>
      <xdr:spPr>
        <a:xfrm>
          <a:off x="64770" y="5505350"/>
          <a:ext cx="1438275" cy="1666975"/>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400">
              <a:solidFill>
                <a:schemeClr val="accent1"/>
              </a:solidFill>
              <a:latin typeface="Artifakt Element Heavy" panose="020B0B03050000020004" pitchFamily="34" charset="0"/>
              <a:ea typeface="Artifakt Element Heavy" panose="020B0B03050000020004" pitchFamily="34" charset="0"/>
            </a:rPr>
            <a:t>POLÍTICAS ÁREA COMERCIAL</a:t>
          </a:r>
        </a:p>
      </xdr:txBody>
    </xdr:sp>
    <xdr:clientData/>
  </xdr:twoCellAnchor>
  <xdr:twoCellAnchor>
    <xdr:from>
      <xdr:col>12</xdr:col>
      <xdr:colOff>1130300</xdr:colOff>
      <xdr:row>35</xdr:row>
      <xdr:rowOff>0</xdr:rowOff>
    </xdr:from>
    <xdr:to>
      <xdr:col>14</xdr:col>
      <xdr:colOff>228600</xdr:colOff>
      <xdr:row>49</xdr:row>
      <xdr:rowOff>50800</xdr:rowOff>
    </xdr:to>
    <xdr:graphicFrame macro="">
      <xdr:nvGraphicFramePr>
        <xdr:cNvPr id="5" name="Gráfico 4">
          <a:extLst>
            <a:ext uri="{FF2B5EF4-FFF2-40B4-BE49-F238E27FC236}">
              <a16:creationId xmlns:a16="http://schemas.microsoft.com/office/drawing/2014/main" id="{962CFAE7-008E-439D-9081-961FE18B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36</xdr:row>
      <xdr:rowOff>38100</xdr:rowOff>
    </xdr:from>
    <xdr:to>
      <xdr:col>13</xdr:col>
      <xdr:colOff>248226</xdr:colOff>
      <xdr:row>46</xdr:row>
      <xdr:rowOff>37687</xdr:rowOff>
    </xdr:to>
    <xdr:graphicFrame macro="">
      <xdr:nvGraphicFramePr>
        <xdr:cNvPr id="6" name="Gráfico 5">
          <a:extLst>
            <a:ext uri="{FF2B5EF4-FFF2-40B4-BE49-F238E27FC236}">
              <a16:creationId xmlns:a16="http://schemas.microsoft.com/office/drawing/2014/main" id="{542F5D4F-400A-4145-AD3E-CDE461C96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1168400</xdr:colOff>
      <xdr:row>17</xdr:row>
      <xdr:rowOff>76200</xdr:rowOff>
    </xdr:from>
    <xdr:to>
      <xdr:col>14</xdr:col>
      <xdr:colOff>228600</xdr:colOff>
      <xdr:row>30</xdr:row>
      <xdr:rowOff>25400</xdr:rowOff>
    </xdr:to>
    <xdr:graphicFrame macro="">
      <xdr:nvGraphicFramePr>
        <xdr:cNvPr id="7" name="Gráfico 6">
          <a:extLst>
            <a:ext uri="{FF2B5EF4-FFF2-40B4-BE49-F238E27FC236}">
              <a16:creationId xmlns:a16="http://schemas.microsoft.com/office/drawing/2014/main" id="{5D6525F4-7E5A-44D0-9CAA-00C76719A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1117600</xdr:colOff>
      <xdr:row>35</xdr:row>
      <xdr:rowOff>0</xdr:rowOff>
    </xdr:from>
    <xdr:to>
      <xdr:col>11</xdr:col>
      <xdr:colOff>215900</xdr:colOff>
      <xdr:row>49</xdr:row>
      <xdr:rowOff>50800</xdr:rowOff>
    </xdr:to>
    <xdr:graphicFrame macro="">
      <xdr:nvGraphicFramePr>
        <xdr:cNvPr id="8" name="Gráfico 7">
          <a:extLst>
            <a:ext uri="{FF2B5EF4-FFF2-40B4-BE49-F238E27FC236}">
              <a16:creationId xmlns:a16="http://schemas.microsoft.com/office/drawing/2014/main" id="{01EC114D-A886-4A0D-B930-67B26CBC6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330200</xdr:colOff>
      <xdr:row>36</xdr:row>
      <xdr:rowOff>38100</xdr:rowOff>
    </xdr:from>
    <xdr:to>
      <xdr:col>10</xdr:col>
      <xdr:colOff>235526</xdr:colOff>
      <xdr:row>46</xdr:row>
      <xdr:rowOff>37687</xdr:rowOff>
    </xdr:to>
    <xdr:graphicFrame macro="">
      <xdr:nvGraphicFramePr>
        <xdr:cNvPr id="9" name="Gráfico 8">
          <a:extLst>
            <a:ext uri="{FF2B5EF4-FFF2-40B4-BE49-F238E27FC236}">
              <a16:creationId xmlns:a16="http://schemas.microsoft.com/office/drawing/2014/main" id="{D48DEBFD-156C-4349-BC19-ED30EA072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113851</xdr:colOff>
      <xdr:row>9</xdr:row>
      <xdr:rowOff>19792</xdr:rowOff>
    </xdr:from>
    <xdr:to>
      <xdr:col>4</xdr:col>
      <xdr:colOff>150586</xdr:colOff>
      <xdr:row>19</xdr:row>
      <xdr:rowOff>39585</xdr:rowOff>
    </xdr:to>
    <xdr:graphicFrame macro="">
      <xdr:nvGraphicFramePr>
        <xdr:cNvPr id="10" name="Gráfico 9">
          <a:extLst>
            <a:ext uri="{FF2B5EF4-FFF2-40B4-BE49-F238E27FC236}">
              <a16:creationId xmlns:a16="http://schemas.microsoft.com/office/drawing/2014/main" id="{D6D6922D-32F9-4160-96DE-68481E04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1215240</xdr:colOff>
      <xdr:row>6</xdr:row>
      <xdr:rowOff>104570</xdr:rowOff>
    </xdr:from>
    <xdr:to>
      <xdr:col>5</xdr:col>
      <xdr:colOff>228599</xdr:colOff>
      <xdr:row>21</xdr:row>
      <xdr:rowOff>127000</xdr:rowOff>
    </xdr:to>
    <xdr:graphicFrame macro="">
      <xdr:nvGraphicFramePr>
        <xdr:cNvPr id="11" name="Gráfico 10">
          <a:extLst>
            <a:ext uri="{FF2B5EF4-FFF2-40B4-BE49-F238E27FC236}">
              <a16:creationId xmlns:a16="http://schemas.microsoft.com/office/drawing/2014/main" id="{8F2C3CD1-1323-48B7-A6FC-74E751B3A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1232848</xdr:colOff>
      <xdr:row>16</xdr:row>
      <xdr:rowOff>125102</xdr:rowOff>
    </xdr:from>
    <xdr:to>
      <xdr:col>5</xdr:col>
      <xdr:colOff>330200</xdr:colOff>
      <xdr:row>31</xdr:row>
      <xdr:rowOff>63500</xdr:rowOff>
    </xdr:to>
    <xdr:graphicFrame macro="">
      <xdr:nvGraphicFramePr>
        <xdr:cNvPr id="12" name="Gráfico 11">
          <a:extLst>
            <a:ext uri="{FF2B5EF4-FFF2-40B4-BE49-F238E27FC236}">
              <a16:creationId xmlns:a16="http://schemas.microsoft.com/office/drawing/2014/main" id="{F63530D0-6388-44C7-AD9B-38D63D46B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99297</xdr:colOff>
      <xdr:row>18</xdr:row>
      <xdr:rowOff>328</xdr:rowOff>
    </xdr:from>
    <xdr:to>
      <xdr:col>4</xdr:col>
      <xdr:colOff>184562</xdr:colOff>
      <xdr:row>28</xdr:row>
      <xdr:rowOff>9896</xdr:rowOff>
    </xdr:to>
    <xdr:graphicFrame macro="">
      <xdr:nvGraphicFramePr>
        <xdr:cNvPr id="13" name="Gráfico 12">
          <a:extLst>
            <a:ext uri="{FF2B5EF4-FFF2-40B4-BE49-F238E27FC236}">
              <a16:creationId xmlns:a16="http://schemas.microsoft.com/office/drawing/2014/main" id="{1F0F1A89-88ED-43AA-BB5E-53BDD1177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xdr:col>
      <xdr:colOff>506056</xdr:colOff>
      <xdr:row>1</xdr:row>
      <xdr:rowOff>20168</xdr:rowOff>
    </xdr:from>
    <xdr:ext cx="1454655" cy="885826"/>
    <xdr:pic>
      <xdr:nvPicPr>
        <xdr:cNvPr id="14" name="Imagen 13">
          <a:extLst>
            <a:ext uri="{FF2B5EF4-FFF2-40B4-BE49-F238E27FC236}">
              <a16:creationId xmlns:a16="http://schemas.microsoft.com/office/drawing/2014/main" id="{CAA8729C-A1F1-45BB-90E1-789B38F3657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22436" y="283058"/>
          <a:ext cx="1454655" cy="885826"/>
        </a:xfrm>
        <a:prstGeom prst="rect">
          <a:avLst/>
        </a:prstGeom>
      </xdr:spPr>
    </xdr:pic>
    <xdr:clientData/>
  </xdr:oneCellAnchor>
  <xdr:oneCellAnchor>
    <xdr:from>
      <xdr:col>0</xdr:col>
      <xdr:colOff>99060</xdr:colOff>
      <xdr:row>0</xdr:row>
      <xdr:rowOff>137160</xdr:rowOff>
    </xdr:from>
    <xdr:ext cx="1401072" cy="943048"/>
    <xdr:pic>
      <xdr:nvPicPr>
        <xdr:cNvPr id="15" name="Imagen 14">
          <a:extLst>
            <a:ext uri="{FF2B5EF4-FFF2-40B4-BE49-F238E27FC236}">
              <a16:creationId xmlns:a16="http://schemas.microsoft.com/office/drawing/2014/main" id="{1DF2D664-FEB9-48A4-A3D5-6F13E60A1FA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910" r="13534"/>
        <a:stretch/>
      </xdr:blipFill>
      <xdr:spPr>
        <a:xfrm>
          <a:off x="95250" y="133350"/>
          <a:ext cx="1401072" cy="943048"/>
        </a:xfrm>
        <a:prstGeom prst="rect">
          <a:avLst/>
        </a:prstGeom>
      </xdr:spPr>
    </xdr:pic>
    <xdr:clientData/>
  </xdr:oneCellAnchor>
  <xdr:twoCellAnchor>
    <xdr:from>
      <xdr:col>0</xdr:col>
      <xdr:colOff>66675</xdr:colOff>
      <xdr:row>5</xdr:row>
      <xdr:rowOff>114200</xdr:rowOff>
    </xdr:from>
    <xdr:to>
      <xdr:col>1</xdr:col>
      <xdr:colOff>714375</xdr:colOff>
      <xdr:row>10</xdr:row>
      <xdr:rowOff>167170</xdr:rowOff>
    </xdr:to>
    <xdr:sp macro="" textlink="">
      <xdr:nvSpPr>
        <xdr:cNvPr id="16" name="Rectángulo: esquinas redondeadas 15">
          <a:hlinkClick xmlns:r="http://schemas.openxmlformats.org/officeDocument/2006/relationships" r:id="rId15"/>
          <a:extLst>
            <a:ext uri="{FF2B5EF4-FFF2-40B4-BE49-F238E27FC236}">
              <a16:creationId xmlns:a16="http://schemas.microsoft.com/office/drawing/2014/main" id="{26145C2F-69AF-4687-8680-D9AAB7F331E9}"/>
            </a:ext>
          </a:extLst>
        </xdr:cNvPr>
        <xdr:cNvSpPr/>
      </xdr:nvSpPr>
      <xdr:spPr>
        <a:xfrm>
          <a:off x="64770" y="1238150"/>
          <a:ext cx="1438275" cy="980705"/>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DIRECTORA COMERCIAL</a:t>
          </a:r>
        </a:p>
      </xdr:txBody>
    </xdr:sp>
    <xdr:clientData/>
  </xdr:twoCellAnchor>
  <xdr:twoCellAnchor>
    <xdr:from>
      <xdr:col>24</xdr:col>
      <xdr:colOff>66675</xdr:colOff>
      <xdr:row>5</xdr:row>
      <xdr:rowOff>125310</xdr:rowOff>
    </xdr:from>
    <xdr:to>
      <xdr:col>24</xdr:col>
      <xdr:colOff>1506063</xdr:colOff>
      <xdr:row>10</xdr:row>
      <xdr:rowOff>168012</xdr:rowOff>
    </xdr:to>
    <xdr:sp macro="" textlink="">
      <xdr:nvSpPr>
        <xdr:cNvPr id="17" name="Rectángulo: esquinas redondeadas 16">
          <a:hlinkClick xmlns:r="http://schemas.openxmlformats.org/officeDocument/2006/relationships" r:id="rId16"/>
          <a:extLst>
            <a:ext uri="{FF2B5EF4-FFF2-40B4-BE49-F238E27FC236}">
              <a16:creationId xmlns:a16="http://schemas.microsoft.com/office/drawing/2014/main" id="{B5675857-1D9E-44B4-A832-DC81CED5F380}"/>
            </a:ext>
          </a:extLst>
        </xdr:cNvPr>
        <xdr:cNvSpPr/>
      </xdr:nvSpPr>
      <xdr:spPr>
        <a:xfrm>
          <a:off x="23772495" y="1251165"/>
          <a:ext cx="1437483" cy="96853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DIRECTORA COMERCIAL</a:t>
          </a:r>
        </a:p>
      </xdr:txBody>
    </xdr:sp>
    <xdr:clientData/>
  </xdr:twoCellAnchor>
  <xdr:twoCellAnchor>
    <xdr:from>
      <xdr:col>3</xdr:col>
      <xdr:colOff>393700</xdr:colOff>
      <xdr:row>12</xdr:row>
      <xdr:rowOff>131288</xdr:rowOff>
    </xdr:from>
    <xdr:to>
      <xdr:col>3</xdr:col>
      <xdr:colOff>1266042</xdr:colOff>
      <xdr:row>16</xdr:row>
      <xdr:rowOff>98903</xdr:rowOff>
    </xdr:to>
    <xdr:sp macro="" textlink="$B$65">
      <xdr:nvSpPr>
        <xdr:cNvPr id="18" name="Rectángulo 17">
          <a:extLst>
            <a:ext uri="{FF2B5EF4-FFF2-40B4-BE49-F238E27FC236}">
              <a16:creationId xmlns:a16="http://schemas.microsoft.com/office/drawing/2014/main" id="{3591A176-68A8-4E44-A369-2B28487E0B88}"/>
            </a:ext>
          </a:extLst>
        </xdr:cNvPr>
        <xdr:cNvSpPr/>
      </xdr:nvSpPr>
      <xdr:spPr>
        <a:xfrm>
          <a:off x="2416810" y="2544923"/>
          <a:ext cx="870437"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535373-67D4-4052-B754-AC66BB4F54EC}"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34290</xdr:colOff>
      <xdr:row>18</xdr:row>
      <xdr:rowOff>55245</xdr:rowOff>
    </xdr:from>
    <xdr:to>
      <xdr:col>4</xdr:col>
      <xdr:colOff>1068780</xdr:colOff>
      <xdr:row>20</xdr:row>
      <xdr:rowOff>0</xdr:rowOff>
    </xdr:to>
    <xdr:sp macro="" textlink="$A$66">
      <xdr:nvSpPr>
        <xdr:cNvPr id="19" name="Rectángulo 18">
          <a:extLst>
            <a:ext uri="{FF2B5EF4-FFF2-40B4-BE49-F238E27FC236}">
              <a16:creationId xmlns:a16="http://schemas.microsoft.com/office/drawing/2014/main" id="{C1DE13C7-DC32-4241-A555-10274A9D6089}"/>
            </a:ext>
          </a:extLst>
        </xdr:cNvPr>
        <xdr:cNvSpPr/>
      </xdr:nvSpPr>
      <xdr:spPr>
        <a:xfrm>
          <a:off x="2053590" y="3554730"/>
          <a:ext cx="2644215"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278BB8-8729-4A4B-A8EB-9C84E7E1F12D}" type="TxLink">
            <a:rPr lang="en-US" sz="900" b="1" i="0" u="none" strike="noStrike">
              <a:solidFill>
                <a:srgbClr val="000000"/>
              </a:solidFill>
              <a:latin typeface="Aptos Narrow"/>
            </a:rPr>
            <a:pPr algn="l"/>
            <a:t>Liderazgo y Gestión del Equipo Comercial</a:t>
          </a:fld>
          <a:endParaRPr lang="es-CO" sz="1100">
            <a:solidFill>
              <a:sysClr val="windowText" lastClr="000000"/>
            </a:solidFill>
          </a:endParaRPr>
        </a:p>
      </xdr:txBody>
    </xdr:sp>
    <xdr:clientData/>
  </xdr:twoCellAnchor>
  <xdr:twoCellAnchor>
    <xdr:from>
      <xdr:col>3</xdr:col>
      <xdr:colOff>406400</xdr:colOff>
      <xdr:row>21</xdr:row>
      <xdr:rowOff>122662</xdr:rowOff>
    </xdr:from>
    <xdr:to>
      <xdr:col>3</xdr:col>
      <xdr:colOff>1242126</xdr:colOff>
      <xdr:row>25</xdr:row>
      <xdr:rowOff>95992</xdr:rowOff>
    </xdr:to>
    <xdr:sp macro="" textlink="$B$66">
      <xdr:nvSpPr>
        <xdr:cNvPr id="20" name="Rectángulo 19">
          <a:extLst>
            <a:ext uri="{FF2B5EF4-FFF2-40B4-BE49-F238E27FC236}">
              <a16:creationId xmlns:a16="http://schemas.microsoft.com/office/drawing/2014/main" id="{1847D18E-8A26-44BE-9F8D-1173DAA8D25B}"/>
            </a:ext>
          </a:extLst>
        </xdr:cNvPr>
        <xdr:cNvSpPr/>
      </xdr:nvSpPr>
      <xdr:spPr>
        <a:xfrm>
          <a:off x="2421890" y="41631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315A53-CCDF-41F8-B98F-D21D689EE071}"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4</xdr:col>
      <xdr:colOff>457201</xdr:colOff>
      <xdr:row>12</xdr:row>
      <xdr:rowOff>107052</xdr:rowOff>
    </xdr:from>
    <xdr:to>
      <xdr:col>4</xdr:col>
      <xdr:colOff>1326351</xdr:colOff>
      <xdr:row>16</xdr:row>
      <xdr:rowOff>86097</xdr:rowOff>
    </xdr:to>
    <xdr:sp macro="" textlink="$B$71">
      <xdr:nvSpPr>
        <xdr:cNvPr id="21" name="Rectángulo 20">
          <a:extLst>
            <a:ext uri="{FF2B5EF4-FFF2-40B4-BE49-F238E27FC236}">
              <a16:creationId xmlns:a16="http://schemas.microsoft.com/office/drawing/2014/main" id="{4E33B859-7FE5-4D4A-A11F-85E287340782}"/>
            </a:ext>
          </a:extLst>
        </xdr:cNvPr>
        <xdr:cNvSpPr/>
      </xdr:nvSpPr>
      <xdr:spPr>
        <a:xfrm>
          <a:off x="408622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BAD03B-9DF8-433B-BC00-B1D4C2D28DCF}" type="TxLink">
            <a:rPr lang="en-US" sz="2400" b="1" i="0" u="none" strike="noStrike">
              <a:solidFill>
                <a:schemeClr val="accent2"/>
              </a:solidFill>
              <a:latin typeface="Bahnschrift SemiBold SemiConden" panose="020B0502040204020203" pitchFamily="34" charset="0"/>
            </a:rPr>
            <a:pPr algn="l"/>
            <a:t>65%</a:t>
          </a:fld>
          <a:endParaRPr lang="es-CO" sz="2400" b="1">
            <a:solidFill>
              <a:schemeClr val="accent2"/>
            </a:solidFill>
            <a:latin typeface="Bahnschrift SemiBold SemiConden" panose="020B0502040204020203" pitchFamily="34" charset="0"/>
          </a:endParaRPr>
        </a:p>
      </xdr:txBody>
    </xdr:sp>
    <xdr:clientData/>
  </xdr:twoCellAnchor>
  <xdr:twoCellAnchor>
    <xdr:from>
      <xdr:col>4</xdr:col>
      <xdr:colOff>419100</xdr:colOff>
      <xdr:row>21</xdr:row>
      <xdr:rowOff>64664</xdr:rowOff>
    </xdr:from>
    <xdr:to>
      <xdr:col>4</xdr:col>
      <xdr:colOff>1420973</xdr:colOff>
      <xdr:row>25</xdr:row>
      <xdr:rowOff>45614</xdr:rowOff>
    </xdr:to>
    <xdr:sp macro="" textlink="$B$72">
      <xdr:nvSpPr>
        <xdr:cNvPr id="22" name="Rectángulo 21">
          <a:extLst>
            <a:ext uri="{FF2B5EF4-FFF2-40B4-BE49-F238E27FC236}">
              <a16:creationId xmlns:a16="http://schemas.microsoft.com/office/drawing/2014/main" id="{6FF0E70F-0D51-4C0E-BB32-DC0D051E74F3}"/>
            </a:ext>
          </a:extLst>
        </xdr:cNvPr>
        <xdr:cNvSpPr/>
      </xdr:nvSpPr>
      <xdr:spPr>
        <a:xfrm>
          <a:off x="4048125" y="4099454"/>
          <a:ext cx="1003778"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658D7-C757-475F-B2B1-89153B1B31BE}" type="TxLink">
            <a:rPr lang="en-US" sz="2400" b="0" i="0" u="none" strike="noStrike">
              <a:solidFill>
                <a:schemeClr val="accent2"/>
              </a:solidFill>
              <a:latin typeface="Bahnschrift SemiBold SemiConden" panose="020B0502040204020203" pitchFamily="34" charset="0"/>
            </a:rPr>
            <a:pPr algn="l"/>
            <a:t>70%</a:t>
          </a:fld>
          <a:endParaRPr lang="es-CO" sz="4000" b="1">
            <a:solidFill>
              <a:schemeClr val="accent2"/>
            </a:solidFill>
            <a:latin typeface="Bahnschrift SemiBold SemiConden" panose="020B0502040204020203" pitchFamily="34" charset="0"/>
          </a:endParaRPr>
        </a:p>
      </xdr:txBody>
    </xdr:sp>
    <xdr:clientData/>
  </xdr:twoCellAnchor>
  <xdr:oneCellAnchor>
    <xdr:from>
      <xdr:col>15</xdr:col>
      <xdr:colOff>0</xdr:colOff>
      <xdr:row>63</xdr:row>
      <xdr:rowOff>64770</xdr:rowOff>
    </xdr:from>
    <xdr:ext cx="184731" cy="264560"/>
    <xdr:sp macro="" textlink="">
      <xdr:nvSpPr>
        <xdr:cNvPr id="23" name="CuadroTexto 22">
          <a:extLst>
            <a:ext uri="{FF2B5EF4-FFF2-40B4-BE49-F238E27FC236}">
              <a16:creationId xmlns:a16="http://schemas.microsoft.com/office/drawing/2014/main" id="{A126361D-DC62-4670-A20F-F6FA64F6D63A}"/>
            </a:ext>
          </a:extLst>
        </xdr:cNvPr>
        <xdr:cNvSpPr txBox="1"/>
      </xdr:nvSpPr>
      <xdr:spPr>
        <a:xfrm>
          <a:off x="16592550" y="117214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2</xdr:col>
      <xdr:colOff>304802</xdr:colOff>
      <xdr:row>44</xdr:row>
      <xdr:rowOff>15240</xdr:rowOff>
    </xdr:from>
    <xdr:to>
      <xdr:col>5</xdr:col>
      <xdr:colOff>129542</xdr:colOff>
      <xdr:row>66</xdr:row>
      <xdr:rowOff>60325</xdr:rowOff>
    </xdr:to>
    <xdr:grpSp>
      <xdr:nvGrpSpPr>
        <xdr:cNvPr id="24" name="Grupo 23">
          <a:extLst>
            <a:ext uri="{FF2B5EF4-FFF2-40B4-BE49-F238E27FC236}">
              <a16:creationId xmlns:a16="http://schemas.microsoft.com/office/drawing/2014/main" id="{67F676D4-4AE6-4D83-B9C9-3174F02B596C}"/>
            </a:ext>
          </a:extLst>
        </xdr:cNvPr>
        <xdr:cNvGrpSpPr/>
      </xdr:nvGrpSpPr>
      <xdr:grpSpPr>
        <a:xfrm>
          <a:off x="1887417" y="8034704"/>
          <a:ext cx="3492012" cy="3935388"/>
          <a:chOff x="5275897" y="7883842"/>
          <a:chExt cx="4608644" cy="2743200"/>
        </a:xfrm>
      </xdr:grpSpPr>
      <xdr:graphicFrame macro="">
        <xdr:nvGraphicFramePr>
          <xdr:cNvPr id="25" name="Gráfico 24">
            <a:extLst>
              <a:ext uri="{FF2B5EF4-FFF2-40B4-BE49-F238E27FC236}">
                <a16:creationId xmlns:a16="http://schemas.microsoft.com/office/drawing/2014/main" id="{056A3F4E-4167-2DB2-C0C9-23F5413DCD2E}"/>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6" name="CuadroTexto 25">
            <a:extLst>
              <a:ext uri="{FF2B5EF4-FFF2-40B4-BE49-F238E27FC236}">
                <a16:creationId xmlns:a16="http://schemas.microsoft.com/office/drawing/2014/main" id="{5F3AA895-4251-679C-A460-62BE6B2CC49F}"/>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27" name="CuadroTexto 26">
            <a:extLst>
              <a:ext uri="{FF2B5EF4-FFF2-40B4-BE49-F238E27FC236}">
                <a16:creationId xmlns:a16="http://schemas.microsoft.com/office/drawing/2014/main" id="{98044956-B1F8-5BA3-499A-29133BCB5CC3}"/>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28" name="CuadroTexto 27">
            <a:extLst>
              <a:ext uri="{FF2B5EF4-FFF2-40B4-BE49-F238E27FC236}">
                <a16:creationId xmlns:a16="http://schemas.microsoft.com/office/drawing/2014/main" id="{E1FE3DDD-20BB-71D3-007F-B1886FB65AC1}"/>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29" name="CuadroTexto 28">
            <a:extLst>
              <a:ext uri="{FF2B5EF4-FFF2-40B4-BE49-F238E27FC236}">
                <a16:creationId xmlns:a16="http://schemas.microsoft.com/office/drawing/2014/main" id="{AAEE5C37-D83B-7ECE-423F-034002E73E77}"/>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30" name="CuadroTexto 29">
            <a:extLst>
              <a:ext uri="{FF2B5EF4-FFF2-40B4-BE49-F238E27FC236}">
                <a16:creationId xmlns:a16="http://schemas.microsoft.com/office/drawing/2014/main" id="{DB464383-9E94-7860-0BBF-4740D0AC2E0C}"/>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31" name="CuadroTexto 30">
            <a:extLst>
              <a:ext uri="{FF2B5EF4-FFF2-40B4-BE49-F238E27FC236}">
                <a16:creationId xmlns:a16="http://schemas.microsoft.com/office/drawing/2014/main" id="{6C516C08-0671-C8AB-122C-FC2508EDF060}"/>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71">
        <xdr:nvSpPr>
          <xdr:cNvPr id="32" name="Rectángulo 31">
            <a:extLst>
              <a:ext uri="{FF2B5EF4-FFF2-40B4-BE49-F238E27FC236}">
                <a16:creationId xmlns:a16="http://schemas.microsoft.com/office/drawing/2014/main" id="{382DC2A1-4AB1-D8EA-08C0-1D0B32375745}"/>
              </a:ext>
            </a:extLst>
          </xdr:cNvPr>
          <xdr:cNvSpPr/>
        </xdr:nvSpPr>
        <xdr:spPr>
          <a:xfrm>
            <a:off x="7201272"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73C69F8-536F-4069-B709-CE0A631B55CF}" type="TxLink">
              <a:rPr lang="en-US" sz="3600" b="0" i="0" u="none" strike="noStrike">
                <a:solidFill>
                  <a:srgbClr val="000000"/>
                </a:solidFill>
                <a:latin typeface="Bahnschrift SemiBold Condensed" panose="020B0502040204020203" pitchFamily="34" charset="0"/>
              </a:rPr>
              <a:pPr algn="l"/>
              <a:t>72</a:t>
            </a:fld>
            <a:endParaRPr lang="es-CO" sz="102800" b="1">
              <a:latin typeface="Bahnschrift SemiBold Condensed" panose="020B0502040204020203" pitchFamily="34" charset="0"/>
            </a:endParaRPr>
          </a:p>
        </xdr:txBody>
      </xdr:sp>
    </xdr:grpSp>
    <xdr:clientData/>
  </xdr:twoCellAnchor>
  <xdr:twoCellAnchor>
    <xdr:from>
      <xdr:col>3</xdr:col>
      <xdr:colOff>15240</xdr:colOff>
      <xdr:row>18</xdr:row>
      <xdr:rowOff>0</xdr:rowOff>
    </xdr:from>
    <xdr:to>
      <xdr:col>5</xdr:col>
      <xdr:colOff>9525</xdr:colOff>
      <xdr:row>18</xdr:row>
      <xdr:rowOff>0</xdr:rowOff>
    </xdr:to>
    <xdr:cxnSp macro="">
      <xdr:nvCxnSpPr>
        <xdr:cNvPr id="33" name="Conector recto 32">
          <a:extLst>
            <a:ext uri="{FF2B5EF4-FFF2-40B4-BE49-F238E27FC236}">
              <a16:creationId xmlns:a16="http://schemas.microsoft.com/office/drawing/2014/main" id="{B2036DE4-B8B6-4973-8A3F-1E03345F8E59}"/>
            </a:ext>
          </a:extLst>
        </xdr:cNvPr>
        <xdr:cNvCxnSpPr/>
      </xdr:nvCxnSpPr>
      <xdr:spPr>
        <a:xfrm>
          <a:off x="2038350" y="3495675"/>
          <a:ext cx="321183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27</xdr:row>
      <xdr:rowOff>0</xdr:rowOff>
    </xdr:from>
    <xdr:to>
      <xdr:col>5</xdr:col>
      <xdr:colOff>0</xdr:colOff>
      <xdr:row>27</xdr:row>
      <xdr:rowOff>0</xdr:rowOff>
    </xdr:to>
    <xdr:cxnSp macro="">
      <xdr:nvCxnSpPr>
        <xdr:cNvPr id="34" name="Conector recto 33">
          <a:extLst>
            <a:ext uri="{FF2B5EF4-FFF2-40B4-BE49-F238E27FC236}">
              <a16:creationId xmlns:a16="http://schemas.microsoft.com/office/drawing/2014/main" id="{6CDB02BA-A001-49B6-AFE3-D7E809D3F9C9}"/>
            </a:ext>
          </a:extLst>
        </xdr:cNvPr>
        <xdr:cNvCxnSpPr/>
      </xdr:nvCxnSpPr>
      <xdr:spPr>
        <a:xfrm>
          <a:off x="2030730" y="5124450"/>
          <a:ext cx="320802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xdr:colOff>
      <xdr:row>36</xdr:row>
      <xdr:rowOff>0</xdr:rowOff>
    </xdr:from>
    <xdr:to>
      <xdr:col>5</xdr:col>
      <xdr:colOff>0</xdr:colOff>
      <xdr:row>36</xdr:row>
      <xdr:rowOff>0</xdr:rowOff>
    </xdr:to>
    <xdr:cxnSp macro="">
      <xdr:nvCxnSpPr>
        <xdr:cNvPr id="35" name="Conector recto 34">
          <a:extLst>
            <a:ext uri="{FF2B5EF4-FFF2-40B4-BE49-F238E27FC236}">
              <a16:creationId xmlns:a16="http://schemas.microsoft.com/office/drawing/2014/main" id="{BAD6CAD7-05D4-4544-95F3-01EFB8B6B6E3}"/>
            </a:ext>
          </a:extLst>
        </xdr:cNvPr>
        <xdr:cNvCxnSpPr/>
      </xdr:nvCxnSpPr>
      <xdr:spPr>
        <a:xfrm>
          <a:off x="2021205" y="6753225"/>
          <a:ext cx="321754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70697</xdr:colOff>
      <xdr:row>54</xdr:row>
      <xdr:rowOff>177165</xdr:rowOff>
    </xdr:from>
    <xdr:ext cx="1408863" cy="732906"/>
    <xdr:pic>
      <xdr:nvPicPr>
        <xdr:cNvPr id="36" name="Imagen 35">
          <a:extLst>
            <a:ext uri="{FF2B5EF4-FFF2-40B4-BE49-F238E27FC236}">
              <a16:creationId xmlns:a16="http://schemas.microsoft.com/office/drawing/2014/main" id="{BA4FCCE0-E891-4C14-A57F-4CFB27356201}"/>
            </a:ext>
          </a:extLst>
        </xdr:cNvPr>
        <xdr:cNvPicPr>
          <a:picLocks noChangeAspect="1"/>
        </xdr:cNvPicPr>
      </xdr:nvPicPr>
      <xdr:blipFill>
        <a:blip xmlns:r="http://schemas.openxmlformats.org/officeDocument/2006/relationships" r:embed="rId18"/>
        <a:stretch>
          <a:fillRect/>
        </a:stretch>
      </xdr:blipFill>
      <xdr:spPr>
        <a:xfrm>
          <a:off x="68792" y="10184130"/>
          <a:ext cx="1408863" cy="732906"/>
        </a:xfrm>
        <a:prstGeom prst="rect">
          <a:avLst/>
        </a:prstGeom>
      </xdr:spPr>
    </xdr:pic>
    <xdr:clientData/>
  </xdr:oneCellAnchor>
  <xdr:oneCellAnchor>
    <xdr:from>
      <xdr:col>0</xdr:col>
      <xdr:colOff>504700</xdr:colOff>
      <xdr:row>5</xdr:row>
      <xdr:rowOff>165643</xdr:rowOff>
    </xdr:from>
    <xdr:ext cx="524494" cy="524494"/>
    <xdr:pic>
      <xdr:nvPicPr>
        <xdr:cNvPr id="37" name="Imagen 36">
          <a:extLst>
            <a:ext uri="{FF2B5EF4-FFF2-40B4-BE49-F238E27FC236}">
              <a16:creationId xmlns:a16="http://schemas.microsoft.com/office/drawing/2014/main" id="{53CB23DD-27C7-4009-A9D7-E1F35D8BCA7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6605" y="1293403"/>
          <a:ext cx="524494" cy="524494"/>
        </a:xfrm>
        <a:prstGeom prst="rect">
          <a:avLst/>
        </a:prstGeom>
      </xdr:spPr>
    </xdr:pic>
    <xdr:clientData/>
  </xdr:oneCellAnchor>
  <xdr:oneCellAnchor>
    <xdr:from>
      <xdr:col>24</xdr:col>
      <xdr:colOff>534391</xdr:colOff>
      <xdr:row>6</xdr:row>
      <xdr:rowOff>22558</xdr:rowOff>
    </xdr:from>
    <xdr:ext cx="484907" cy="484907"/>
    <xdr:pic>
      <xdr:nvPicPr>
        <xdr:cNvPr id="38" name="Imagen 37">
          <a:extLst>
            <a:ext uri="{FF2B5EF4-FFF2-40B4-BE49-F238E27FC236}">
              <a16:creationId xmlns:a16="http://schemas.microsoft.com/office/drawing/2014/main" id="{109B1649-E560-40A3-954D-81D55C99FF5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2116" y="1323673"/>
          <a:ext cx="484907" cy="484907"/>
        </a:xfrm>
        <a:prstGeom prst="rect">
          <a:avLst/>
        </a:prstGeom>
      </xdr:spPr>
    </xdr:pic>
    <xdr:clientData/>
  </xdr:oneCellAnchor>
  <xdr:twoCellAnchor>
    <xdr:from>
      <xdr:col>0</xdr:col>
      <xdr:colOff>56779</xdr:colOff>
      <xdr:row>11</xdr:row>
      <xdr:rowOff>43345</xdr:rowOff>
    </xdr:from>
    <xdr:to>
      <xdr:col>1</xdr:col>
      <xdr:colOff>704479</xdr:colOff>
      <xdr:row>16</xdr:row>
      <xdr:rowOff>126003</xdr:rowOff>
    </xdr:to>
    <xdr:sp macro="" textlink="">
      <xdr:nvSpPr>
        <xdr:cNvPr id="39" name="Rectángulo: esquinas redondeadas 38">
          <a:hlinkClick xmlns:r="http://schemas.openxmlformats.org/officeDocument/2006/relationships" r:id="rId21"/>
          <a:extLst>
            <a:ext uri="{FF2B5EF4-FFF2-40B4-BE49-F238E27FC236}">
              <a16:creationId xmlns:a16="http://schemas.microsoft.com/office/drawing/2014/main" id="{72154D98-78B6-4D25-9A99-65FCEC025FC4}"/>
            </a:ext>
          </a:extLst>
        </xdr:cNvPr>
        <xdr:cNvSpPr/>
      </xdr:nvSpPr>
      <xdr:spPr>
        <a:xfrm>
          <a:off x="60589" y="2274100"/>
          <a:ext cx="1438275" cy="98943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LIDER SALA VENTAS</a:t>
          </a:r>
        </a:p>
      </xdr:txBody>
    </xdr:sp>
    <xdr:clientData/>
  </xdr:twoCellAnchor>
  <xdr:twoCellAnchor>
    <xdr:from>
      <xdr:col>0</xdr:col>
      <xdr:colOff>60736</xdr:colOff>
      <xdr:row>16</xdr:row>
      <xdr:rowOff>166057</xdr:rowOff>
    </xdr:from>
    <xdr:to>
      <xdr:col>1</xdr:col>
      <xdr:colOff>708436</xdr:colOff>
      <xdr:row>22</xdr:row>
      <xdr:rowOff>70584</xdr:rowOff>
    </xdr:to>
    <xdr:sp macro="" textlink="">
      <xdr:nvSpPr>
        <xdr:cNvPr id="40" name="Rectángulo: esquinas redondeadas 39">
          <a:hlinkClick xmlns:r="http://schemas.openxmlformats.org/officeDocument/2006/relationships" r:id="rId22"/>
          <a:extLst>
            <a:ext uri="{FF2B5EF4-FFF2-40B4-BE49-F238E27FC236}">
              <a16:creationId xmlns:a16="http://schemas.microsoft.com/office/drawing/2014/main" id="{A30A4EF1-64FD-4C3E-BC57-86741A3E3356}"/>
            </a:ext>
          </a:extLst>
        </xdr:cNvPr>
        <xdr:cNvSpPr/>
      </xdr:nvSpPr>
      <xdr:spPr>
        <a:xfrm>
          <a:off x="56926" y="3303592"/>
          <a:ext cx="1438275" cy="984662"/>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ASESOR COMERCIAL</a:t>
          </a:r>
        </a:p>
      </xdr:txBody>
    </xdr:sp>
    <xdr:clientData/>
  </xdr:twoCellAnchor>
  <xdr:twoCellAnchor>
    <xdr:from>
      <xdr:col>0</xdr:col>
      <xdr:colOff>44903</xdr:colOff>
      <xdr:row>22</xdr:row>
      <xdr:rowOff>120533</xdr:rowOff>
    </xdr:from>
    <xdr:to>
      <xdr:col>1</xdr:col>
      <xdr:colOff>692603</xdr:colOff>
      <xdr:row>28</xdr:row>
      <xdr:rowOff>25061</xdr:rowOff>
    </xdr:to>
    <xdr:sp macro="" textlink="">
      <xdr:nvSpPr>
        <xdr:cNvPr id="41" name="Rectángulo: esquinas redondeadas 40">
          <a:hlinkClick xmlns:r="http://schemas.openxmlformats.org/officeDocument/2006/relationships" r:id="rId23"/>
          <a:extLst>
            <a:ext uri="{FF2B5EF4-FFF2-40B4-BE49-F238E27FC236}">
              <a16:creationId xmlns:a16="http://schemas.microsoft.com/office/drawing/2014/main" id="{62C3D156-83F9-4FF8-831B-D01F975381AA}"/>
            </a:ext>
          </a:extLst>
        </xdr:cNvPr>
        <xdr:cNvSpPr/>
      </xdr:nvSpPr>
      <xdr:spPr>
        <a:xfrm>
          <a:off x="46808" y="4342013"/>
          <a:ext cx="1438275" cy="984663"/>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t>
          </a:r>
          <a:r>
            <a:rPr lang="es-CO" sz="600">
              <a:solidFill>
                <a:schemeClr val="accent1"/>
              </a:solidFill>
              <a:latin typeface="Artifakt Element Heavy" panose="020B0B03050000020004" pitchFamily="34" charset="0"/>
              <a:ea typeface="Artifakt Element Heavy" panose="020B0B03050000020004" pitchFamily="34" charset="0"/>
            </a:rPr>
            <a:t>ASESOR COMERCIAL ADMON</a:t>
          </a:r>
          <a:endParaRPr lang="es-CO" sz="700">
            <a:solidFill>
              <a:schemeClr val="accent1"/>
            </a:solidFill>
            <a:latin typeface="Artifakt Element Heavy" panose="020B0B03050000020004" pitchFamily="34" charset="0"/>
            <a:ea typeface="Artifakt Element Heavy" panose="020B0B03050000020004" pitchFamily="34" charset="0"/>
          </a:endParaRPr>
        </a:p>
      </xdr:txBody>
    </xdr:sp>
    <xdr:clientData/>
  </xdr:twoCellAnchor>
  <xdr:oneCellAnchor>
    <xdr:from>
      <xdr:col>0</xdr:col>
      <xdr:colOff>508659</xdr:colOff>
      <xdr:row>11</xdr:row>
      <xdr:rowOff>80537</xdr:rowOff>
    </xdr:from>
    <xdr:ext cx="524494" cy="524494"/>
    <xdr:pic>
      <xdr:nvPicPr>
        <xdr:cNvPr id="42" name="Imagen 41">
          <a:extLst>
            <a:ext uri="{FF2B5EF4-FFF2-40B4-BE49-F238E27FC236}">
              <a16:creationId xmlns:a16="http://schemas.microsoft.com/office/drawing/2014/main" id="{56F997AA-6BC5-45A0-A747-19EE826F619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12469" y="2311292"/>
          <a:ext cx="524494" cy="524494"/>
        </a:xfrm>
        <a:prstGeom prst="rect">
          <a:avLst/>
        </a:prstGeom>
      </xdr:spPr>
    </xdr:pic>
    <xdr:clientData/>
  </xdr:oneCellAnchor>
  <xdr:oneCellAnchor>
    <xdr:from>
      <xdr:col>0</xdr:col>
      <xdr:colOff>502721</xdr:colOff>
      <xdr:row>17</xdr:row>
      <xdr:rowOff>15223</xdr:rowOff>
    </xdr:from>
    <xdr:ext cx="524494" cy="524494"/>
    <xdr:pic>
      <xdr:nvPicPr>
        <xdr:cNvPr id="43" name="Imagen 42">
          <a:extLst>
            <a:ext uri="{FF2B5EF4-FFF2-40B4-BE49-F238E27FC236}">
              <a16:creationId xmlns:a16="http://schemas.microsoft.com/office/drawing/2014/main" id="{79DD5DB2-BB54-4850-AE36-207C2984B81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4626" y="3333733"/>
          <a:ext cx="524494" cy="524494"/>
        </a:xfrm>
        <a:prstGeom prst="rect">
          <a:avLst/>
        </a:prstGeom>
      </xdr:spPr>
    </xdr:pic>
    <xdr:clientData/>
  </xdr:oneCellAnchor>
  <xdr:oneCellAnchor>
    <xdr:from>
      <xdr:col>0</xdr:col>
      <xdr:colOff>506679</xdr:colOff>
      <xdr:row>22</xdr:row>
      <xdr:rowOff>157726</xdr:rowOff>
    </xdr:from>
    <xdr:ext cx="524494" cy="524494"/>
    <xdr:pic>
      <xdr:nvPicPr>
        <xdr:cNvPr id="44" name="Imagen 43">
          <a:extLst>
            <a:ext uri="{FF2B5EF4-FFF2-40B4-BE49-F238E27FC236}">
              <a16:creationId xmlns:a16="http://schemas.microsoft.com/office/drawing/2014/main" id="{A13CF05C-5CB7-4788-B202-4A9FC35A71A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8584" y="4379206"/>
          <a:ext cx="524494" cy="524494"/>
        </a:xfrm>
        <a:prstGeom prst="rect">
          <a:avLst/>
        </a:prstGeom>
      </xdr:spPr>
    </xdr:pic>
    <xdr:clientData/>
  </xdr:oneCellAnchor>
  <xdr:twoCellAnchor>
    <xdr:from>
      <xdr:col>24</xdr:col>
      <xdr:colOff>60738</xdr:colOff>
      <xdr:row>11</xdr:row>
      <xdr:rowOff>50099</xdr:rowOff>
    </xdr:from>
    <xdr:to>
      <xdr:col>24</xdr:col>
      <xdr:colOff>1500126</xdr:colOff>
      <xdr:row>16</xdr:row>
      <xdr:rowOff>122489</xdr:rowOff>
    </xdr:to>
    <xdr:sp macro="" textlink="">
      <xdr:nvSpPr>
        <xdr:cNvPr id="45" name="Rectángulo: esquinas redondeadas 44">
          <a:hlinkClick xmlns:r="http://schemas.openxmlformats.org/officeDocument/2006/relationships" r:id="rId24"/>
          <a:extLst>
            <a:ext uri="{FF2B5EF4-FFF2-40B4-BE49-F238E27FC236}">
              <a16:creationId xmlns:a16="http://schemas.microsoft.com/office/drawing/2014/main" id="{D45B5468-9B3E-493C-9ADB-07AB5D83A0CE}"/>
            </a:ext>
          </a:extLst>
        </xdr:cNvPr>
        <xdr:cNvSpPr/>
      </xdr:nvSpPr>
      <xdr:spPr>
        <a:xfrm>
          <a:off x="23764653" y="2282759"/>
          <a:ext cx="1447008" cy="97536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LIDER SALA DE VENTAS</a:t>
          </a:r>
        </a:p>
      </xdr:txBody>
    </xdr:sp>
    <xdr:clientData/>
  </xdr:twoCellAnchor>
  <xdr:oneCellAnchor>
    <xdr:from>
      <xdr:col>24</xdr:col>
      <xdr:colOff>528454</xdr:colOff>
      <xdr:row>11</xdr:row>
      <xdr:rowOff>135373</xdr:rowOff>
    </xdr:from>
    <xdr:ext cx="484907" cy="484907"/>
    <xdr:pic>
      <xdr:nvPicPr>
        <xdr:cNvPr id="46" name="Imagen 45">
          <a:extLst>
            <a:ext uri="{FF2B5EF4-FFF2-40B4-BE49-F238E27FC236}">
              <a16:creationId xmlns:a16="http://schemas.microsoft.com/office/drawing/2014/main" id="{B746E9B1-0FDC-4C3A-A263-C11E69C9364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4274" y="2360413"/>
          <a:ext cx="484907" cy="484907"/>
        </a:xfrm>
        <a:prstGeom prst="rect">
          <a:avLst/>
        </a:prstGeom>
      </xdr:spPr>
    </xdr:pic>
    <xdr:clientData/>
  </xdr:oneCellAnchor>
  <xdr:twoCellAnchor>
    <xdr:from>
      <xdr:col>24</xdr:col>
      <xdr:colOff>64698</xdr:colOff>
      <xdr:row>16</xdr:row>
      <xdr:rowOff>172811</xdr:rowOff>
    </xdr:from>
    <xdr:to>
      <xdr:col>24</xdr:col>
      <xdr:colOff>1504086</xdr:colOff>
      <xdr:row>22</xdr:row>
      <xdr:rowOff>67070</xdr:rowOff>
    </xdr:to>
    <xdr:sp macro="" textlink="">
      <xdr:nvSpPr>
        <xdr:cNvPr id="47" name="Rectángulo: esquinas redondeadas 46">
          <a:hlinkClick xmlns:r="http://schemas.openxmlformats.org/officeDocument/2006/relationships" r:id="rId25"/>
          <a:extLst>
            <a:ext uri="{FF2B5EF4-FFF2-40B4-BE49-F238E27FC236}">
              <a16:creationId xmlns:a16="http://schemas.microsoft.com/office/drawing/2014/main" id="{036C33C7-5D0E-4744-BB32-E9E3227AD29A}"/>
            </a:ext>
          </a:extLst>
        </xdr:cNvPr>
        <xdr:cNvSpPr/>
      </xdr:nvSpPr>
      <xdr:spPr>
        <a:xfrm>
          <a:off x="23768613" y="3302726"/>
          <a:ext cx="1447008" cy="982014"/>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ASESOR COMERCIAL</a:t>
          </a:r>
        </a:p>
      </xdr:txBody>
    </xdr:sp>
    <xdr:clientData/>
  </xdr:twoCellAnchor>
  <xdr:oneCellAnchor>
    <xdr:from>
      <xdr:col>24</xdr:col>
      <xdr:colOff>532414</xdr:colOff>
      <xdr:row>17</xdr:row>
      <xdr:rowOff>79955</xdr:rowOff>
    </xdr:from>
    <xdr:ext cx="484907" cy="484907"/>
    <xdr:pic>
      <xdr:nvPicPr>
        <xdr:cNvPr id="48" name="Imagen 47">
          <a:extLst>
            <a:ext uri="{FF2B5EF4-FFF2-40B4-BE49-F238E27FC236}">
              <a16:creationId xmlns:a16="http://schemas.microsoft.com/office/drawing/2014/main" id="{DD0C404F-3D91-45E1-BFA6-1AA9BB7BAF8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0139" y="3394655"/>
          <a:ext cx="484907" cy="484907"/>
        </a:xfrm>
        <a:prstGeom prst="rect">
          <a:avLst/>
        </a:prstGeom>
      </xdr:spPr>
    </xdr:pic>
    <xdr:clientData/>
  </xdr:oneCellAnchor>
  <xdr:twoCellAnchor>
    <xdr:from>
      <xdr:col>24</xdr:col>
      <xdr:colOff>58760</xdr:colOff>
      <xdr:row>22</xdr:row>
      <xdr:rowOff>117392</xdr:rowOff>
    </xdr:from>
    <xdr:to>
      <xdr:col>24</xdr:col>
      <xdr:colOff>1498148</xdr:colOff>
      <xdr:row>28</xdr:row>
      <xdr:rowOff>11652</xdr:rowOff>
    </xdr:to>
    <xdr:sp macro="" textlink="">
      <xdr:nvSpPr>
        <xdr:cNvPr id="49" name="Rectángulo: esquinas redondeadas 48">
          <a:hlinkClick xmlns:r="http://schemas.openxmlformats.org/officeDocument/2006/relationships" r:id="rId26"/>
          <a:extLst>
            <a:ext uri="{FF2B5EF4-FFF2-40B4-BE49-F238E27FC236}">
              <a16:creationId xmlns:a16="http://schemas.microsoft.com/office/drawing/2014/main" id="{5972DC8F-6F44-40A8-8D92-165BD90DF465}"/>
            </a:ext>
          </a:extLst>
        </xdr:cNvPr>
        <xdr:cNvSpPr/>
      </xdr:nvSpPr>
      <xdr:spPr>
        <a:xfrm>
          <a:off x="23762675" y="4336967"/>
          <a:ext cx="1447008" cy="98392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ASESOR COMERCIAL ADMON</a:t>
          </a:r>
        </a:p>
      </xdr:txBody>
    </xdr:sp>
    <xdr:clientData/>
  </xdr:twoCellAnchor>
  <xdr:oneCellAnchor>
    <xdr:from>
      <xdr:col>24</xdr:col>
      <xdr:colOff>526476</xdr:colOff>
      <xdr:row>23</xdr:row>
      <xdr:rowOff>24536</xdr:rowOff>
    </xdr:from>
    <xdr:ext cx="484907" cy="484907"/>
    <xdr:pic>
      <xdr:nvPicPr>
        <xdr:cNvPr id="50" name="Imagen 49">
          <a:extLst>
            <a:ext uri="{FF2B5EF4-FFF2-40B4-BE49-F238E27FC236}">
              <a16:creationId xmlns:a16="http://schemas.microsoft.com/office/drawing/2014/main" id="{9649CA62-7859-4BFF-9629-0B54FDD0F44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2296" y="4421276"/>
          <a:ext cx="484907" cy="484907"/>
        </a:xfrm>
        <a:prstGeom prst="rect">
          <a:avLst/>
        </a:prstGeom>
      </xdr:spPr>
    </xdr:pic>
    <xdr:clientData/>
  </xdr:oneCellAnchor>
  <xdr:twoCellAnchor>
    <xdr:from>
      <xdr:col>3</xdr:col>
      <xdr:colOff>57149</xdr:colOff>
      <xdr:row>9</xdr:row>
      <xdr:rowOff>20956</xdr:rowOff>
    </xdr:from>
    <xdr:to>
      <xdr:col>4</xdr:col>
      <xdr:colOff>1227116</xdr:colOff>
      <xdr:row>10</xdr:row>
      <xdr:rowOff>98962</xdr:rowOff>
    </xdr:to>
    <xdr:sp macro="" textlink="$A$65">
      <xdr:nvSpPr>
        <xdr:cNvPr id="51" name="Rectángulo 50">
          <a:extLst>
            <a:ext uri="{FF2B5EF4-FFF2-40B4-BE49-F238E27FC236}">
              <a16:creationId xmlns:a16="http://schemas.microsoft.com/office/drawing/2014/main" id="{60789C25-30FC-4AD1-A43E-E986EEA652B8}"/>
            </a:ext>
          </a:extLst>
        </xdr:cNvPr>
        <xdr:cNvSpPr/>
      </xdr:nvSpPr>
      <xdr:spPr>
        <a:xfrm>
          <a:off x="2080259" y="1884046"/>
          <a:ext cx="2777787"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3D07D8-2C8A-4E10-82FE-573E7CD5990F}" type="TxLink">
            <a:rPr lang="en-US" sz="900" b="1" i="0" u="none" strike="noStrike">
              <a:solidFill>
                <a:srgbClr val="000000"/>
              </a:solidFill>
              <a:latin typeface="Aptos Narrow"/>
            </a:rPr>
            <a:pPr algn="l"/>
            <a:t>Estrategia y Planificación Comercial</a:t>
          </a:fld>
          <a:endParaRPr lang="es-CO" sz="1100">
            <a:solidFill>
              <a:sysClr val="windowText" lastClr="000000"/>
            </a:solidFill>
          </a:endParaRPr>
        </a:p>
      </xdr:txBody>
    </xdr:sp>
    <xdr:clientData/>
  </xdr:twoCellAnchor>
  <xdr:twoCellAnchor>
    <xdr:from>
      <xdr:col>3</xdr:col>
      <xdr:colOff>1206500</xdr:colOff>
      <xdr:row>26</xdr:row>
      <xdr:rowOff>127001</xdr:rowOff>
    </xdr:from>
    <xdr:to>
      <xdr:col>5</xdr:col>
      <xdr:colOff>266700</xdr:colOff>
      <xdr:row>39</xdr:row>
      <xdr:rowOff>76201</xdr:rowOff>
    </xdr:to>
    <xdr:graphicFrame macro="">
      <xdr:nvGraphicFramePr>
        <xdr:cNvPr id="52" name="Gráfico 51">
          <a:extLst>
            <a:ext uri="{FF2B5EF4-FFF2-40B4-BE49-F238E27FC236}">
              <a16:creationId xmlns:a16="http://schemas.microsoft.com/office/drawing/2014/main" id="{684B8FE3-6E7A-4A37-8326-CD8A69254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482600</xdr:colOff>
      <xdr:row>30</xdr:row>
      <xdr:rowOff>133301</xdr:rowOff>
    </xdr:from>
    <xdr:to>
      <xdr:col>4</xdr:col>
      <xdr:colOff>1415077</xdr:colOff>
      <xdr:row>34</xdr:row>
      <xdr:rowOff>121871</xdr:rowOff>
    </xdr:to>
    <xdr:sp macro="" textlink="$B$73">
      <xdr:nvSpPr>
        <xdr:cNvPr id="53" name="Rectángulo 52">
          <a:extLst>
            <a:ext uri="{FF2B5EF4-FFF2-40B4-BE49-F238E27FC236}">
              <a16:creationId xmlns:a16="http://schemas.microsoft.com/office/drawing/2014/main" id="{8C319634-0B44-48C1-984B-49DACE2652FD}"/>
            </a:ext>
          </a:extLst>
        </xdr:cNvPr>
        <xdr:cNvSpPr/>
      </xdr:nvSpPr>
      <xdr:spPr>
        <a:xfrm>
          <a:off x="410781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12F86-146D-46A1-819C-080CBABE43EE}" type="TxLink">
            <a:rPr lang="en-US" sz="2400" b="0" i="0" u="none" strike="noStrike">
              <a:solidFill>
                <a:schemeClr val="accent2"/>
              </a:solidFill>
              <a:latin typeface="Bahnschrift SemiBold SemiConden" panose="020B0502040204020203" pitchFamily="34" charset="0"/>
            </a:rPr>
            <a:pPr algn="l"/>
            <a:t>75%</a:t>
          </a:fld>
          <a:endParaRPr lang="es-CO" sz="7200" b="1">
            <a:solidFill>
              <a:schemeClr val="accent2"/>
            </a:solidFill>
            <a:latin typeface="Bahnschrift SemiBold SemiConden" panose="020B0502040204020203" pitchFamily="34" charset="0"/>
          </a:endParaRPr>
        </a:p>
      </xdr:txBody>
    </xdr:sp>
    <xdr:clientData/>
  </xdr:twoCellAnchor>
  <xdr:twoCellAnchor>
    <xdr:from>
      <xdr:col>2</xdr:col>
      <xdr:colOff>9898</xdr:colOff>
      <xdr:row>27</xdr:row>
      <xdr:rowOff>62593</xdr:rowOff>
    </xdr:from>
    <xdr:to>
      <xdr:col>4</xdr:col>
      <xdr:colOff>258124</xdr:colOff>
      <xdr:row>37</xdr:row>
      <xdr:rowOff>49480</xdr:rowOff>
    </xdr:to>
    <xdr:graphicFrame macro="">
      <xdr:nvGraphicFramePr>
        <xdr:cNvPr id="54" name="Gráfico 53">
          <a:extLst>
            <a:ext uri="{FF2B5EF4-FFF2-40B4-BE49-F238E27FC236}">
              <a16:creationId xmlns:a16="http://schemas.microsoft.com/office/drawing/2014/main" id="{8331C4C5-F791-4DE4-AEDA-0C5922A53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12064</xdr:colOff>
      <xdr:row>27</xdr:row>
      <xdr:rowOff>78105</xdr:rowOff>
    </xdr:from>
    <xdr:to>
      <xdr:col>4</xdr:col>
      <xdr:colOff>1085767</xdr:colOff>
      <xdr:row>29</xdr:row>
      <xdr:rowOff>0</xdr:rowOff>
    </xdr:to>
    <xdr:sp macro="" textlink="$A$67">
      <xdr:nvSpPr>
        <xdr:cNvPr id="55" name="Rectángulo 54">
          <a:extLst>
            <a:ext uri="{FF2B5EF4-FFF2-40B4-BE49-F238E27FC236}">
              <a16:creationId xmlns:a16="http://schemas.microsoft.com/office/drawing/2014/main" id="{78710056-837A-4E16-B156-2F3809A909E4}"/>
            </a:ext>
          </a:extLst>
        </xdr:cNvPr>
        <xdr:cNvSpPr/>
      </xdr:nvSpPr>
      <xdr:spPr>
        <a:xfrm>
          <a:off x="2035174" y="5202555"/>
          <a:ext cx="2683428"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8E57EB-F09B-4A66-A074-95FAF6C5C1F3}"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3</xdr:col>
      <xdr:colOff>419100</xdr:colOff>
      <xdr:row>30</xdr:row>
      <xdr:rowOff>172712</xdr:rowOff>
    </xdr:from>
    <xdr:to>
      <xdr:col>3</xdr:col>
      <xdr:colOff>1359066</xdr:colOff>
      <xdr:row>34</xdr:row>
      <xdr:rowOff>150182</xdr:rowOff>
    </xdr:to>
    <xdr:sp macro="" textlink="$B$67">
      <xdr:nvSpPr>
        <xdr:cNvPr id="56" name="Rectángulo 55">
          <a:extLst>
            <a:ext uri="{FF2B5EF4-FFF2-40B4-BE49-F238E27FC236}">
              <a16:creationId xmlns:a16="http://schemas.microsoft.com/office/drawing/2014/main" id="{51E8CDA0-C700-4388-9A7B-FF17511B8AC5}"/>
            </a:ext>
          </a:extLst>
        </xdr:cNvPr>
        <xdr:cNvSpPr/>
      </xdr:nvSpPr>
      <xdr:spPr>
        <a:xfrm>
          <a:off x="2438400" y="58362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531075-0DF5-47F5-9E0C-35FB255065FF}"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46355</xdr:colOff>
      <xdr:row>36</xdr:row>
      <xdr:rowOff>77470</xdr:rowOff>
    </xdr:from>
    <xdr:to>
      <xdr:col>4</xdr:col>
      <xdr:colOff>401320</xdr:colOff>
      <xdr:row>38</xdr:row>
      <xdr:rowOff>12700</xdr:rowOff>
    </xdr:to>
    <xdr:sp macro="" textlink="$A$68">
      <xdr:nvSpPr>
        <xdr:cNvPr id="57" name="Rectángulo 56">
          <a:extLst>
            <a:ext uri="{FF2B5EF4-FFF2-40B4-BE49-F238E27FC236}">
              <a16:creationId xmlns:a16="http://schemas.microsoft.com/office/drawing/2014/main" id="{927DE469-F9B6-4397-8A6B-63C55669EEA3}"/>
            </a:ext>
          </a:extLst>
        </xdr:cNvPr>
        <xdr:cNvSpPr/>
      </xdr:nvSpPr>
      <xdr:spPr>
        <a:xfrm>
          <a:off x="2067560" y="6830695"/>
          <a:ext cx="195897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54BDE8-124D-4AF6-B77A-C0F17417990D}" type="TxLink">
            <a:rPr lang="en-US" sz="900" b="1" i="0" u="none" strike="noStrike">
              <a:solidFill>
                <a:srgbClr val="000000"/>
              </a:solidFill>
              <a:latin typeface="Aptos Narrow"/>
            </a:rPr>
            <a:pPr algn="l"/>
            <a:t>Gestión Documental y Procesos Legales/Internos</a:t>
          </a:fld>
          <a:endParaRPr lang="es-CO" sz="1100">
            <a:solidFill>
              <a:sysClr val="windowText" lastClr="000000"/>
            </a:solidFill>
          </a:endParaRPr>
        </a:p>
      </xdr:txBody>
    </xdr:sp>
    <xdr:clientData/>
  </xdr:twoCellAnchor>
  <xdr:twoCellAnchor>
    <xdr:from>
      <xdr:col>2</xdr:col>
      <xdr:colOff>38100</xdr:colOff>
      <xdr:row>36</xdr:row>
      <xdr:rowOff>63500</xdr:rowOff>
    </xdr:from>
    <xdr:to>
      <xdr:col>4</xdr:col>
      <xdr:colOff>286326</xdr:colOff>
      <xdr:row>46</xdr:row>
      <xdr:rowOff>63087</xdr:rowOff>
    </xdr:to>
    <xdr:graphicFrame macro="">
      <xdr:nvGraphicFramePr>
        <xdr:cNvPr id="58" name="Gráfico 57">
          <a:extLst>
            <a:ext uri="{FF2B5EF4-FFF2-40B4-BE49-F238E27FC236}">
              <a16:creationId xmlns:a16="http://schemas.microsoft.com/office/drawing/2014/main" id="{73249104-A871-4584-93A1-B292B7C11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431800</xdr:colOff>
      <xdr:row>40</xdr:row>
      <xdr:rowOff>33919</xdr:rowOff>
    </xdr:from>
    <xdr:to>
      <xdr:col>3</xdr:col>
      <xdr:colOff>1374568</xdr:colOff>
      <xdr:row>44</xdr:row>
      <xdr:rowOff>11389</xdr:rowOff>
    </xdr:to>
    <xdr:sp macro="" textlink="$B$68">
      <xdr:nvSpPr>
        <xdr:cNvPr id="59" name="Rectángulo 58">
          <a:extLst>
            <a:ext uri="{FF2B5EF4-FFF2-40B4-BE49-F238E27FC236}">
              <a16:creationId xmlns:a16="http://schemas.microsoft.com/office/drawing/2014/main" id="{B84153A2-A9A0-4B59-9DC1-4570EB1F27DE}"/>
            </a:ext>
          </a:extLst>
        </xdr:cNvPr>
        <xdr:cNvSpPr/>
      </xdr:nvSpPr>
      <xdr:spPr>
        <a:xfrm>
          <a:off x="2454910" y="7509139"/>
          <a:ext cx="938958"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397614-A3C7-4E47-969D-F2E581A381A7}" type="TxLink">
            <a:rPr lang="en-US" sz="2400" b="0" i="0" u="none" strike="noStrike">
              <a:solidFill>
                <a:schemeClr val="tx2">
                  <a:lumMod val="50000"/>
                  <a:lumOff val="50000"/>
                </a:schemeClr>
              </a:solidFill>
              <a:latin typeface="Bahnschrift SemiBold SemiConden" panose="020B0502040204020203" pitchFamily="34" charset="0"/>
            </a:rPr>
            <a:pPr algn="l"/>
            <a:t>10%</a:t>
          </a:fld>
          <a:endParaRPr lang="es-CO" sz="4800">
            <a:solidFill>
              <a:schemeClr val="tx2">
                <a:lumMod val="50000"/>
                <a:lumOff val="50000"/>
              </a:schemeClr>
            </a:solidFill>
            <a:latin typeface="Bahnschrift SemiBold SemiConden" panose="020B0502040204020203" pitchFamily="34" charset="0"/>
          </a:endParaRPr>
        </a:p>
      </xdr:txBody>
    </xdr:sp>
    <xdr:clientData/>
  </xdr:twoCellAnchor>
  <xdr:twoCellAnchor>
    <xdr:from>
      <xdr:col>3</xdr:col>
      <xdr:colOff>1168400</xdr:colOff>
      <xdr:row>35</xdr:row>
      <xdr:rowOff>25400</xdr:rowOff>
    </xdr:from>
    <xdr:to>
      <xdr:col>5</xdr:col>
      <xdr:colOff>266700</xdr:colOff>
      <xdr:row>49</xdr:row>
      <xdr:rowOff>76200</xdr:rowOff>
    </xdr:to>
    <xdr:graphicFrame macro="">
      <xdr:nvGraphicFramePr>
        <xdr:cNvPr id="60" name="Gráfico 59">
          <a:extLst>
            <a:ext uri="{FF2B5EF4-FFF2-40B4-BE49-F238E27FC236}">
              <a16:creationId xmlns:a16="http://schemas.microsoft.com/office/drawing/2014/main" id="{54A73E3C-A1E9-42FA-B9DF-6264ECA3D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431800</xdr:colOff>
      <xdr:row>39</xdr:row>
      <xdr:rowOff>126206</xdr:rowOff>
    </xdr:from>
    <xdr:to>
      <xdr:col>4</xdr:col>
      <xdr:colOff>1287219</xdr:colOff>
      <xdr:row>43</xdr:row>
      <xdr:rowOff>114776</xdr:rowOff>
    </xdr:to>
    <xdr:sp macro="" textlink="$B$74">
      <xdr:nvSpPr>
        <xdr:cNvPr id="61" name="Rectángulo 60">
          <a:extLst>
            <a:ext uri="{FF2B5EF4-FFF2-40B4-BE49-F238E27FC236}">
              <a16:creationId xmlns:a16="http://schemas.microsoft.com/office/drawing/2014/main" id="{49C754FA-9168-4069-81A2-F71AEEE5A9FB}"/>
            </a:ext>
          </a:extLst>
        </xdr:cNvPr>
        <xdr:cNvSpPr/>
      </xdr:nvSpPr>
      <xdr:spPr>
        <a:xfrm>
          <a:off x="406463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CF9677-B3B5-4374-B430-B5B9F02553B2}" type="TxLink">
            <a:rPr lang="en-US" sz="2400" b="0" i="0" u="none" strike="noStrike">
              <a:solidFill>
                <a:schemeClr val="accent2"/>
              </a:solidFill>
              <a:latin typeface="Bahnschrift SemiBold SemiConden" panose="020B0502040204020203" pitchFamily="34" charset="0"/>
            </a:rPr>
            <a:pPr algn="l"/>
            <a:t>92%</a:t>
          </a:fld>
          <a:endParaRPr lang="es-CO" sz="16600" b="1">
            <a:solidFill>
              <a:schemeClr val="accent2"/>
            </a:solidFill>
            <a:latin typeface="Bahnschrift SemiBold SemiConden" panose="020B0502040204020203" pitchFamily="34" charset="0"/>
          </a:endParaRPr>
        </a:p>
      </xdr:txBody>
    </xdr:sp>
    <xdr:clientData/>
  </xdr:twoCellAnchor>
  <xdr:twoCellAnchor>
    <xdr:from>
      <xdr:col>5</xdr:col>
      <xdr:colOff>278951</xdr:colOff>
      <xdr:row>8</xdr:row>
      <xdr:rowOff>184892</xdr:rowOff>
    </xdr:from>
    <xdr:to>
      <xdr:col>7</xdr:col>
      <xdr:colOff>315686</xdr:colOff>
      <xdr:row>19</xdr:row>
      <xdr:rowOff>14185</xdr:rowOff>
    </xdr:to>
    <xdr:graphicFrame macro="">
      <xdr:nvGraphicFramePr>
        <xdr:cNvPr id="62" name="Gráfico 61">
          <a:extLst>
            <a:ext uri="{FF2B5EF4-FFF2-40B4-BE49-F238E27FC236}">
              <a16:creationId xmlns:a16="http://schemas.microsoft.com/office/drawing/2014/main" id="{DA52FF7C-2D3E-47DD-BFDB-732AE813A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1215240</xdr:colOff>
      <xdr:row>6</xdr:row>
      <xdr:rowOff>104570</xdr:rowOff>
    </xdr:from>
    <xdr:to>
      <xdr:col>8</xdr:col>
      <xdr:colOff>228599</xdr:colOff>
      <xdr:row>21</xdr:row>
      <xdr:rowOff>127000</xdr:rowOff>
    </xdr:to>
    <xdr:graphicFrame macro="">
      <xdr:nvGraphicFramePr>
        <xdr:cNvPr id="63" name="Gráfico 62">
          <a:extLst>
            <a:ext uri="{FF2B5EF4-FFF2-40B4-BE49-F238E27FC236}">
              <a16:creationId xmlns:a16="http://schemas.microsoft.com/office/drawing/2014/main" id="{E2B11C0A-BB17-4EFE-8847-9108F929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xdr:col>
      <xdr:colOff>1232848</xdr:colOff>
      <xdr:row>16</xdr:row>
      <xdr:rowOff>125102</xdr:rowOff>
    </xdr:from>
    <xdr:to>
      <xdr:col>8</xdr:col>
      <xdr:colOff>330200</xdr:colOff>
      <xdr:row>31</xdr:row>
      <xdr:rowOff>63500</xdr:rowOff>
    </xdr:to>
    <xdr:graphicFrame macro="">
      <xdr:nvGraphicFramePr>
        <xdr:cNvPr id="64" name="Gráfico 63">
          <a:extLst>
            <a:ext uri="{FF2B5EF4-FFF2-40B4-BE49-F238E27FC236}">
              <a16:creationId xmlns:a16="http://schemas.microsoft.com/office/drawing/2014/main" id="{94316645-AF60-4662-A66B-DAA05A671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264397</xdr:colOff>
      <xdr:row>17</xdr:row>
      <xdr:rowOff>152728</xdr:rowOff>
    </xdr:from>
    <xdr:to>
      <xdr:col>7</xdr:col>
      <xdr:colOff>349662</xdr:colOff>
      <xdr:row>27</xdr:row>
      <xdr:rowOff>162296</xdr:rowOff>
    </xdr:to>
    <xdr:graphicFrame macro="">
      <xdr:nvGraphicFramePr>
        <xdr:cNvPr id="65" name="Gráfico 64">
          <a:extLst>
            <a:ext uri="{FF2B5EF4-FFF2-40B4-BE49-F238E27FC236}">
              <a16:creationId xmlns:a16="http://schemas.microsoft.com/office/drawing/2014/main" id="{6BF20964-8103-40A0-BC70-140DD2FF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xdr:col>
      <xdr:colOff>596900</xdr:colOff>
      <xdr:row>12</xdr:row>
      <xdr:rowOff>93188</xdr:rowOff>
    </xdr:from>
    <xdr:to>
      <xdr:col>6</xdr:col>
      <xdr:colOff>1469242</xdr:colOff>
      <xdr:row>16</xdr:row>
      <xdr:rowOff>60803</xdr:rowOff>
    </xdr:to>
    <xdr:sp macro="" textlink="$B$79">
      <xdr:nvSpPr>
        <xdr:cNvPr id="66" name="Rectángulo 65">
          <a:extLst>
            <a:ext uri="{FF2B5EF4-FFF2-40B4-BE49-F238E27FC236}">
              <a16:creationId xmlns:a16="http://schemas.microsoft.com/office/drawing/2014/main" id="{185BDC35-4E58-45BC-9AA0-B3758310CCDF}"/>
            </a:ext>
          </a:extLst>
        </xdr:cNvPr>
        <xdr:cNvSpPr/>
      </xdr:nvSpPr>
      <xdr:spPr>
        <a:xfrm>
          <a:off x="6241415" y="2506823"/>
          <a:ext cx="872342"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6BCCF-D0AA-4E12-A142-E04E7285F328}"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34290</xdr:colOff>
      <xdr:row>18</xdr:row>
      <xdr:rowOff>55245</xdr:rowOff>
    </xdr:from>
    <xdr:to>
      <xdr:col>7</xdr:col>
      <xdr:colOff>1068780</xdr:colOff>
      <xdr:row>20</xdr:row>
      <xdr:rowOff>0</xdr:rowOff>
    </xdr:to>
    <xdr:sp macro="" textlink="$A$80">
      <xdr:nvSpPr>
        <xdr:cNvPr id="67" name="Rectángulo 66">
          <a:extLst>
            <a:ext uri="{FF2B5EF4-FFF2-40B4-BE49-F238E27FC236}">
              <a16:creationId xmlns:a16="http://schemas.microsoft.com/office/drawing/2014/main" id="{CBAAC513-D730-44AB-A89C-2BA4B97EF059}"/>
            </a:ext>
          </a:extLst>
        </xdr:cNvPr>
        <xdr:cNvSpPr/>
      </xdr:nvSpPr>
      <xdr:spPr>
        <a:xfrm>
          <a:off x="568261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17D805-10F0-443C-8F68-0FB57E349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6</xdr:col>
      <xdr:colOff>596900</xdr:colOff>
      <xdr:row>21</xdr:row>
      <xdr:rowOff>84562</xdr:rowOff>
    </xdr:from>
    <xdr:to>
      <xdr:col>6</xdr:col>
      <xdr:colOff>1432626</xdr:colOff>
      <xdr:row>25</xdr:row>
      <xdr:rowOff>57892</xdr:rowOff>
    </xdr:to>
    <xdr:sp macro="" textlink="$B$80">
      <xdr:nvSpPr>
        <xdr:cNvPr id="68" name="Rectángulo 67">
          <a:extLst>
            <a:ext uri="{FF2B5EF4-FFF2-40B4-BE49-F238E27FC236}">
              <a16:creationId xmlns:a16="http://schemas.microsoft.com/office/drawing/2014/main" id="{B619C545-FB8F-4AE4-BE18-0431F3ECF583}"/>
            </a:ext>
          </a:extLst>
        </xdr:cNvPr>
        <xdr:cNvSpPr/>
      </xdr:nvSpPr>
      <xdr:spPr>
        <a:xfrm>
          <a:off x="6241415" y="41250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2A036D-9C6E-4E79-A643-0D978971BDA2}"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508001</xdr:colOff>
      <xdr:row>12</xdr:row>
      <xdr:rowOff>107052</xdr:rowOff>
    </xdr:from>
    <xdr:to>
      <xdr:col>7</xdr:col>
      <xdr:colOff>1377151</xdr:colOff>
      <xdr:row>16</xdr:row>
      <xdr:rowOff>86097</xdr:rowOff>
    </xdr:to>
    <xdr:sp macro="" textlink="$B$85">
      <xdr:nvSpPr>
        <xdr:cNvPr id="69" name="Rectángulo 68">
          <a:extLst>
            <a:ext uri="{FF2B5EF4-FFF2-40B4-BE49-F238E27FC236}">
              <a16:creationId xmlns:a16="http://schemas.microsoft.com/office/drawing/2014/main" id="{EC86D439-A355-4B7A-B15B-417AA06CCD23}"/>
            </a:ext>
          </a:extLst>
        </xdr:cNvPr>
        <xdr:cNvSpPr/>
      </xdr:nvSpPr>
      <xdr:spPr>
        <a:xfrm>
          <a:off x="777938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164A49-02F3-4C92-B32B-7DFAD6F12063}" type="TxLink">
            <a:rPr lang="en-US" sz="2400" b="0" i="0" u="none" strike="noStrike">
              <a:solidFill>
                <a:schemeClr val="accent2"/>
              </a:solidFill>
              <a:latin typeface="Bahnschrift SemiBold Condensed" panose="020B0502040204020203" pitchFamily="34" charset="0"/>
            </a:rPr>
            <a:pPr algn="l"/>
            <a:t>67%</a:t>
          </a:fld>
          <a:endParaRPr lang="es-CO" sz="2400" b="1">
            <a:solidFill>
              <a:schemeClr val="accent2"/>
            </a:solidFill>
            <a:latin typeface="Bahnschrift SemiBold Condensed" panose="020B0502040204020203" pitchFamily="34" charset="0"/>
          </a:endParaRPr>
        </a:p>
      </xdr:txBody>
    </xdr:sp>
    <xdr:clientData/>
  </xdr:twoCellAnchor>
  <xdr:twoCellAnchor>
    <xdr:from>
      <xdr:col>7</xdr:col>
      <xdr:colOff>469900</xdr:colOff>
      <xdr:row>21</xdr:row>
      <xdr:rowOff>64664</xdr:rowOff>
    </xdr:from>
    <xdr:to>
      <xdr:col>7</xdr:col>
      <xdr:colOff>1471773</xdr:colOff>
      <xdr:row>25</xdr:row>
      <xdr:rowOff>45614</xdr:rowOff>
    </xdr:to>
    <xdr:sp macro="" textlink="$B$86">
      <xdr:nvSpPr>
        <xdr:cNvPr id="70" name="Rectángulo 69">
          <a:extLst>
            <a:ext uri="{FF2B5EF4-FFF2-40B4-BE49-F238E27FC236}">
              <a16:creationId xmlns:a16="http://schemas.microsoft.com/office/drawing/2014/main" id="{835804AF-6D85-4010-8288-770132B503C6}"/>
            </a:ext>
          </a:extLst>
        </xdr:cNvPr>
        <xdr:cNvSpPr/>
      </xdr:nvSpPr>
      <xdr:spPr>
        <a:xfrm>
          <a:off x="7741285" y="4099454"/>
          <a:ext cx="994253"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A7C717-D3BA-4729-B3C3-5B856689DDD1}" type="TxLink">
            <a:rPr lang="en-US" sz="2400" b="0" i="0" u="none" strike="noStrike">
              <a:solidFill>
                <a:schemeClr val="accent2"/>
              </a:solidFill>
              <a:latin typeface="Bahnschrift SemiBold Condensed" panose="020B0502040204020203" pitchFamily="34" charset="0"/>
            </a:rPr>
            <a:pPr algn="l"/>
            <a:t>92%</a:t>
          </a:fld>
          <a:endParaRPr lang="es-CO" sz="2400" b="1">
            <a:solidFill>
              <a:schemeClr val="accent2"/>
            </a:solidFill>
            <a:latin typeface="Bahnschrift SemiBold Condensed" panose="020B0502040204020203" pitchFamily="34" charset="0"/>
          </a:endParaRPr>
        </a:p>
      </xdr:txBody>
    </xdr:sp>
    <xdr:clientData/>
  </xdr:twoCellAnchor>
  <xdr:twoCellAnchor>
    <xdr:from>
      <xdr:col>6</xdr:col>
      <xdr:colOff>15240</xdr:colOff>
      <xdr:row>18</xdr:row>
      <xdr:rowOff>0</xdr:rowOff>
    </xdr:from>
    <xdr:to>
      <xdr:col>8</xdr:col>
      <xdr:colOff>9525</xdr:colOff>
      <xdr:row>18</xdr:row>
      <xdr:rowOff>0</xdr:rowOff>
    </xdr:to>
    <xdr:cxnSp macro="">
      <xdr:nvCxnSpPr>
        <xdr:cNvPr id="71" name="Conector recto 70">
          <a:extLst>
            <a:ext uri="{FF2B5EF4-FFF2-40B4-BE49-F238E27FC236}">
              <a16:creationId xmlns:a16="http://schemas.microsoft.com/office/drawing/2014/main" id="{6F57AAE0-CDB3-44E6-84BC-DFDC7CD0CC8E}"/>
            </a:ext>
          </a:extLst>
        </xdr:cNvPr>
        <xdr:cNvCxnSpPr/>
      </xdr:nvCxnSpPr>
      <xdr:spPr>
        <a:xfrm>
          <a:off x="566737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27</xdr:row>
      <xdr:rowOff>0</xdr:rowOff>
    </xdr:from>
    <xdr:to>
      <xdr:col>8</xdr:col>
      <xdr:colOff>0</xdr:colOff>
      <xdr:row>27</xdr:row>
      <xdr:rowOff>0</xdr:rowOff>
    </xdr:to>
    <xdr:cxnSp macro="">
      <xdr:nvCxnSpPr>
        <xdr:cNvPr id="72" name="Conector recto 71">
          <a:extLst>
            <a:ext uri="{FF2B5EF4-FFF2-40B4-BE49-F238E27FC236}">
              <a16:creationId xmlns:a16="http://schemas.microsoft.com/office/drawing/2014/main" id="{3FDCE552-1DE0-4564-B793-B6D4C199D341}"/>
            </a:ext>
          </a:extLst>
        </xdr:cNvPr>
        <xdr:cNvCxnSpPr/>
      </xdr:nvCxnSpPr>
      <xdr:spPr>
        <a:xfrm>
          <a:off x="565975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xdr:colOff>
      <xdr:row>36</xdr:row>
      <xdr:rowOff>0</xdr:rowOff>
    </xdr:from>
    <xdr:to>
      <xdr:col>8</xdr:col>
      <xdr:colOff>0</xdr:colOff>
      <xdr:row>36</xdr:row>
      <xdr:rowOff>0</xdr:rowOff>
    </xdr:to>
    <xdr:cxnSp macro="">
      <xdr:nvCxnSpPr>
        <xdr:cNvPr id="73" name="Conector recto 72">
          <a:extLst>
            <a:ext uri="{FF2B5EF4-FFF2-40B4-BE49-F238E27FC236}">
              <a16:creationId xmlns:a16="http://schemas.microsoft.com/office/drawing/2014/main" id="{3BC2A9B8-9E6D-402E-996C-EFFA9083B598}"/>
            </a:ext>
          </a:extLst>
        </xdr:cNvPr>
        <xdr:cNvCxnSpPr/>
      </xdr:nvCxnSpPr>
      <xdr:spPr>
        <a:xfrm>
          <a:off x="565023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57149</xdr:colOff>
      <xdr:row>9</xdr:row>
      <xdr:rowOff>20956</xdr:rowOff>
    </xdr:from>
    <xdr:to>
      <xdr:col>7</xdr:col>
      <xdr:colOff>1227116</xdr:colOff>
      <xdr:row>10</xdr:row>
      <xdr:rowOff>98962</xdr:rowOff>
    </xdr:to>
    <xdr:sp macro="" textlink="$A$79">
      <xdr:nvSpPr>
        <xdr:cNvPr id="74" name="Rectángulo 73">
          <a:extLst>
            <a:ext uri="{FF2B5EF4-FFF2-40B4-BE49-F238E27FC236}">
              <a16:creationId xmlns:a16="http://schemas.microsoft.com/office/drawing/2014/main" id="{DEB0F190-1474-42AC-8587-D1575F0F15CA}"/>
            </a:ext>
          </a:extLst>
        </xdr:cNvPr>
        <xdr:cNvSpPr/>
      </xdr:nvSpPr>
      <xdr:spPr>
        <a:xfrm>
          <a:off x="570928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1EE6F-6A54-4B7B-A189-E53EB6002616}"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6</xdr:col>
      <xdr:colOff>1206500</xdr:colOff>
      <xdr:row>26</xdr:row>
      <xdr:rowOff>127001</xdr:rowOff>
    </xdr:from>
    <xdr:to>
      <xdr:col>8</xdr:col>
      <xdr:colOff>266700</xdr:colOff>
      <xdr:row>39</xdr:row>
      <xdr:rowOff>76201</xdr:rowOff>
    </xdr:to>
    <xdr:graphicFrame macro="">
      <xdr:nvGraphicFramePr>
        <xdr:cNvPr id="75" name="Gráfico 74">
          <a:extLst>
            <a:ext uri="{FF2B5EF4-FFF2-40B4-BE49-F238E27FC236}">
              <a16:creationId xmlns:a16="http://schemas.microsoft.com/office/drawing/2014/main" id="{CA4EA049-CE13-4929-940D-D1F24E2B3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482600</xdr:colOff>
      <xdr:row>30</xdr:row>
      <xdr:rowOff>133301</xdr:rowOff>
    </xdr:from>
    <xdr:to>
      <xdr:col>7</xdr:col>
      <xdr:colOff>1415077</xdr:colOff>
      <xdr:row>34</xdr:row>
      <xdr:rowOff>121871</xdr:rowOff>
    </xdr:to>
    <xdr:sp macro="" textlink="$B$87">
      <xdr:nvSpPr>
        <xdr:cNvPr id="76" name="Rectángulo 75">
          <a:extLst>
            <a:ext uri="{FF2B5EF4-FFF2-40B4-BE49-F238E27FC236}">
              <a16:creationId xmlns:a16="http://schemas.microsoft.com/office/drawing/2014/main" id="{E8EDFA25-752A-4A6C-B8C5-62D1C730D1F9}"/>
            </a:ext>
          </a:extLst>
        </xdr:cNvPr>
        <xdr:cNvSpPr/>
      </xdr:nvSpPr>
      <xdr:spPr>
        <a:xfrm>
          <a:off x="774636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BDFB86-966E-449E-BDC5-239E0FC32BE7}"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5</xdr:col>
      <xdr:colOff>174998</xdr:colOff>
      <xdr:row>27</xdr:row>
      <xdr:rowOff>37193</xdr:rowOff>
    </xdr:from>
    <xdr:to>
      <xdr:col>7</xdr:col>
      <xdr:colOff>423224</xdr:colOff>
      <xdr:row>37</xdr:row>
      <xdr:rowOff>24080</xdr:rowOff>
    </xdr:to>
    <xdr:graphicFrame macro="">
      <xdr:nvGraphicFramePr>
        <xdr:cNvPr id="77" name="Gráfico 76">
          <a:extLst>
            <a:ext uri="{FF2B5EF4-FFF2-40B4-BE49-F238E27FC236}">
              <a16:creationId xmlns:a16="http://schemas.microsoft.com/office/drawing/2014/main" id="{A0D84A7A-FCA6-4161-B7F0-FE23B4675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xdr:col>
      <xdr:colOff>12064</xdr:colOff>
      <xdr:row>27</xdr:row>
      <xdr:rowOff>78105</xdr:rowOff>
    </xdr:from>
    <xdr:to>
      <xdr:col>7</xdr:col>
      <xdr:colOff>1085767</xdr:colOff>
      <xdr:row>29</xdr:row>
      <xdr:rowOff>0</xdr:rowOff>
    </xdr:to>
    <xdr:sp macro="" textlink="$A$81">
      <xdr:nvSpPr>
        <xdr:cNvPr id="78" name="Rectángulo 77">
          <a:extLst>
            <a:ext uri="{FF2B5EF4-FFF2-40B4-BE49-F238E27FC236}">
              <a16:creationId xmlns:a16="http://schemas.microsoft.com/office/drawing/2014/main" id="{C85CA55E-C978-4748-A76E-37BAB11062E1}"/>
            </a:ext>
          </a:extLst>
        </xdr:cNvPr>
        <xdr:cNvSpPr/>
      </xdr:nvSpPr>
      <xdr:spPr>
        <a:xfrm>
          <a:off x="566419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A5438E-EC18-4990-9213-56745D4C6EB4}"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6</xdr:col>
      <xdr:colOff>622300</xdr:colOff>
      <xdr:row>30</xdr:row>
      <xdr:rowOff>134612</xdr:rowOff>
    </xdr:from>
    <xdr:to>
      <xdr:col>6</xdr:col>
      <xdr:colOff>1562266</xdr:colOff>
      <xdr:row>34</xdr:row>
      <xdr:rowOff>112082</xdr:rowOff>
    </xdr:to>
    <xdr:sp macro="" textlink="$B$81">
      <xdr:nvSpPr>
        <xdr:cNvPr id="79" name="Rectángulo 78">
          <a:extLst>
            <a:ext uri="{FF2B5EF4-FFF2-40B4-BE49-F238E27FC236}">
              <a16:creationId xmlns:a16="http://schemas.microsoft.com/office/drawing/2014/main" id="{968965B4-022C-446B-943D-DEB8E3209E7E}"/>
            </a:ext>
          </a:extLst>
        </xdr:cNvPr>
        <xdr:cNvSpPr/>
      </xdr:nvSpPr>
      <xdr:spPr>
        <a:xfrm>
          <a:off x="6274435" y="57981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95023-431B-43D4-BF99-CD7BF615958B}"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46355</xdr:colOff>
      <xdr:row>36</xdr:row>
      <xdr:rowOff>77470</xdr:rowOff>
    </xdr:from>
    <xdr:to>
      <xdr:col>7</xdr:col>
      <xdr:colOff>401320</xdr:colOff>
      <xdr:row>38</xdr:row>
      <xdr:rowOff>12700</xdr:rowOff>
    </xdr:to>
    <xdr:sp macro="" textlink="$A$82">
      <xdr:nvSpPr>
        <xdr:cNvPr id="80" name="Rectángulo 79">
          <a:extLst>
            <a:ext uri="{FF2B5EF4-FFF2-40B4-BE49-F238E27FC236}">
              <a16:creationId xmlns:a16="http://schemas.microsoft.com/office/drawing/2014/main" id="{1EC36269-F981-47A4-8653-301D7FD78EC1}"/>
            </a:ext>
          </a:extLst>
        </xdr:cNvPr>
        <xdr:cNvSpPr/>
      </xdr:nvSpPr>
      <xdr:spPr>
        <a:xfrm>
          <a:off x="569658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DBF6AA-E184-4443-8F92-62BAF0EEFBB1}"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6</xdr:col>
      <xdr:colOff>647700</xdr:colOff>
      <xdr:row>39</xdr:row>
      <xdr:rowOff>173619</xdr:rowOff>
    </xdr:from>
    <xdr:to>
      <xdr:col>6</xdr:col>
      <xdr:colOff>1590468</xdr:colOff>
      <xdr:row>43</xdr:row>
      <xdr:rowOff>151089</xdr:rowOff>
    </xdr:to>
    <xdr:sp macro="" textlink="$B$82">
      <xdr:nvSpPr>
        <xdr:cNvPr id="81" name="Rectángulo 80">
          <a:extLst>
            <a:ext uri="{FF2B5EF4-FFF2-40B4-BE49-F238E27FC236}">
              <a16:creationId xmlns:a16="http://schemas.microsoft.com/office/drawing/2014/main" id="{74F9C2B7-914B-4DD7-A328-8507309C889B}"/>
            </a:ext>
          </a:extLst>
        </xdr:cNvPr>
        <xdr:cNvSpPr/>
      </xdr:nvSpPr>
      <xdr:spPr>
        <a:xfrm>
          <a:off x="6296025" y="7465959"/>
          <a:ext cx="940863"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5D155C-DC7A-43AF-A755-DB7C4A1603E6}"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508000</xdr:colOff>
      <xdr:row>39</xdr:row>
      <xdr:rowOff>126206</xdr:rowOff>
    </xdr:from>
    <xdr:to>
      <xdr:col>7</xdr:col>
      <xdr:colOff>1363419</xdr:colOff>
      <xdr:row>43</xdr:row>
      <xdr:rowOff>114776</xdr:rowOff>
    </xdr:to>
    <xdr:sp macro="" textlink="$B$88">
      <xdr:nvSpPr>
        <xdr:cNvPr id="82" name="Rectángulo 81">
          <a:extLst>
            <a:ext uri="{FF2B5EF4-FFF2-40B4-BE49-F238E27FC236}">
              <a16:creationId xmlns:a16="http://schemas.microsoft.com/office/drawing/2014/main" id="{47468549-B6D1-4A35-96CC-57CDB255C3AC}"/>
            </a:ext>
          </a:extLst>
        </xdr:cNvPr>
        <xdr:cNvSpPr/>
      </xdr:nvSpPr>
      <xdr:spPr>
        <a:xfrm>
          <a:off x="777938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432BF6-9D50-402A-A629-A32CF816319F}"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278951</xdr:colOff>
      <xdr:row>8</xdr:row>
      <xdr:rowOff>184892</xdr:rowOff>
    </xdr:from>
    <xdr:to>
      <xdr:col>10</xdr:col>
      <xdr:colOff>315686</xdr:colOff>
      <xdr:row>19</xdr:row>
      <xdr:rowOff>14185</xdr:rowOff>
    </xdr:to>
    <xdr:graphicFrame macro="">
      <xdr:nvGraphicFramePr>
        <xdr:cNvPr id="83" name="Gráfico 82">
          <a:extLst>
            <a:ext uri="{FF2B5EF4-FFF2-40B4-BE49-F238E27FC236}">
              <a16:creationId xmlns:a16="http://schemas.microsoft.com/office/drawing/2014/main" id="{7758CEC8-EBFB-47FE-920B-162CA0240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9</xdr:col>
      <xdr:colOff>1215240</xdr:colOff>
      <xdr:row>6</xdr:row>
      <xdr:rowOff>104570</xdr:rowOff>
    </xdr:from>
    <xdr:to>
      <xdr:col>11</xdr:col>
      <xdr:colOff>228599</xdr:colOff>
      <xdr:row>21</xdr:row>
      <xdr:rowOff>127000</xdr:rowOff>
    </xdr:to>
    <xdr:graphicFrame macro="">
      <xdr:nvGraphicFramePr>
        <xdr:cNvPr id="84" name="Gráfico 83">
          <a:extLst>
            <a:ext uri="{FF2B5EF4-FFF2-40B4-BE49-F238E27FC236}">
              <a16:creationId xmlns:a16="http://schemas.microsoft.com/office/drawing/2014/main" id="{8F886FA1-063C-411B-B816-1E5EF5AC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9</xdr:col>
      <xdr:colOff>1232848</xdr:colOff>
      <xdr:row>16</xdr:row>
      <xdr:rowOff>125102</xdr:rowOff>
    </xdr:from>
    <xdr:to>
      <xdr:col>11</xdr:col>
      <xdr:colOff>330200</xdr:colOff>
      <xdr:row>31</xdr:row>
      <xdr:rowOff>63500</xdr:rowOff>
    </xdr:to>
    <xdr:graphicFrame macro="">
      <xdr:nvGraphicFramePr>
        <xdr:cNvPr id="85" name="Gráfico 84">
          <a:extLst>
            <a:ext uri="{FF2B5EF4-FFF2-40B4-BE49-F238E27FC236}">
              <a16:creationId xmlns:a16="http://schemas.microsoft.com/office/drawing/2014/main" id="{354BF5D3-6088-433E-B297-03D3E8C81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264397</xdr:colOff>
      <xdr:row>17</xdr:row>
      <xdr:rowOff>152728</xdr:rowOff>
    </xdr:from>
    <xdr:to>
      <xdr:col>10</xdr:col>
      <xdr:colOff>349662</xdr:colOff>
      <xdr:row>27</xdr:row>
      <xdr:rowOff>162296</xdr:rowOff>
    </xdr:to>
    <xdr:graphicFrame macro="">
      <xdr:nvGraphicFramePr>
        <xdr:cNvPr id="86" name="Gráfico 85">
          <a:extLst>
            <a:ext uri="{FF2B5EF4-FFF2-40B4-BE49-F238E27FC236}">
              <a16:creationId xmlns:a16="http://schemas.microsoft.com/office/drawing/2014/main" id="{64B86C6D-6065-487B-A6CB-578EC9FCB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9</xdr:col>
      <xdr:colOff>558800</xdr:colOff>
      <xdr:row>12</xdr:row>
      <xdr:rowOff>105888</xdr:rowOff>
    </xdr:from>
    <xdr:to>
      <xdr:col>9</xdr:col>
      <xdr:colOff>1431142</xdr:colOff>
      <xdr:row>16</xdr:row>
      <xdr:rowOff>73503</xdr:rowOff>
    </xdr:to>
    <xdr:sp macro="" textlink="$B$93">
      <xdr:nvSpPr>
        <xdr:cNvPr id="87" name="Rectángulo 86">
          <a:extLst>
            <a:ext uri="{FF2B5EF4-FFF2-40B4-BE49-F238E27FC236}">
              <a16:creationId xmlns:a16="http://schemas.microsoft.com/office/drawing/2014/main" id="{91841E20-3A3A-40F4-B2D1-65C7693AE28C}"/>
            </a:ext>
          </a:extLst>
        </xdr:cNvPr>
        <xdr:cNvSpPr/>
      </xdr:nvSpPr>
      <xdr:spPr>
        <a:xfrm>
          <a:off x="9851390"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BBA8C0-2E14-4D16-92AB-8D90ED5788C3}"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34290</xdr:colOff>
      <xdr:row>18</xdr:row>
      <xdr:rowOff>55245</xdr:rowOff>
    </xdr:from>
    <xdr:to>
      <xdr:col>10</xdr:col>
      <xdr:colOff>1068780</xdr:colOff>
      <xdr:row>20</xdr:row>
      <xdr:rowOff>0</xdr:rowOff>
    </xdr:to>
    <xdr:sp macro="" textlink="$A$94">
      <xdr:nvSpPr>
        <xdr:cNvPr id="88" name="Rectángulo 87">
          <a:extLst>
            <a:ext uri="{FF2B5EF4-FFF2-40B4-BE49-F238E27FC236}">
              <a16:creationId xmlns:a16="http://schemas.microsoft.com/office/drawing/2014/main" id="{C2D6273C-C326-4698-A3A6-122025936E89}"/>
            </a:ext>
          </a:extLst>
        </xdr:cNvPr>
        <xdr:cNvSpPr/>
      </xdr:nvSpPr>
      <xdr:spPr>
        <a:xfrm>
          <a:off x="9330690"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98879F-4A37-4BC9-B19C-17E17EC5F519}"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9</xdr:col>
      <xdr:colOff>571500</xdr:colOff>
      <xdr:row>21</xdr:row>
      <xdr:rowOff>97262</xdr:rowOff>
    </xdr:from>
    <xdr:to>
      <xdr:col>9</xdr:col>
      <xdr:colOff>1407226</xdr:colOff>
      <xdr:row>25</xdr:row>
      <xdr:rowOff>70592</xdr:rowOff>
    </xdr:to>
    <xdr:sp macro="" textlink="$B$94">
      <xdr:nvSpPr>
        <xdr:cNvPr id="89" name="Rectángulo 88">
          <a:extLst>
            <a:ext uri="{FF2B5EF4-FFF2-40B4-BE49-F238E27FC236}">
              <a16:creationId xmlns:a16="http://schemas.microsoft.com/office/drawing/2014/main" id="{D1E6AFD5-E991-4027-92BB-2429020CB909}"/>
            </a:ext>
          </a:extLst>
        </xdr:cNvPr>
        <xdr:cNvSpPr/>
      </xdr:nvSpPr>
      <xdr:spPr>
        <a:xfrm>
          <a:off x="9867900"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F3FFE1-D581-47EB-9959-42160BB39F7D}"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10</xdr:col>
      <xdr:colOff>543561</xdr:colOff>
      <xdr:row>12</xdr:row>
      <xdr:rowOff>96892</xdr:rowOff>
    </xdr:from>
    <xdr:to>
      <xdr:col>10</xdr:col>
      <xdr:colOff>1412711</xdr:colOff>
      <xdr:row>16</xdr:row>
      <xdr:rowOff>75937</xdr:rowOff>
    </xdr:to>
    <xdr:sp macro="" textlink="$B$99">
      <xdr:nvSpPr>
        <xdr:cNvPr id="90" name="Rectángulo 89">
          <a:extLst>
            <a:ext uri="{FF2B5EF4-FFF2-40B4-BE49-F238E27FC236}">
              <a16:creationId xmlns:a16="http://schemas.microsoft.com/office/drawing/2014/main" id="{BD2B78B4-C23B-491B-AB91-EC125A8B5575}"/>
            </a:ext>
          </a:extLst>
        </xdr:cNvPr>
        <xdr:cNvSpPr/>
      </xdr:nvSpPr>
      <xdr:spPr>
        <a:xfrm>
          <a:off x="11461116" y="2502907"/>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F6FAFB-0228-43BB-B7D9-6FACB8C4D6E8}" type="TxLink">
            <a:rPr lang="en-US" sz="2400" b="0" i="0" u="none" strike="noStrike">
              <a:solidFill>
                <a:schemeClr val="accent2"/>
              </a:solidFill>
              <a:latin typeface="Bahnschrift SemiBold Condensed" panose="020B0502040204020203" pitchFamily="34" charset="0"/>
            </a:rPr>
            <a:pPr algn="l"/>
            <a:t>76%</a:t>
          </a:fld>
          <a:endParaRPr lang="es-CO" sz="2400" b="1">
            <a:solidFill>
              <a:schemeClr val="accent2"/>
            </a:solidFill>
            <a:latin typeface="Bahnschrift SemiBold Condensed" panose="020B0502040204020203" pitchFamily="34" charset="0"/>
          </a:endParaRPr>
        </a:p>
      </xdr:txBody>
    </xdr:sp>
    <xdr:clientData/>
  </xdr:twoCellAnchor>
  <xdr:twoCellAnchor>
    <xdr:from>
      <xdr:col>10</xdr:col>
      <xdr:colOff>505460</xdr:colOff>
      <xdr:row>21</xdr:row>
      <xdr:rowOff>39264</xdr:rowOff>
    </xdr:from>
    <xdr:to>
      <xdr:col>10</xdr:col>
      <xdr:colOff>1507333</xdr:colOff>
      <xdr:row>25</xdr:row>
      <xdr:rowOff>20214</xdr:rowOff>
    </xdr:to>
    <xdr:sp macro="" textlink="$B$100">
      <xdr:nvSpPr>
        <xdr:cNvPr id="91" name="Rectángulo 90">
          <a:extLst>
            <a:ext uri="{FF2B5EF4-FFF2-40B4-BE49-F238E27FC236}">
              <a16:creationId xmlns:a16="http://schemas.microsoft.com/office/drawing/2014/main" id="{D0A4E9F2-CF6C-44F8-88CA-C40D9061A4EB}"/>
            </a:ext>
          </a:extLst>
        </xdr:cNvPr>
        <xdr:cNvSpPr/>
      </xdr:nvSpPr>
      <xdr:spPr>
        <a:xfrm>
          <a:off x="11423015" y="4077864"/>
          <a:ext cx="996158"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C19981-5E1E-43A2-9ADC-B0DAD7DC0A9F}" type="TxLink">
            <a:rPr lang="en-US" sz="2400" b="0" i="0" u="none" strike="noStrike">
              <a:solidFill>
                <a:schemeClr val="accent2"/>
              </a:solidFill>
              <a:latin typeface="Bahnschrift SemiBold Condensed" panose="020B0502040204020203" pitchFamily="34" charset="0"/>
            </a:rPr>
            <a:pPr algn="l"/>
            <a:t>91%</a:t>
          </a:fld>
          <a:endParaRPr lang="es-CO" sz="2400" b="1">
            <a:solidFill>
              <a:schemeClr val="accent2"/>
            </a:solidFill>
            <a:latin typeface="Bahnschrift SemiBold Condensed" panose="020B0502040204020203" pitchFamily="34" charset="0"/>
          </a:endParaRPr>
        </a:p>
      </xdr:txBody>
    </xdr:sp>
    <xdr:clientData/>
  </xdr:twoCellAnchor>
  <xdr:twoCellAnchor>
    <xdr:from>
      <xdr:col>9</xdr:col>
      <xdr:colOff>15240</xdr:colOff>
      <xdr:row>18</xdr:row>
      <xdr:rowOff>0</xdr:rowOff>
    </xdr:from>
    <xdr:to>
      <xdr:col>11</xdr:col>
      <xdr:colOff>9525</xdr:colOff>
      <xdr:row>18</xdr:row>
      <xdr:rowOff>0</xdr:rowOff>
    </xdr:to>
    <xdr:cxnSp macro="">
      <xdr:nvCxnSpPr>
        <xdr:cNvPr id="92" name="Conector recto 91">
          <a:extLst>
            <a:ext uri="{FF2B5EF4-FFF2-40B4-BE49-F238E27FC236}">
              <a16:creationId xmlns:a16="http://schemas.microsoft.com/office/drawing/2014/main" id="{89F741D5-28E3-4E7D-80FB-43442ECCCC28}"/>
            </a:ext>
          </a:extLst>
        </xdr:cNvPr>
        <xdr:cNvCxnSpPr/>
      </xdr:nvCxnSpPr>
      <xdr:spPr>
        <a:xfrm>
          <a:off x="9315450"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xdr:colOff>
      <xdr:row>27</xdr:row>
      <xdr:rowOff>0</xdr:rowOff>
    </xdr:from>
    <xdr:to>
      <xdr:col>11</xdr:col>
      <xdr:colOff>0</xdr:colOff>
      <xdr:row>27</xdr:row>
      <xdr:rowOff>0</xdr:rowOff>
    </xdr:to>
    <xdr:cxnSp macro="">
      <xdr:nvCxnSpPr>
        <xdr:cNvPr id="93" name="Conector recto 92">
          <a:extLst>
            <a:ext uri="{FF2B5EF4-FFF2-40B4-BE49-F238E27FC236}">
              <a16:creationId xmlns:a16="http://schemas.microsoft.com/office/drawing/2014/main" id="{469B5616-667B-4F09-B486-1669BB7CDAFA}"/>
            </a:ext>
          </a:extLst>
        </xdr:cNvPr>
        <xdr:cNvCxnSpPr/>
      </xdr:nvCxnSpPr>
      <xdr:spPr>
        <a:xfrm>
          <a:off x="9307830"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xdr:colOff>
      <xdr:row>36</xdr:row>
      <xdr:rowOff>0</xdr:rowOff>
    </xdr:from>
    <xdr:to>
      <xdr:col>11</xdr:col>
      <xdr:colOff>0</xdr:colOff>
      <xdr:row>36</xdr:row>
      <xdr:rowOff>0</xdr:rowOff>
    </xdr:to>
    <xdr:cxnSp macro="">
      <xdr:nvCxnSpPr>
        <xdr:cNvPr id="94" name="Conector recto 93">
          <a:extLst>
            <a:ext uri="{FF2B5EF4-FFF2-40B4-BE49-F238E27FC236}">
              <a16:creationId xmlns:a16="http://schemas.microsoft.com/office/drawing/2014/main" id="{E7BE3ACB-E644-4219-9795-2F3141C4ED46}"/>
            </a:ext>
          </a:extLst>
        </xdr:cNvPr>
        <xdr:cNvCxnSpPr/>
      </xdr:nvCxnSpPr>
      <xdr:spPr>
        <a:xfrm>
          <a:off x="9298305"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57149</xdr:colOff>
      <xdr:row>9</xdr:row>
      <xdr:rowOff>20956</xdr:rowOff>
    </xdr:from>
    <xdr:to>
      <xdr:col>10</xdr:col>
      <xdr:colOff>1227116</xdr:colOff>
      <xdr:row>10</xdr:row>
      <xdr:rowOff>98962</xdr:rowOff>
    </xdr:to>
    <xdr:sp macro="" textlink="$A$93">
      <xdr:nvSpPr>
        <xdr:cNvPr id="95" name="Rectángulo 94">
          <a:extLst>
            <a:ext uri="{FF2B5EF4-FFF2-40B4-BE49-F238E27FC236}">
              <a16:creationId xmlns:a16="http://schemas.microsoft.com/office/drawing/2014/main" id="{C21E91F4-EBBA-4C33-BACD-6377036B56C9}"/>
            </a:ext>
          </a:extLst>
        </xdr:cNvPr>
        <xdr:cNvSpPr/>
      </xdr:nvSpPr>
      <xdr:spPr>
        <a:xfrm>
          <a:off x="9357359"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977AE-043E-4B3B-AFCF-8E8260E95B09}"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9</xdr:col>
      <xdr:colOff>1206500</xdr:colOff>
      <xdr:row>26</xdr:row>
      <xdr:rowOff>127001</xdr:rowOff>
    </xdr:from>
    <xdr:to>
      <xdr:col>11</xdr:col>
      <xdr:colOff>266700</xdr:colOff>
      <xdr:row>39</xdr:row>
      <xdr:rowOff>76201</xdr:rowOff>
    </xdr:to>
    <xdr:graphicFrame macro="">
      <xdr:nvGraphicFramePr>
        <xdr:cNvPr id="96" name="Gráfico 95">
          <a:extLst>
            <a:ext uri="{FF2B5EF4-FFF2-40B4-BE49-F238E27FC236}">
              <a16:creationId xmlns:a16="http://schemas.microsoft.com/office/drawing/2014/main" id="{EEFCB892-FACC-410F-A119-0593A0625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447040</xdr:colOff>
      <xdr:row>30</xdr:row>
      <xdr:rowOff>107901</xdr:rowOff>
    </xdr:from>
    <xdr:to>
      <xdr:col>10</xdr:col>
      <xdr:colOff>1379517</xdr:colOff>
      <xdr:row>34</xdr:row>
      <xdr:rowOff>96471</xdr:rowOff>
    </xdr:to>
    <xdr:sp macro="" textlink="$B$101">
      <xdr:nvSpPr>
        <xdr:cNvPr id="97" name="Rectángulo 96">
          <a:extLst>
            <a:ext uri="{FF2B5EF4-FFF2-40B4-BE49-F238E27FC236}">
              <a16:creationId xmlns:a16="http://schemas.microsoft.com/office/drawing/2014/main" id="{F1880D46-FB6C-47F2-990E-E72BD918A71F}"/>
            </a:ext>
          </a:extLst>
        </xdr:cNvPr>
        <xdr:cNvSpPr/>
      </xdr:nvSpPr>
      <xdr:spPr>
        <a:xfrm>
          <a:off x="11360785" y="5773371"/>
          <a:ext cx="936287"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89741D-677C-474C-AB64-40F26A29BCF0}"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174998</xdr:colOff>
      <xdr:row>27</xdr:row>
      <xdr:rowOff>37193</xdr:rowOff>
    </xdr:from>
    <xdr:to>
      <xdr:col>10</xdr:col>
      <xdr:colOff>423224</xdr:colOff>
      <xdr:row>37</xdr:row>
      <xdr:rowOff>24080</xdr:rowOff>
    </xdr:to>
    <xdr:graphicFrame macro="">
      <xdr:nvGraphicFramePr>
        <xdr:cNvPr id="98" name="Gráfico 97">
          <a:extLst>
            <a:ext uri="{FF2B5EF4-FFF2-40B4-BE49-F238E27FC236}">
              <a16:creationId xmlns:a16="http://schemas.microsoft.com/office/drawing/2014/main" id="{6166DB71-FE50-4FB5-835E-C1CDF7EFD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12064</xdr:colOff>
      <xdr:row>27</xdr:row>
      <xdr:rowOff>78105</xdr:rowOff>
    </xdr:from>
    <xdr:to>
      <xdr:col>10</xdr:col>
      <xdr:colOff>1397000</xdr:colOff>
      <xdr:row>29</xdr:row>
      <xdr:rowOff>0</xdr:rowOff>
    </xdr:to>
    <xdr:sp macro="" textlink="$A$95">
      <xdr:nvSpPr>
        <xdr:cNvPr id="99" name="Rectángulo 98">
          <a:extLst>
            <a:ext uri="{FF2B5EF4-FFF2-40B4-BE49-F238E27FC236}">
              <a16:creationId xmlns:a16="http://schemas.microsoft.com/office/drawing/2014/main" id="{9662543C-4973-4458-A01E-DFD32F385F5F}"/>
            </a:ext>
          </a:extLst>
        </xdr:cNvPr>
        <xdr:cNvSpPr/>
      </xdr:nvSpPr>
      <xdr:spPr>
        <a:xfrm>
          <a:off x="9312274" y="5202555"/>
          <a:ext cx="2996566"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48BCF8-7E4F-42CC-AFFE-B542E774EA8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9</xdr:col>
      <xdr:colOff>584200</xdr:colOff>
      <xdr:row>30</xdr:row>
      <xdr:rowOff>147312</xdr:rowOff>
    </xdr:from>
    <xdr:to>
      <xdr:col>9</xdr:col>
      <xdr:colOff>1524166</xdr:colOff>
      <xdr:row>34</xdr:row>
      <xdr:rowOff>124782</xdr:rowOff>
    </xdr:to>
    <xdr:sp macro="" textlink="$B$95">
      <xdr:nvSpPr>
        <xdr:cNvPr id="100" name="Rectángulo 99">
          <a:extLst>
            <a:ext uri="{FF2B5EF4-FFF2-40B4-BE49-F238E27FC236}">
              <a16:creationId xmlns:a16="http://schemas.microsoft.com/office/drawing/2014/main" id="{4B7DE647-803A-474F-A951-AD8D62B91F7B}"/>
            </a:ext>
          </a:extLst>
        </xdr:cNvPr>
        <xdr:cNvSpPr/>
      </xdr:nvSpPr>
      <xdr:spPr>
        <a:xfrm>
          <a:off x="9884410"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0BD397-F171-4695-87F7-8EADEFE05782}"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46355</xdr:colOff>
      <xdr:row>36</xdr:row>
      <xdr:rowOff>77470</xdr:rowOff>
    </xdr:from>
    <xdr:to>
      <xdr:col>10</xdr:col>
      <xdr:colOff>1016000</xdr:colOff>
      <xdr:row>38</xdr:row>
      <xdr:rowOff>0</xdr:rowOff>
    </xdr:to>
    <xdr:sp macro="" textlink="$A$96">
      <xdr:nvSpPr>
        <xdr:cNvPr id="101" name="Rectángulo 100">
          <a:extLst>
            <a:ext uri="{FF2B5EF4-FFF2-40B4-BE49-F238E27FC236}">
              <a16:creationId xmlns:a16="http://schemas.microsoft.com/office/drawing/2014/main" id="{5EF6328E-784D-4558-8674-724A8CB2D4E5}"/>
            </a:ext>
          </a:extLst>
        </xdr:cNvPr>
        <xdr:cNvSpPr/>
      </xdr:nvSpPr>
      <xdr:spPr>
        <a:xfrm>
          <a:off x="9344660" y="6830695"/>
          <a:ext cx="2583180" cy="284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D69B4-D428-41FA-8479-64A896BA7D5B}"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9</xdr:col>
      <xdr:colOff>596900</xdr:colOff>
      <xdr:row>40</xdr:row>
      <xdr:rowOff>8519</xdr:rowOff>
    </xdr:from>
    <xdr:to>
      <xdr:col>9</xdr:col>
      <xdr:colOff>1539668</xdr:colOff>
      <xdr:row>43</xdr:row>
      <xdr:rowOff>163789</xdr:rowOff>
    </xdr:to>
    <xdr:sp macro="" textlink="$B$96">
      <xdr:nvSpPr>
        <xdr:cNvPr id="102" name="Rectángulo 101">
          <a:extLst>
            <a:ext uri="{FF2B5EF4-FFF2-40B4-BE49-F238E27FC236}">
              <a16:creationId xmlns:a16="http://schemas.microsoft.com/office/drawing/2014/main" id="{7EC95CC1-0117-4FA8-AB82-9A9FB3C6DEE2}"/>
            </a:ext>
          </a:extLst>
        </xdr:cNvPr>
        <xdr:cNvSpPr/>
      </xdr:nvSpPr>
      <xdr:spPr>
        <a:xfrm>
          <a:off x="9889490"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62D859-2E2D-4CDF-9451-4353414B6E4A}"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11</xdr:col>
      <xdr:colOff>278951</xdr:colOff>
      <xdr:row>8</xdr:row>
      <xdr:rowOff>184892</xdr:rowOff>
    </xdr:from>
    <xdr:to>
      <xdr:col>13</xdr:col>
      <xdr:colOff>315686</xdr:colOff>
      <xdr:row>19</xdr:row>
      <xdr:rowOff>14185</xdr:rowOff>
    </xdr:to>
    <xdr:graphicFrame macro="">
      <xdr:nvGraphicFramePr>
        <xdr:cNvPr id="103" name="Gráfico 102">
          <a:extLst>
            <a:ext uri="{FF2B5EF4-FFF2-40B4-BE49-F238E27FC236}">
              <a16:creationId xmlns:a16="http://schemas.microsoft.com/office/drawing/2014/main" id="{1C89E500-7AFC-4E4C-8767-7A01C3B2E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xdr:col>
      <xdr:colOff>1215240</xdr:colOff>
      <xdr:row>6</xdr:row>
      <xdr:rowOff>104570</xdr:rowOff>
    </xdr:from>
    <xdr:to>
      <xdr:col>14</xdr:col>
      <xdr:colOff>228599</xdr:colOff>
      <xdr:row>21</xdr:row>
      <xdr:rowOff>127000</xdr:rowOff>
    </xdr:to>
    <xdr:graphicFrame macro="">
      <xdr:nvGraphicFramePr>
        <xdr:cNvPr id="104" name="Gráfico 103">
          <a:extLst>
            <a:ext uri="{FF2B5EF4-FFF2-40B4-BE49-F238E27FC236}">
              <a16:creationId xmlns:a16="http://schemas.microsoft.com/office/drawing/2014/main" id="{2E42AF4C-75DD-47C5-8E5B-20C02411A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11</xdr:col>
      <xdr:colOff>264397</xdr:colOff>
      <xdr:row>17</xdr:row>
      <xdr:rowOff>152728</xdr:rowOff>
    </xdr:from>
    <xdr:to>
      <xdr:col>13</xdr:col>
      <xdr:colOff>349662</xdr:colOff>
      <xdr:row>27</xdr:row>
      <xdr:rowOff>162296</xdr:rowOff>
    </xdr:to>
    <xdr:graphicFrame macro="">
      <xdr:nvGraphicFramePr>
        <xdr:cNvPr id="105" name="Gráfico 104">
          <a:extLst>
            <a:ext uri="{FF2B5EF4-FFF2-40B4-BE49-F238E27FC236}">
              <a16:creationId xmlns:a16="http://schemas.microsoft.com/office/drawing/2014/main" id="{C8AEDA63-B226-4712-9FBD-6F2638222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558800</xdr:colOff>
      <xdr:row>12</xdr:row>
      <xdr:rowOff>105888</xdr:rowOff>
    </xdr:from>
    <xdr:to>
      <xdr:col>12</xdr:col>
      <xdr:colOff>1431142</xdr:colOff>
      <xdr:row>16</xdr:row>
      <xdr:rowOff>73503</xdr:rowOff>
    </xdr:to>
    <xdr:sp macro="" textlink="$B$107">
      <xdr:nvSpPr>
        <xdr:cNvPr id="106" name="Rectángulo 105">
          <a:extLst>
            <a:ext uri="{FF2B5EF4-FFF2-40B4-BE49-F238E27FC236}">
              <a16:creationId xmlns:a16="http://schemas.microsoft.com/office/drawing/2014/main" id="{9CE94BBA-40F8-4A2B-8C02-7F262313AF3F}"/>
            </a:ext>
          </a:extLst>
        </xdr:cNvPr>
        <xdr:cNvSpPr/>
      </xdr:nvSpPr>
      <xdr:spPr>
        <a:xfrm>
          <a:off x="13499465"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88497-F44D-4DDC-83C4-DABE43C8782E}"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34290</xdr:colOff>
      <xdr:row>18</xdr:row>
      <xdr:rowOff>55245</xdr:rowOff>
    </xdr:from>
    <xdr:to>
      <xdr:col>13</xdr:col>
      <xdr:colOff>1068780</xdr:colOff>
      <xdr:row>20</xdr:row>
      <xdr:rowOff>0</xdr:rowOff>
    </xdr:to>
    <xdr:sp macro="" textlink="$A$108">
      <xdr:nvSpPr>
        <xdr:cNvPr id="107" name="Rectángulo 106">
          <a:extLst>
            <a:ext uri="{FF2B5EF4-FFF2-40B4-BE49-F238E27FC236}">
              <a16:creationId xmlns:a16="http://schemas.microsoft.com/office/drawing/2014/main" id="{F23FD7EB-F379-47DC-80F6-5CAD8E9F7A95}"/>
            </a:ext>
          </a:extLst>
        </xdr:cNvPr>
        <xdr:cNvSpPr/>
      </xdr:nvSpPr>
      <xdr:spPr>
        <a:xfrm>
          <a:off x="1297876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6A95C0-514B-4790-A797-E266CA28C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12</xdr:col>
      <xdr:colOff>571500</xdr:colOff>
      <xdr:row>21</xdr:row>
      <xdr:rowOff>97262</xdr:rowOff>
    </xdr:from>
    <xdr:to>
      <xdr:col>12</xdr:col>
      <xdr:colOff>1407226</xdr:colOff>
      <xdr:row>25</xdr:row>
      <xdr:rowOff>70592</xdr:rowOff>
    </xdr:to>
    <xdr:sp macro="" textlink="$B$108">
      <xdr:nvSpPr>
        <xdr:cNvPr id="108" name="Rectángulo 107">
          <a:extLst>
            <a:ext uri="{FF2B5EF4-FFF2-40B4-BE49-F238E27FC236}">
              <a16:creationId xmlns:a16="http://schemas.microsoft.com/office/drawing/2014/main" id="{1B8E300E-8A66-4BBA-B4A3-EEBC008B217B}"/>
            </a:ext>
          </a:extLst>
        </xdr:cNvPr>
        <xdr:cNvSpPr/>
      </xdr:nvSpPr>
      <xdr:spPr>
        <a:xfrm>
          <a:off x="13515975"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FC3769-FBE7-4678-AB37-171373CED98C}"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482601</xdr:colOff>
      <xdr:row>12</xdr:row>
      <xdr:rowOff>81652</xdr:rowOff>
    </xdr:from>
    <xdr:to>
      <xdr:col>13</xdr:col>
      <xdr:colOff>1351751</xdr:colOff>
      <xdr:row>16</xdr:row>
      <xdr:rowOff>60697</xdr:rowOff>
    </xdr:to>
    <xdr:sp macro="" textlink="$B$113">
      <xdr:nvSpPr>
        <xdr:cNvPr id="109" name="Rectángulo 108">
          <a:extLst>
            <a:ext uri="{FF2B5EF4-FFF2-40B4-BE49-F238E27FC236}">
              <a16:creationId xmlns:a16="http://schemas.microsoft.com/office/drawing/2014/main" id="{52111586-0724-472A-B04B-8595D3959123}"/>
            </a:ext>
          </a:extLst>
        </xdr:cNvPr>
        <xdr:cNvSpPr/>
      </xdr:nvSpPr>
      <xdr:spPr>
        <a:xfrm>
          <a:off x="15042516" y="2493382"/>
          <a:ext cx="876770" cy="697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09825-EC47-430E-A869-684AC437E120}" type="TxLink">
            <a:rPr lang="en-US" sz="2400" b="0" i="0" u="none" strike="noStrike">
              <a:solidFill>
                <a:schemeClr val="accent2"/>
              </a:solidFill>
              <a:latin typeface="Bahnschrift SemiBold Condensed" panose="020B0502040204020203" pitchFamily="34" charset="0"/>
            </a:rPr>
            <a:pPr algn="l"/>
            <a:t>66%</a:t>
          </a:fld>
          <a:endParaRPr lang="es-CO" sz="2400" b="1">
            <a:solidFill>
              <a:schemeClr val="accent2"/>
            </a:solidFill>
            <a:latin typeface="Bahnschrift SemiBold Condensed" panose="020B0502040204020203" pitchFamily="34" charset="0"/>
          </a:endParaRPr>
        </a:p>
      </xdr:txBody>
    </xdr:sp>
    <xdr:clientData/>
  </xdr:twoCellAnchor>
  <xdr:twoCellAnchor>
    <xdr:from>
      <xdr:col>13</xdr:col>
      <xdr:colOff>444500</xdr:colOff>
      <xdr:row>21</xdr:row>
      <xdr:rowOff>39264</xdr:rowOff>
    </xdr:from>
    <xdr:to>
      <xdr:col>13</xdr:col>
      <xdr:colOff>1446373</xdr:colOff>
      <xdr:row>25</xdr:row>
      <xdr:rowOff>20214</xdr:rowOff>
    </xdr:to>
    <xdr:sp macro="" textlink="$B$114">
      <xdr:nvSpPr>
        <xdr:cNvPr id="110" name="Rectángulo 109">
          <a:extLst>
            <a:ext uri="{FF2B5EF4-FFF2-40B4-BE49-F238E27FC236}">
              <a16:creationId xmlns:a16="http://schemas.microsoft.com/office/drawing/2014/main" id="{90C3BDF0-B589-4E2B-93EC-59AF50A61516}"/>
            </a:ext>
          </a:extLst>
        </xdr:cNvPr>
        <xdr:cNvSpPr/>
      </xdr:nvSpPr>
      <xdr:spPr>
        <a:xfrm>
          <a:off x="15004415" y="4077864"/>
          <a:ext cx="1005683"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D7DA45-F8F1-4D82-B0C4-5D8E515CEDE2}" type="TxLink">
            <a:rPr lang="en-US" sz="2400" b="0" i="0" u="none" strike="noStrike">
              <a:solidFill>
                <a:schemeClr val="accent2"/>
              </a:solidFill>
              <a:latin typeface="Bahnschrift SemiBold Condensed" panose="020B0502040204020203" pitchFamily="34" charset="0"/>
            </a:rPr>
            <a:pPr algn="l"/>
            <a:t>88%</a:t>
          </a:fld>
          <a:endParaRPr lang="es-CO" sz="2400" b="1">
            <a:solidFill>
              <a:schemeClr val="accent2"/>
            </a:solidFill>
            <a:latin typeface="Bahnschrift SemiBold Condensed" panose="020B0502040204020203" pitchFamily="34" charset="0"/>
          </a:endParaRPr>
        </a:p>
      </xdr:txBody>
    </xdr:sp>
    <xdr:clientData/>
  </xdr:twoCellAnchor>
  <xdr:twoCellAnchor>
    <xdr:from>
      <xdr:col>12</xdr:col>
      <xdr:colOff>15240</xdr:colOff>
      <xdr:row>18</xdr:row>
      <xdr:rowOff>0</xdr:rowOff>
    </xdr:from>
    <xdr:to>
      <xdr:col>14</xdr:col>
      <xdr:colOff>9525</xdr:colOff>
      <xdr:row>18</xdr:row>
      <xdr:rowOff>0</xdr:rowOff>
    </xdr:to>
    <xdr:cxnSp macro="">
      <xdr:nvCxnSpPr>
        <xdr:cNvPr id="111" name="Conector recto 110">
          <a:extLst>
            <a:ext uri="{FF2B5EF4-FFF2-40B4-BE49-F238E27FC236}">
              <a16:creationId xmlns:a16="http://schemas.microsoft.com/office/drawing/2014/main" id="{4B4878B6-1876-4752-B892-83A26E521B9A}"/>
            </a:ext>
          </a:extLst>
        </xdr:cNvPr>
        <xdr:cNvCxnSpPr/>
      </xdr:nvCxnSpPr>
      <xdr:spPr>
        <a:xfrm>
          <a:off x="1296352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9525</xdr:colOff>
      <xdr:row>27</xdr:row>
      <xdr:rowOff>0</xdr:rowOff>
    </xdr:from>
    <xdr:to>
      <xdr:col>14</xdr:col>
      <xdr:colOff>0</xdr:colOff>
      <xdr:row>27</xdr:row>
      <xdr:rowOff>0</xdr:rowOff>
    </xdr:to>
    <xdr:cxnSp macro="">
      <xdr:nvCxnSpPr>
        <xdr:cNvPr id="112" name="Conector recto 111">
          <a:extLst>
            <a:ext uri="{FF2B5EF4-FFF2-40B4-BE49-F238E27FC236}">
              <a16:creationId xmlns:a16="http://schemas.microsoft.com/office/drawing/2014/main" id="{33DEB2FA-3BFA-4246-B9E2-DED24490094A}"/>
            </a:ext>
          </a:extLst>
        </xdr:cNvPr>
        <xdr:cNvCxnSpPr/>
      </xdr:nvCxnSpPr>
      <xdr:spPr>
        <a:xfrm>
          <a:off x="1295590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1905</xdr:colOff>
      <xdr:row>36</xdr:row>
      <xdr:rowOff>0</xdr:rowOff>
    </xdr:from>
    <xdr:to>
      <xdr:col>14</xdr:col>
      <xdr:colOff>0</xdr:colOff>
      <xdr:row>36</xdr:row>
      <xdr:rowOff>0</xdr:rowOff>
    </xdr:to>
    <xdr:cxnSp macro="">
      <xdr:nvCxnSpPr>
        <xdr:cNvPr id="113" name="Conector recto 112">
          <a:extLst>
            <a:ext uri="{FF2B5EF4-FFF2-40B4-BE49-F238E27FC236}">
              <a16:creationId xmlns:a16="http://schemas.microsoft.com/office/drawing/2014/main" id="{FF3CA443-A7B2-428D-B5CB-E447FD075176}"/>
            </a:ext>
          </a:extLst>
        </xdr:cNvPr>
        <xdr:cNvCxnSpPr/>
      </xdr:nvCxnSpPr>
      <xdr:spPr>
        <a:xfrm>
          <a:off x="1294638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57149</xdr:colOff>
      <xdr:row>9</xdr:row>
      <xdr:rowOff>20956</xdr:rowOff>
    </xdr:from>
    <xdr:to>
      <xdr:col>13</xdr:col>
      <xdr:colOff>1227116</xdr:colOff>
      <xdr:row>10</xdr:row>
      <xdr:rowOff>98962</xdr:rowOff>
    </xdr:to>
    <xdr:sp macro="" textlink="$A$107">
      <xdr:nvSpPr>
        <xdr:cNvPr id="114" name="Rectángulo 113">
          <a:extLst>
            <a:ext uri="{FF2B5EF4-FFF2-40B4-BE49-F238E27FC236}">
              <a16:creationId xmlns:a16="http://schemas.microsoft.com/office/drawing/2014/main" id="{25D21F11-7872-4609-A906-8BDE32BCA18D}"/>
            </a:ext>
          </a:extLst>
        </xdr:cNvPr>
        <xdr:cNvSpPr/>
      </xdr:nvSpPr>
      <xdr:spPr>
        <a:xfrm>
          <a:off x="1300543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10B08E-DC29-4DB8-8ED0-863E5A72C388}"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12</xdr:col>
      <xdr:colOff>1206500</xdr:colOff>
      <xdr:row>26</xdr:row>
      <xdr:rowOff>127001</xdr:rowOff>
    </xdr:from>
    <xdr:to>
      <xdr:col>14</xdr:col>
      <xdr:colOff>266700</xdr:colOff>
      <xdr:row>39</xdr:row>
      <xdr:rowOff>76201</xdr:rowOff>
    </xdr:to>
    <xdr:graphicFrame macro="">
      <xdr:nvGraphicFramePr>
        <xdr:cNvPr id="115" name="Gráfico 114">
          <a:extLst>
            <a:ext uri="{FF2B5EF4-FFF2-40B4-BE49-F238E27FC236}">
              <a16:creationId xmlns:a16="http://schemas.microsoft.com/office/drawing/2014/main" id="{1F724D26-BB35-4325-B560-3B87C46F3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xdr:col>
      <xdr:colOff>508000</xdr:colOff>
      <xdr:row>30</xdr:row>
      <xdr:rowOff>107901</xdr:rowOff>
    </xdr:from>
    <xdr:to>
      <xdr:col>13</xdr:col>
      <xdr:colOff>1440477</xdr:colOff>
      <xdr:row>34</xdr:row>
      <xdr:rowOff>96471</xdr:rowOff>
    </xdr:to>
    <xdr:sp macro="" textlink="$B$115">
      <xdr:nvSpPr>
        <xdr:cNvPr id="116" name="Rectángulo 115">
          <a:extLst>
            <a:ext uri="{FF2B5EF4-FFF2-40B4-BE49-F238E27FC236}">
              <a16:creationId xmlns:a16="http://schemas.microsoft.com/office/drawing/2014/main" id="{25CB30B8-0ECC-421B-82C7-1017095A69E8}"/>
            </a:ext>
          </a:extLst>
        </xdr:cNvPr>
        <xdr:cNvSpPr/>
      </xdr:nvSpPr>
      <xdr:spPr>
        <a:xfrm>
          <a:off x="15075535" y="5773371"/>
          <a:ext cx="92676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6A86C2-20A2-4236-991C-2612CFB2A4F8}"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11</xdr:col>
      <xdr:colOff>174998</xdr:colOff>
      <xdr:row>27</xdr:row>
      <xdr:rowOff>37193</xdr:rowOff>
    </xdr:from>
    <xdr:to>
      <xdr:col>13</xdr:col>
      <xdr:colOff>423224</xdr:colOff>
      <xdr:row>37</xdr:row>
      <xdr:rowOff>24080</xdr:rowOff>
    </xdr:to>
    <xdr:graphicFrame macro="">
      <xdr:nvGraphicFramePr>
        <xdr:cNvPr id="117" name="Gráfico 116">
          <a:extLst>
            <a:ext uri="{FF2B5EF4-FFF2-40B4-BE49-F238E27FC236}">
              <a16:creationId xmlns:a16="http://schemas.microsoft.com/office/drawing/2014/main" id="{FB37BA18-E02D-4B8E-B3F3-D850AAE71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12</xdr:col>
      <xdr:colOff>12064</xdr:colOff>
      <xdr:row>27</xdr:row>
      <xdr:rowOff>78105</xdr:rowOff>
    </xdr:from>
    <xdr:to>
      <xdr:col>13</xdr:col>
      <xdr:colOff>1085767</xdr:colOff>
      <xdr:row>29</xdr:row>
      <xdr:rowOff>0</xdr:rowOff>
    </xdr:to>
    <xdr:sp macro="" textlink="$A$109">
      <xdr:nvSpPr>
        <xdr:cNvPr id="118" name="Rectángulo 117">
          <a:extLst>
            <a:ext uri="{FF2B5EF4-FFF2-40B4-BE49-F238E27FC236}">
              <a16:creationId xmlns:a16="http://schemas.microsoft.com/office/drawing/2014/main" id="{F80CAEE3-5652-4CA4-8561-5044CF3B0342}"/>
            </a:ext>
          </a:extLst>
        </xdr:cNvPr>
        <xdr:cNvSpPr/>
      </xdr:nvSpPr>
      <xdr:spPr>
        <a:xfrm>
          <a:off x="1296034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762506-7F0F-428F-B52C-A3BDDB34AF0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12</xdr:col>
      <xdr:colOff>584200</xdr:colOff>
      <xdr:row>30</xdr:row>
      <xdr:rowOff>147312</xdr:rowOff>
    </xdr:from>
    <xdr:to>
      <xdr:col>12</xdr:col>
      <xdr:colOff>1524166</xdr:colOff>
      <xdr:row>34</xdr:row>
      <xdr:rowOff>124782</xdr:rowOff>
    </xdr:to>
    <xdr:sp macro="" textlink="$B$109">
      <xdr:nvSpPr>
        <xdr:cNvPr id="119" name="Rectángulo 118">
          <a:extLst>
            <a:ext uri="{FF2B5EF4-FFF2-40B4-BE49-F238E27FC236}">
              <a16:creationId xmlns:a16="http://schemas.microsoft.com/office/drawing/2014/main" id="{064AD0AD-42CA-4B72-A61A-ED14195BF714}"/>
            </a:ext>
          </a:extLst>
        </xdr:cNvPr>
        <xdr:cNvSpPr/>
      </xdr:nvSpPr>
      <xdr:spPr>
        <a:xfrm>
          <a:off x="13532485"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4D1FEF-3904-48DA-B25F-F713612F0A75}"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46355</xdr:colOff>
      <xdr:row>36</xdr:row>
      <xdr:rowOff>77470</xdr:rowOff>
    </xdr:from>
    <xdr:to>
      <xdr:col>13</xdr:col>
      <xdr:colOff>401320</xdr:colOff>
      <xdr:row>38</xdr:row>
      <xdr:rowOff>12700</xdr:rowOff>
    </xdr:to>
    <xdr:sp macro="" textlink="$A$110">
      <xdr:nvSpPr>
        <xdr:cNvPr id="120" name="Rectángulo 119">
          <a:extLst>
            <a:ext uri="{FF2B5EF4-FFF2-40B4-BE49-F238E27FC236}">
              <a16:creationId xmlns:a16="http://schemas.microsoft.com/office/drawing/2014/main" id="{61D46346-389E-4778-9B0A-B6F12718AF5E}"/>
            </a:ext>
          </a:extLst>
        </xdr:cNvPr>
        <xdr:cNvSpPr/>
      </xdr:nvSpPr>
      <xdr:spPr>
        <a:xfrm>
          <a:off x="1299273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62D34-F84A-4F50-AE94-5055B298555E}"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12</xdr:col>
      <xdr:colOff>596900</xdr:colOff>
      <xdr:row>40</xdr:row>
      <xdr:rowOff>8519</xdr:rowOff>
    </xdr:from>
    <xdr:to>
      <xdr:col>12</xdr:col>
      <xdr:colOff>1539668</xdr:colOff>
      <xdr:row>43</xdr:row>
      <xdr:rowOff>163789</xdr:rowOff>
    </xdr:to>
    <xdr:sp macro="" textlink="$B$110">
      <xdr:nvSpPr>
        <xdr:cNvPr id="121" name="Rectángulo 120">
          <a:extLst>
            <a:ext uri="{FF2B5EF4-FFF2-40B4-BE49-F238E27FC236}">
              <a16:creationId xmlns:a16="http://schemas.microsoft.com/office/drawing/2014/main" id="{47A9A2E5-9877-40CF-AC45-737D83F7CC6C}"/>
            </a:ext>
          </a:extLst>
        </xdr:cNvPr>
        <xdr:cNvSpPr/>
      </xdr:nvSpPr>
      <xdr:spPr>
        <a:xfrm>
          <a:off x="13537565"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F819A-F1B7-4DB6-A5DB-7B89EC642AF1}"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457200</xdr:colOff>
      <xdr:row>39</xdr:row>
      <xdr:rowOff>100806</xdr:rowOff>
    </xdr:from>
    <xdr:to>
      <xdr:col>13</xdr:col>
      <xdr:colOff>1312619</xdr:colOff>
      <xdr:row>43</xdr:row>
      <xdr:rowOff>89376</xdr:rowOff>
    </xdr:to>
    <xdr:sp macro="" textlink="$B$116">
      <xdr:nvSpPr>
        <xdr:cNvPr id="122" name="Rectángulo 121">
          <a:extLst>
            <a:ext uri="{FF2B5EF4-FFF2-40B4-BE49-F238E27FC236}">
              <a16:creationId xmlns:a16="http://schemas.microsoft.com/office/drawing/2014/main" id="{E5646969-E3ED-4C42-981B-BF142FECC8D7}"/>
            </a:ext>
          </a:extLst>
        </xdr:cNvPr>
        <xdr:cNvSpPr/>
      </xdr:nvSpPr>
      <xdr:spPr>
        <a:xfrm>
          <a:off x="15020925" y="7393146"/>
          <a:ext cx="85922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543804-8942-49F6-97FC-7F994BF8F3BB}"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14</xdr:col>
      <xdr:colOff>174998</xdr:colOff>
      <xdr:row>27</xdr:row>
      <xdr:rowOff>37193</xdr:rowOff>
    </xdr:from>
    <xdr:to>
      <xdr:col>15</xdr:col>
      <xdr:colOff>0</xdr:colOff>
      <xdr:row>37</xdr:row>
      <xdr:rowOff>24080</xdr:rowOff>
    </xdr:to>
    <xdr:graphicFrame macro="">
      <xdr:nvGraphicFramePr>
        <xdr:cNvPr id="123" name="Gráfico 122">
          <a:extLst>
            <a:ext uri="{FF2B5EF4-FFF2-40B4-BE49-F238E27FC236}">
              <a16:creationId xmlns:a16="http://schemas.microsoft.com/office/drawing/2014/main" id="{C4E67645-0381-4DCE-94DD-FC009BD97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228600</xdr:colOff>
      <xdr:row>44</xdr:row>
      <xdr:rowOff>49530</xdr:rowOff>
    </xdr:from>
    <xdr:to>
      <xdr:col>8</xdr:col>
      <xdr:colOff>91440</xdr:colOff>
      <xdr:row>66</xdr:row>
      <xdr:rowOff>96520</xdr:rowOff>
    </xdr:to>
    <xdr:grpSp>
      <xdr:nvGrpSpPr>
        <xdr:cNvPr id="124" name="Grupo 123">
          <a:extLst>
            <a:ext uri="{FF2B5EF4-FFF2-40B4-BE49-F238E27FC236}">
              <a16:creationId xmlns:a16="http://schemas.microsoft.com/office/drawing/2014/main" id="{A48CE726-D879-486F-8BA8-7CB1151B4702}"/>
            </a:ext>
          </a:extLst>
        </xdr:cNvPr>
        <xdr:cNvGrpSpPr/>
      </xdr:nvGrpSpPr>
      <xdr:grpSpPr>
        <a:xfrm>
          <a:off x="5474677" y="8068994"/>
          <a:ext cx="3530111" cy="3937293"/>
          <a:chOff x="5275897" y="7883842"/>
          <a:chExt cx="4608644" cy="2743200"/>
        </a:xfrm>
      </xdr:grpSpPr>
      <xdr:graphicFrame macro="">
        <xdr:nvGraphicFramePr>
          <xdr:cNvPr id="125" name="Gráfico 124">
            <a:extLst>
              <a:ext uri="{FF2B5EF4-FFF2-40B4-BE49-F238E27FC236}">
                <a16:creationId xmlns:a16="http://schemas.microsoft.com/office/drawing/2014/main" id="{6E8B4938-B77A-931E-53E0-2A32278935A7}"/>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126" name="CuadroTexto 125">
            <a:extLst>
              <a:ext uri="{FF2B5EF4-FFF2-40B4-BE49-F238E27FC236}">
                <a16:creationId xmlns:a16="http://schemas.microsoft.com/office/drawing/2014/main" id="{75534BD6-2650-CA7E-3A95-A5A05D7FA698}"/>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27" name="CuadroTexto 126">
            <a:extLst>
              <a:ext uri="{FF2B5EF4-FFF2-40B4-BE49-F238E27FC236}">
                <a16:creationId xmlns:a16="http://schemas.microsoft.com/office/drawing/2014/main" id="{969BF3AF-9B86-1BFA-85BB-C235538930A7}"/>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28" name="CuadroTexto 127">
            <a:extLst>
              <a:ext uri="{FF2B5EF4-FFF2-40B4-BE49-F238E27FC236}">
                <a16:creationId xmlns:a16="http://schemas.microsoft.com/office/drawing/2014/main" id="{909B2829-36EB-EECF-3FB9-84DB265BC56E}"/>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29" name="CuadroTexto 128">
            <a:extLst>
              <a:ext uri="{FF2B5EF4-FFF2-40B4-BE49-F238E27FC236}">
                <a16:creationId xmlns:a16="http://schemas.microsoft.com/office/drawing/2014/main" id="{23189AD8-FCE4-C751-27E6-0D81B50F95C5}"/>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0" name="CuadroTexto 129">
            <a:extLst>
              <a:ext uri="{FF2B5EF4-FFF2-40B4-BE49-F238E27FC236}">
                <a16:creationId xmlns:a16="http://schemas.microsoft.com/office/drawing/2014/main" id="{8F604F1F-3E71-DC73-4FB8-BC02A7D81124}"/>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31" name="CuadroTexto 130">
            <a:extLst>
              <a:ext uri="{FF2B5EF4-FFF2-40B4-BE49-F238E27FC236}">
                <a16:creationId xmlns:a16="http://schemas.microsoft.com/office/drawing/2014/main" id="{F64C59B0-DBB7-0E9F-033B-1933BD123716}"/>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85">
        <xdr:nvSpPr>
          <xdr:cNvPr id="132" name="Rectángulo 131">
            <a:extLst>
              <a:ext uri="{FF2B5EF4-FFF2-40B4-BE49-F238E27FC236}">
                <a16:creationId xmlns:a16="http://schemas.microsoft.com/office/drawing/2014/main" id="{C2D5541E-E257-A15B-2E28-BD6B0274ABD3}"/>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AF054C-F4F1-4598-B554-D05A403BE5A8}" type="TxLink">
              <a:rPr lang="en-US" sz="3600" b="0" i="0" u="none" strike="noStrike">
                <a:solidFill>
                  <a:srgbClr val="000000"/>
                </a:solidFill>
                <a:latin typeface="Bahnschrift SemiBold Condensed" panose="020B0502040204020203" pitchFamily="34" charset="0"/>
              </a:rPr>
              <a:pPr algn="l"/>
              <a:t>52</a:t>
            </a:fld>
            <a:endParaRPr lang="es-CO" sz="3600" b="1">
              <a:latin typeface="Bahnschrift SemiBold Condensed" panose="020B0502040204020203" pitchFamily="34" charset="0"/>
            </a:endParaRPr>
          </a:p>
        </xdr:txBody>
      </xdr:sp>
    </xdr:grpSp>
    <xdr:clientData/>
  </xdr:twoCellAnchor>
  <xdr:twoCellAnchor>
    <xdr:from>
      <xdr:col>8</xdr:col>
      <xdr:colOff>243840</xdr:colOff>
      <xdr:row>44</xdr:row>
      <xdr:rowOff>15240</xdr:rowOff>
    </xdr:from>
    <xdr:to>
      <xdr:col>11</xdr:col>
      <xdr:colOff>102870</xdr:colOff>
      <xdr:row>66</xdr:row>
      <xdr:rowOff>60325</xdr:rowOff>
    </xdr:to>
    <xdr:grpSp>
      <xdr:nvGrpSpPr>
        <xdr:cNvPr id="133" name="Grupo 132">
          <a:extLst>
            <a:ext uri="{FF2B5EF4-FFF2-40B4-BE49-F238E27FC236}">
              <a16:creationId xmlns:a16="http://schemas.microsoft.com/office/drawing/2014/main" id="{BCA3B57F-56E6-478D-A25F-D8875CEB36BE}"/>
            </a:ext>
          </a:extLst>
        </xdr:cNvPr>
        <xdr:cNvGrpSpPr/>
      </xdr:nvGrpSpPr>
      <xdr:grpSpPr>
        <a:xfrm>
          <a:off x="9157188" y="8034704"/>
          <a:ext cx="3516777" cy="3935388"/>
          <a:chOff x="5275897" y="7883842"/>
          <a:chExt cx="4608644" cy="2743200"/>
        </a:xfrm>
      </xdr:grpSpPr>
      <xdr:graphicFrame macro="">
        <xdr:nvGraphicFramePr>
          <xdr:cNvPr id="134" name="Gráfico 133">
            <a:extLst>
              <a:ext uri="{FF2B5EF4-FFF2-40B4-BE49-F238E27FC236}">
                <a16:creationId xmlns:a16="http://schemas.microsoft.com/office/drawing/2014/main" id="{8BA58195-14D1-1646-B853-D72E9606DB9A}"/>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0"/>
          </a:graphicData>
        </a:graphic>
      </xdr:graphicFrame>
      <xdr:sp macro="" textlink="">
        <xdr:nvSpPr>
          <xdr:cNvPr id="135" name="CuadroTexto 134">
            <a:extLst>
              <a:ext uri="{FF2B5EF4-FFF2-40B4-BE49-F238E27FC236}">
                <a16:creationId xmlns:a16="http://schemas.microsoft.com/office/drawing/2014/main" id="{03351207-82D5-01DE-F065-C3A7B0783EA7}"/>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36" name="CuadroTexto 135">
            <a:extLst>
              <a:ext uri="{FF2B5EF4-FFF2-40B4-BE49-F238E27FC236}">
                <a16:creationId xmlns:a16="http://schemas.microsoft.com/office/drawing/2014/main" id="{37419A1A-A6A6-A0FB-0687-AF9E65FE85FC}"/>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37" name="CuadroTexto 136">
            <a:extLst>
              <a:ext uri="{FF2B5EF4-FFF2-40B4-BE49-F238E27FC236}">
                <a16:creationId xmlns:a16="http://schemas.microsoft.com/office/drawing/2014/main" id="{EED31FDD-4609-8131-D6CA-EF578E7CC764}"/>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38" name="CuadroTexto 137">
            <a:extLst>
              <a:ext uri="{FF2B5EF4-FFF2-40B4-BE49-F238E27FC236}">
                <a16:creationId xmlns:a16="http://schemas.microsoft.com/office/drawing/2014/main" id="{F0869833-9BD7-A8B9-39D6-ADA21A8CF063}"/>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9" name="CuadroTexto 138">
            <a:extLst>
              <a:ext uri="{FF2B5EF4-FFF2-40B4-BE49-F238E27FC236}">
                <a16:creationId xmlns:a16="http://schemas.microsoft.com/office/drawing/2014/main" id="{A7BA8457-D033-C4A9-B08F-48B5B7B00FD0}"/>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0" name="CuadroTexto 139">
            <a:extLst>
              <a:ext uri="{FF2B5EF4-FFF2-40B4-BE49-F238E27FC236}">
                <a16:creationId xmlns:a16="http://schemas.microsoft.com/office/drawing/2014/main" id="{86D2FE4C-6816-DC38-3505-26768F35C6EB}"/>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99">
        <xdr:nvSpPr>
          <xdr:cNvPr id="141" name="Rectángulo 140">
            <a:extLst>
              <a:ext uri="{FF2B5EF4-FFF2-40B4-BE49-F238E27FC236}">
                <a16:creationId xmlns:a16="http://schemas.microsoft.com/office/drawing/2014/main" id="{D745BF8B-E594-6F3D-CB9D-C8EAFBDCB3B5}"/>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346720-4683-4BCA-8627-780E79C2A2E7}" type="TxLink">
              <a:rPr lang="en-US" sz="3600" b="0" i="0" u="none" strike="noStrike">
                <a:solidFill>
                  <a:srgbClr val="000000"/>
                </a:solidFill>
                <a:latin typeface="Bahnschrift SemiBold Condensed" panose="020B0502040204020203" pitchFamily="34" charset="0"/>
              </a:rPr>
              <a:pPr algn="l"/>
              <a:t>58</a:t>
            </a:fld>
            <a:endParaRPr lang="es-CO" sz="3600" b="1">
              <a:latin typeface="Bahnschrift SemiBold Condensed" panose="020B0502040204020203" pitchFamily="34" charset="0"/>
            </a:endParaRPr>
          </a:p>
        </xdr:txBody>
      </xdr:sp>
    </xdr:grpSp>
    <xdr:clientData/>
  </xdr:twoCellAnchor>
  <xdr:twoCellAnchor>
    <xdr:from>
      <xdr:col>11</xdr:col>
      <xdr:colOff>228600</xdr:colOff>
      <xdr:row>44</xdr:row>
      <xdr:rowOff>26670</xdr:rowOff>
    </xdr:from>
    <xdr:to>
      <xdr:col>14</xdr:col>
      <xdr:colOff>91440</xdr:colOff>
      <xdr:row>66</xdr:row>
      <xdr:rowOff>85090</xdr:rowOff>
    </xdr:to>
    <xdr:grpSp>
      <xdr:nvGrpSpPr>
        <xdr:cNvPr id="142" name="Grupo 141">
          <a:extLst>
            <a:ext uri="{FF2B5EF4-FFF2-40B4-BE49-F238E27FC236}">
              <a16:creationId xmlns:a16="http://schemas.microsoft.com/office/drawing/2014/main" id="{6B6542C3-C153-42E7-BD1B-B9A5D3B5D61F}"/>
            </a:ext>
          </a:extLst>
        </xdr:cNvPr>
        <xdr:cNvGrpSpPr/>
      </xdr:nvGrpSpPr>
      <xdr:grpSpPr>
        <a:xfrm>
          <a:off x="12801600" y="8040419"/>
          <a:ext cx="3530112" cy="3960153"/>
          <a:chOff x="5275897" y="7883842"/>
          <a:chExt cx="4608644" cy="2743200"/>
        </a:xfrm>
      </xdr:grpSpPr>
      <xdr:graphicFrame macro="">
        <xdr:nvGraphicFramePr>
          <xdr:cNvPr id="143" name="Gráfico 142">
            <a:extLst>
              <a:ext uri="{FF2B5EF4-FFF2-40B4-BE49-F238E27FC236}">
                <a16:creationId xmlns:a16="http://schemas.microsoft.com/office/drawing/2014/main" id="{10B31288-62B5-FE42-033A-B5DCAED33055}"/>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1"/>
          </a:graphicData>
        </a:graphic>
      </xdr:graphicFrame>
      <xdr:sp macro="" textlink="">
        <xdr:nvSpPr>
          <xdr:cNvPr id="144" name="CuadroTexto 143">
            <a:extLst>
              <a:ext uri="{FF2B5EF4-FFF2-40B4-BE49-F238E27FC236}">
                <a16:creationId xmlns:a16="http://schemas.microsoft.com/office/drawing/2014/main" id="{8D457EE3-1069-6DE0-4181-D0F2C6625268}"/>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45" name="CuadroTexto 144">
            <a:extLst>
              <a:ext uri="{FF2B5EF4-FFF2-40B4-BE49-F238E27FC236}">
                <a16:creationId xmlns:a16="http://schemas.microsoft.com/office/drawing/2014/main" id="{67319750-C11A-2A51-D7F8-795A6CE51B0E}"/>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46" name="CuadroTexto 145">
            <a:extLst>
              <a:ext uri="{FF2B5EF4-FFF2-40B4-BE49-F238E27FC236}">
                <a16:creationId xmlns:a16="http://schemas.microsoft.com/office/drawing/2014/main" id="{45E64A24-10D6-AEDE-E0B6-4A97D9296C2F}"/>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47" name="CuadroTexto 146">
            <a:extLst>
              <a:ext uri="{FF2B5EF4-FFF2-40B4-BE49-F238E27FC236}">
                <a16:creationId xmlns:a16="http://schemas.microsoft.com/office/drawing/2014/main" id="{94D2F376-A71C-29AC-050E-993A328D0878}"/>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48" name="CuadroTexto 147">
            <a:extLst>
              <a:ext uri="{FF2B5EF4-FFF2-40B4-BE49-F238E27FC236}">
                <a16:creationId xmlns:a16="http://schemas.microsoft.com/office/drawing/2014/main" id="{44690780-9C56-6BAB-6718-9C3953F402F4}"/>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9" name="CuadroTexto 148">
            <a:extLst>
              <a:ext uri="{FF2B5EF4-FFF2-40B4-BE49-F238E27FC236}">
                <a16:creationId xmlns:a16="http://schemas.microsoft.com/office/drawing/2014/main" id="{788F2F28-BBA1-CE8C-4AA0-F429C01CAFC6}"/>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113">
        <xdr:nvSpPr>
          <xdr:cNvPr id="150" name="Rectángulo 149">
            <a:extLst>
              <a:ext uri="{FF2B5EF4-FFF2-40B4-BE49-F238E27FC236}">
                <a16:creationId xmlns:a16="http://schemas.microsoft.com/office/drawing/2014/main" id="{6048C91D-DC21-929B-2E9F-32632BFD8EA2}"/>
              </a:ext>
            </a:extLst>
          </xdr:cNvPr>
          <xdr:cNvSpPr/>
        </xdr:nvSpPr>
        <xdr:spPr>
          <a:xfrm>
            <a:off x="7161176" y="8980581"/>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45285D-E9A2-43E4-962B-902C584A0ECC}" type="TxLink">
              <a:rPr lang="en-US" sz="3600" b="0" i="0" u="none" strike="noStrike">
                <a:solidFill>
                  <a:srgbClr val="000000"/>
                </a:solidFill>
                <a:latin typeface="Bahnschrift SemiBold Condensed" panose="020B0502040204020203" pitchFamily="34" charset="0"/>
              </a:rPr>
              <a:pPr algn="l"/>
              <a:t>51</a:t>
            </a:fld>
            <a:endParaRPr lang="es-CO" sz="3600" b="1">
              <a:latin typeface="Bahnschrift SemiBold Condensed" panose="020B0502040204020203" pitchFamily="34" charset="0"/>
            </a:endParaRPr>
          </a:p>
        </xdr:txBody>
      </xdr:sp>
    </xdr:grpSp>
    <xdr:clientData/>
  </xdr:twoCellAnchor>
  <xdr:twoCellAnchor>
    <xdr:from>
      <xdr:col>15</xdr:col>
      <xdr:colOff>84405</xdr:colOff>
      <xdr:row>0</xdr:row>
      <xdr:rowOff>53633</xdr:rowOff>
    </xdr:from>
    <xdr:to>
      <xdr:col>23</xdr:col>
      <xdr:colOff>644769</xdr:colOff>
      <xdr:row>29</xdr:row>
      <xdr:rowOff>58615</xdr:rowOff>
    </xdr:to>
    <xdr:graphicFrame macro="">
      <xdr:nvGraphicFramePr>
        <xdr:cNvPr id="153" name="Gráfico 152">
          <a:extLst>
            <a:ext uri="{FF2B5EF4-FFF2-40B4-BE49-F238E27FC236}">
              <a16:creationId xmlns:a16="http://schemas.microsoft.com/office/drawing/2014/main" id="{78F215B3-9954-E08A-8D62-B22E8972C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107997</xdr:colOff>
      <xdr:row>30</xdr:row>
      <xdr:rowOff>2051</xdr:rowOff>
    </xdr:from>
    <xdr:to>
      <xdr:col>23</xdr:col>
      <xdr:colOff>644768</xdr:colOff>
      <xdr:row>58</xdr:row>
      <xdr:rowOff>58615</xdr:rowOff>
    </xdr:to>
    <xdr:graphicFrame macro="">
      <xdr:nvGraphicFramePr>
        <xdr:cNvPr id="154" name="Gráfico 153">
          <a:extLst>
            <a:ext uri="{FF2B5EF4-FFF2-40B4-BE49-F238E27FC236}">
              <a16:creationId xmlns:a16="http://schemas.microsoft.com/office/drawing/2014/main" id="{C993F0C2-971E-3E4D-4A49-AD55160E1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1181100</xdr:colOff>
      <xdr:row>35</xdr:row>
      <xdr:rowOff>12700</xdr:rowOff>
    </xdr:from>
    <xdr:to>
      <xdr:col>8</xdr:col>
      <xdr:colOff>279400</xdr:colOff>
      <xdr:row>49</xdr:row>
      <xdr:rowOff>63500</xdr:rowOff>
    </xdr:to>
    <xdr:graphicFrame macro="">
      <xdr:nvGraphicFramePr>
        <xdr:cNvPr id="2" name="Gráfico 1">
          <a:extLst>
            <a:ext uri="{FF2B5EF4-FFF2-40B4-BE49-F238E27FC236}">
              <a16:creationId xmlns:a16="http://schemas.microsoft.com/office/drawing/2014/main" id="{6CE28E1A-AD6E-43B9-8A00-22167119F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36</xdr:row>
      <xdr:rowOff>50800</xdr:rowOff>
    </xdr:from>
    <xdr:to>
      <xdr:col>7</xdr:col>
      <xdr:colOff>299026</xdr:colOff>
      <xdr:row>46</xdr:row>
      <xdr:rowOff>50387</xdr:rowOff>
    </xdr:to>
    <xdr:graphicFrame macro="">
      <xdr:nvGraphicFramePr>
        <xdr:cNvPr id="3" name="Gráfico 2">
          <a:extLst>
            <a:ext uri="{FF2B5EF4-FFF2-40B4-BE49-F238E27FC236}">
              <a16:creationId xmlns:a16="http://schemas.microsoft.com/office/drawing/2014/main" id="{606D7765-1F2E-45D8-8717-787FA8277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29</xdr:row>
      <xdr:rowOff>22760</xdr:rowOff>
    </xdr:from>
    <xdr:to>
      <xdr:col>1</xdr:col>
      <xdr:colOff>714375</xdr:colOff>
      <xdr:row>38</xdr:row>
      <xdr:rowOff>60960</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6BF8BABB-BFB6-4105-BB83-B63A702850D9}"/>
            </a:ext>
          </a:extLst>
        </xdr:cNvPr>
        <xdr:cNvSpPr/>
      </xdr:nvSpPr>
      <xdr:spPr>
        <a:xfrm>
          <a:off x="64770" y="5505350"/>
          <a:ext cx="1438275" cy="1666975"/>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400">
              <a:solidFill>
                <a:schemeClr val="accent1"/>
              </a:solidFill>
              <a:latin typeface="Artifakt Element Heavy" panose="020B0B03050000020004" pitchFamily="34" charset="0"/>
              <a:ea typeface="Artifakt Element Heavy" panose="020B0B03050000020004" pitchFamily="34" charset="0"/>
            </a:rPr>
            <a:t>POLÍTICAS ÁREA COMERCIAL</a:t>
          </a:r>
        </a:p>
      </xdr:txBody>
    </xdr:sp>
    <xdr:clientData/>
  </xdr:twoCellAnchor>
  <xdr:twoCellAnchor>
    <xdr:from>
      <xdr:col>12</xdr:col>
      <xdr:colOff>1130300</xdr:colOff>
      <xdr:row>35</xdr:row>
      <xdr:rowOff>0</xdr:rowOff>
    </xdr:from>
    <xdr:to>
      <xdr:col>14</xdr:col>
      <xdr:colOff>228600</xdr:colOff>
      <xdr:row>49</xdr:row>
      <xdr:rowOff>50800</xdr:rowOff>
    </xdr:to>
    <xdr:graphicFrame macro="">
      <xdr:nvGraphicFramePr>
        <xdr:cNvPr id="5" name="Gráfico 4">
          <a:extLst>
            <a:ext uri="{FF2B5EF4-FFF2-40B4-BE49-F238E27FC236}">
              <a16:creationId xmlns:a16="http://schemas.microsoft.com/office/drawing/2014/main" id="{6390ECBF-B669-486D-8DF4-3B7A7A50E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36</xdr:row>
      <xdr:rowOff>38100</xdr:rowOff>
    </xdr:from>
    <xdr:to>
      <xdr:col>13</xdr:col>
      <xdr:colOff>248226</xdr:colOff>
      <xdr:row>46</xdr:row>
      <xdr:rowOff>37687</xdr:rowOff>
    </xdr:to>
    <xdr:graphicFrame macro="">
      <xdr:nvGraphicFramePr>
        <xdr:cNvPr id="6" name="Gráfico 5">
          <a:extLst>
            <a:ext uri="{FF2B5EF4-FFF2-40B4-BE49-F238E27FC236}">
              <a16:creationId xmlns:a16="http://schemas.microsoft.com/office/drawing/2014/main" id="{F012EE15-00CD-4E89-ADA5-0AC0DA4C8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1168400</xdr:colOff>
      <xdr:row>17</xdr:row>
      <xdr:rowOff>76200</xdr:rowOff>
    </xdr:from>
    <xdr:to>
      <xdr:col>14</xdr:col>
      <xdr:colOff>228600</xdr:colOff>
      <xdr:row>30</xdr:row>
      <xdr:rowOff>25400</xdr:rowOff>
    </xdr:to>
    <xdr:graphicFrame macro="">
      <xdr:nvGraphicFramePr>
        <xdr:cNvPr id="7" name="Gráfico 6">
          <a:extLst>
            <a:ext uri="{FF2B5EF4-FFF2-40B4-BE49-F238E27FC236}">
              <a16:creationId xmlns:a16="http://schemas.microsoft.com/office/drawing/2014/main" id="{60910D19-CCE7-48C6-A31A-5D5A2BF0D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1117600</xdr:colOff>
      <xdr:row>35</xdr:row>
      <xdr:rowOff>0</xdr:rowOff>
    </xdr:from>
    <xdr:to>
      <xdr:col>11</xdr:col>
      <xdr:colOff>215900</xdr:colOff>
      <xdr:row>49</xdr:row>
      <xdr:rowOff>50800</xdr:rowOff>
    </xdr:to>
    <xdr:graphicFrame macro="">
      <xdr:nvGraphicFramePr>
        <xdr:cNvPr id="8" name="Gráfico 7">
          <a:extLst>
            <a:ext uri="{FF2B5EF4-FFF2-40B4-BE49-F238E27FC236}">
              <a16:creationId xmlns:a16="http://schemas.microsoft.com/office/drawing/2014/main" id="{CEC29C92-B920-4C06-A1CB-1CF0074E4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330200</xdr:colOff>
      <xdr:row>36</xdr:row>
      <xdr:rowOff>38100</xdr:rowOff>
    </xdr:from>
    <xdr:to>
      <xdr:col>10</xdr:col>
      <xdr:colOff>235526</xdr:colOff>
      <xdr:row>46</xdr:row>
      <xdr:rowOff>37687</xdr:rowOff>
    </xdr:to>
    <xdr:graphicFrame macro="">
      <xdr:nvGraphicFramePr>
        <xdr:cNvPr id="9" name="Gráfico 8">
          <a:extLst>
            <a:ext uri="{FF2B5EF4-FFF2-40B4-BE49-F238E27FC236}">
              <a16:creationId xmlns:a16="http://schemas.microsoft.com/office/drawing/2014/main" id="{27A07C05-F15C-405D-8D7A-1876C0DF2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113851</xdr:colOff>
      <xdr:row>9</xdr:row>
      <xdr:rowOff>19792</xdr:rowOff>
    </xdr:from>
    <xdr:to>
      <xdr:col>4</xdr:col>
      <xdr:colOff>150586</xdr:colOff>
      <xdr:row>19</xdr:row>
      <xdr:rowOff>39585</xdr:rowOff>
    </xdr:to>
    <xdr:graphicFrame macro="">
      <xdr:nvGraphicFramePr>
        <xdr:cNvPr id="10" name="Gráfico 9">
          <a:extLst>
            <a:ext uri="{FF2B5EF4-FFF2-40B4-BE49-F238E27FC236}">
              <a16:creationId xmlns:a16="http://schemas.microsoft.com/office/drawing/2014/main" id="{06DA40B8-8519-46D9-9AE9-1093C28CA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1215240</xdr:colOff>
      <xdr:row>6</xdr:row>
      <xdr:rowOff>104570</xdr:rowOff>
    </xdr:from>
    <xdr:to>
      <xdr:col>5</xdr:col>
      <xdr:colOff>228599</xdr:colOff>
      <xdr:row>21</xdr:row>
      <xdr:rowOff>127000</xdr:rowOff>
    </xdr:to>
    <xdr:graphicFrame macro="">
      <xdr:nvGraphicFramePr>
        <xdr:cNvPr id="11" name="Gráfico 10">
          <a:extLst>
            <a:ext uri="{FF2B5EF4-FFF2-40B4-BE49-F238E27FC236}">
              <a16:creationId xmlns:a16="http://schemas.microsoft.com/office/drawing/2014/main" id="{A27DAA84-7CFA-48A7-A519-D1437F86F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1232848</xdr:colOff>
      <xdr:row>16</xdr:row>
      <xdr:rowOff>125102</xdr:rowOff>
    </xdr:from>
    <xdr:to>
      <xdr:col>5</xdr:col>
      <xdr:colOff>330200</xdr:colOff>
      <xdr:row>31</xdr:row>
      <xdr:rowOff>63500</xdr:rowOff>
    </xdr:to>
    <xdr:graphicFrame macro="">
      <xdr:nvGraphicFramePr>
        <xdr:cNvPr id="12" name="Gráfico 11">
          <a:extLst>
            <a:ext uri="{FF2B5EF4-FFF2-40B4-BE49-F238E27FC236}">
              <a16:creationId xmlns:a16="http://schemas.microsoft.com/office/drawing/2014/main" id="{5A0F08DC-BBD2-48BE-97BF-644328A4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99297</xdr:colOff>
      <xdr:row>18</xdr:row>
      <xdr:rowOff>328</xdr:rowOff>
    </xdr:from>
    <xdr:to>
      <xdr:col>4</xdr:col>
      <xdr:colOff>184562</xdr:colOff>
      <xdr:row>28</xdr:row>
      <xdr:rowOff>9896</xdr:rowOff>
    </xdr:to>
    <xdr:graphicFrame macro="">
      <xdr:nvGraphicFramePr>
        <xdr:cNvPr id="13" name="Gráfico 12">
          <a:extLst>
            <a:ext uri="{FF2B5EF4-FFF2-40B4-BE49-F238E27FC236}">
              <a16:creationId xmlns:a16="http://schemas.microsoft.com/office/drawing/2014/main" id="{10EAADDF-CBBD-464F-8F09-0B0E096B9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xdr:col>
      <xdr:colOff>506056</xdr:colOff>
      <xdr:row>1</xdr:row>
      <xdr:rowOff>20168</xdr:rowOff>
    </xdr:from>
    <xdr:ext cx="1454655" cy="885826"/>
    <xdr:pic>
      <xdr:nvPicPr>
        <xdr:cNvPr id="14" name="Imagen 13">
          <a:extLst>
            <a:ext uri="{FF2B5EF4-FFF2-40B4-BE49-F238E27FC236}">
              <a16:creationId xmlns:a16="http://schemas.microsoft.com/office/drawing/2014/main" id="{AF89DDD0-933D-4A7B-89F5-06BBC8D1610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22436" y="283058"/>
          <a:ext cx="1454655" cy="885826"/>
        </a:xfrm>
        <a:prstGeom prst="rect">
          <a:avLst/>
        </a:prstGeom>
      </xdr:spPr>
    </xdr:pic>
    <xdr:clientData/>
  </xdr:oneCellAnchor>
  <xdr:oneCellAnchor>
    <xdr:from>
      <xdr:col>0</xdr:col>
      <xdr:colOff>99060</xdr:colOff>
      <xdr:row>0</xdr:row>
      <xdr:rowOff>137160</xdr:rowOff>
    </xdr:from>
    <xdr:ext cx="1401072" cy="943048"/>
    <xdr:pic>
      <xdr:nvPicPr>
        <xdr:cNvPr id="15" name="Imagen 14">
          <a:extLst>
            <a:ext uri="{FF2B5EF4-FFF2-40B4-BE49-F238E27FC236}">
              <a16:creationId xmlns:a16="http://schemas.microsoft.com/office/drawing/2014/main" id="{9C238D22-4441-4E70-AEFC-1A22D8808289}"/>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910" r="13534"/>
        <a:stretch/>
      </xdr:blipFill>
      <xdr:spPr>
        <a:xfrm>
          <a:off x="95250" y="133350"/>
          <a:ext cx="1401072" cy="943048"/>
        </a:xfrm>
        <a:prstGeom prst="rect">
          <a:avLst/>
        </a:prstGeom>
      </xdr:spPr>
    </xdr:pic>
    <xdr:clientData/>
  </xdr:oneCellAnchor>
  <xdr:twoCellAnchor>
    <xdr:from>
      <xdr:col>0</xdr:col>
      <xdr:colOff>66675</xdr:colOff>
      <xdr:row>5</xdr:row>
      <xdr:rowOff>114200</xdr:rowOff>
    </xdr:from>
    <xdr:to>
      <xdr:col>1</xdr:col>
      <xdr:colOff>714375</xdr:colOff>
      <xdr:row>10</xdr:row>
      <xdr:rowOff>167170</xdr:rowOff>
    </xdr:to>
    <xdr:sp macro="" textlink="">
      <xdr:nvSpPr>
        <xdr:cNvPr id="16" name="Rectángulo: esquinas redondeadas 15">
          <a:hlinkClick xmlns:r="http://schemas.openxmlformats.org/officeDocument/2006/relationships" r:id="rId15"/>
          <a:extLst>
            <a:ext uri="{FF2B5EF4-FFF2-40B4-BE49-F238E27FC236}">
              <a16:creationId xmlns:a16="http://schemas.microsoft.com/office/drawing/2014/main" id="{8A705E6E-22A2-405B-B7E0-0EB62802B531}"/>
            </a:ext>
          </a:extLst>
        </xdr:cNvPr>
        <xdr:cNvSpPr/>
      </xdr:nvSpPr>
      <xdr:spPr>
        <a:xfrm>
          <a:off x="64770" y="1238150"/>
          <a:ext cx="1438275" cy="980705"/>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DIRECTORA COMERCIAL</a:t>
          </a:r>
        </a:p>
      </xdr:txBody>
    </xdr:sp>
    <xdr:clientData/>
  </xdr:twoCellAnchor>
  <xdr:twoCellAnchor>
    <xdr:from>
      <xdr:col>24</xdr:col>
      <xdr:colOff>66675</xdr:colOff>
      <xdr:row>5</xdr:row>
      <xdr:rowOff>125310</xdr:rowOff>
    </xdr:from>
    <xdr:to>
      <xdr:col>24</xdr:col>
      <xdr:colOff>1506063</xdr:colOff>
      <xdr:row>10</xdr:row>
      <xdr:rowOff>168012</xdr:rowOff>
    </xdr:to>
    <xdr:sp macro="" textlink="">
      <xdr:nvSpPr>
        <xdr:cNvPr id="17" name="Rectángulo: esquinas redondeadas 16">
          <a:hlinkClick xmlns:r="http://schemas.openxmlformats.org/officeDocument/2006/relationships" r:id="rId16"/>
          <a:extLst>
            <a:ext uri="{FF2B5EF4-FFF2-40B4-BE49-F238E27FC236}">
              <a16:creationId xmlns:a16="http://schemas.microsoft.com/office/drawing/2014/main" id="{D2CA5C58-7EBD-45A1-8C01-42C483F4E26D}"/>
            </a:ext>
          </a:extLst>
        </xdr:cNvPr>
        <xdr:cNvSpPr/>
      </xdr:nvSpPr>
      <xdr:spPr>
        <a:xfrm>
          <a:off x="23772495" y="1251165"/>
          <a:ext cx="1437483" cy="96853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DIRECTORA COMERCIAL</a:t>
          </a:r>
        </a:p>
      </xdr:txBody>
    </xdr:sp>
    <xdr:clientData/>
  </xdr:twoCellAnchor>
  <xdr:twoCellAnchor>
    <xdr:from>
      <xdr:col>3</xdr:col>
      <xdr:colOff>393700</xdr:colOff>
      <xdr:row>12</xdr:row>
      <xdr:rowOff>131288</xdr:rowOff>
    </xdr:from>
    <xdr:to>
      <xdr:col>3</xdr:col>
      <xdr:colOff>1266042</xdr:colOff>
      <xdr:row>16</xdr:row>
      <xdr:rowOff>98903</xdr:rowOff>
    </xdr:to>
    <xdr:sp macro="" textlink="$B$65">
      <xdr:nvSpPr>
        <xdr:cNvPr id="18" name="Rectángulo 17">
          <a:extLst>
            <a:ext uri="{FF2B5EF4-FFF2-40B4-BE49-F238E27FC236}">
              <a16:creationId xmlns:a16="http://schemas.microsoft.com/office/drawing/2014/main" id="{DAC9D405-7E00-42F0-90F9-AAB4488A098A}"/>
            </a:ext>
          </a:extLst>
        </xdr:cNvPr>
        <xdr:cNvSpPr/>
      </xdr:nvSpPr>
      <xdr:spPr>
        <a:xfrm>
          <a:off x="2416810" y="2544923"/>
          <a:ext cx="870437"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535373-67D4-4052-B754-AC66BB4F54EC}"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34290</xdr:colOff>
      <xdr:row>18</xdr:row>
      <xdr:rowOff>55245</xdr:rowOff>
    </xdr:from>
    <xdr:to>
      <xdr:col>4</xdr:col>
      <xdr:colOff>1068780</xdr:colOff>
      <xdr:row>20</xdr:row>
      <xdr:rowOff>0</xdr:rowOff>
    </xdr:to>
    <xdr:sp macro="" textlink="$A$66">
      <xdr:nvSpPr>
        <xdr:cNvPr id="19" name="Rectángulo 18">
          <a:extLst>
            <a:ext uri="{FF2B5EF4-FFF2-40B4-BE49-F238E27FC236}">
              <a16:creationId xmlns:a16="http://schemas.microsoft.com/office/drawing/2014/main" id="{B4AA6BD0-FE28-428A-965B-DB93BAEB06E5}"/>
            </a:ext>
          </a:extLst>
        </xdr:cNvPr>
        <xdr:cNvSpPr/>
      </xdr:nvSpPr>
      <xdr:spPr>
        <a:xfrm>
          <a:off x="2053590" y="3554730"/>
          <a:ext cx="2644215"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278BB8-8729-4A4B-A8EB-9C84E7E1F12D}" type="TxLink">
            <a:rPr lang="en-US" sz="900" b="1" i="0" u="none" strike="noStrike">
              <a:solidFill>
                <a:srgbClr val="000000"/>
              </a:solidFill>
              <a:latin typeface="Aptos Narrow"/>
            </a:rPr>
            <a:pPr algn="l"/>
            <a:t>Liderazgo y Gestión del Equipo Comercial</a:t>
          </a:fld>
          <a:endParaRPr lang="es-CO" sz="1100">
            <a:solidFill>
              <a:sysClr val="windowText" lastClr="000000"/>
            </a:solidFill>
          </a:endParaRPr>
        </a:p>
      </xdr:txBody>
    </xdr:sp>
    <xdr:clientData/>
  </xdr:twoCellAnchor>
  <xdr:twoCellAnchor>
    <xdr:from>
      <xdr:col>3</xdr:col>
      <xdr:colOff>406400</xdr:colOff>
      <xdr:row>21</xdr:row>
      <xdr:rowOff>122662</xdr:rowOff>
    </xdr:from>
    <xdr:to>
      <xdr:col>3</xdr:col>
      <xdr:colOff>1242126</xdr:colOff>
      <xdr:row>25</xdr:row>
      <xdr:rowOff>95992</xdr:rowOff>
    </xdr:to>
    <xdr:sp macro="" textlink="$B$66">
      <xdr:nvSpPr>
        <xdr:cNvPr id="20" name="Rectángulo 19">
          <a:extLst>
            <a:ext uri="{FF2B5EF4-FFF2-40B4-BE49-F238E27FC236}">
              <a16:creationId xmlns:a16="http://schemas.microsoft.com/office/drawing/2014/main" id="{C96911A1-994D-41B9-A7A1-9642D6FA1AFC}"/>
            </a:ext>
          </a:extLst>
        </xdr:cNvPr>
        <xdr:cNvSpPr/>
      </xdr:nvSpPr>
      <xdr:spPr>
        <a:xfrm>
          <a:off x="2421890" y="41631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315A53-CCDF-41F8-B98F-D21D689EE071}"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4</xdr:col>
      <xdr:colOff>457201</xdr:colOff>
      <xdr:row>12</xdr:row>
      <xdr:rowOff>107052</xdr:rowOff>
    </xdr:from>
    <xdr:to>
      <xdr:col>4</xdr:col>
      <xdr:colOff>1326351</xdr:colOff>
      <xdr:row>16</xdr:row>
      <xdr:rowOff>86097</xdr:rowOff>
    </xdr:to>
    <xdr:sp macro="" textlink="$B$71">
      <xdr:nvSpPr>
        <xdr:cNvPr id="21" name="Rectángulo 20">
          <a:extLst>
            <a:ext uri="{FF2B5EF4-FFF2-40B4-BE49-F238E27FC236}">
              <a16:creationId xmlns:a16="http://schemas.microsoft.com/office/drawing/2014/main" id="{B599C7D5-2DB0-4361-879A-E10E4329E66A}"/>
            </a:ext>
          </a:extLst>
        </xdr:cNvPr>
        <xdr:cNvSpPr/>
      </xdr:nvSpPr>
      <xdr:spPr>
        <a:xfrm>
          <a:off x="408622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BAD03B-9DF8-433B-BC00-B1D4C2D28DCF}" type="TxLink">
            <a:rPr lang="en-US" sz="2400" b="1" i="0" u="none" strike="noStrike">
              <a:solidFill>
                <a:schemeClr val="accent2"/>
              </a:solidFill>
              <a:latin typeface="Bahnschrift SemiBold SemiConden" panose="020B0502040204020203" pitchFamily="34" charset="0"/>
            </a:rPr>
            <a:pPr algn="l"/>
            <a:t>71%</a:t>
          </a:fld>
          <a:endParaRPr lang="es-CO" sz="2400" b="1">
            <a:solidFill>
              <a:schemeClr val="accent2"/>
            </a:solidFill>
            <a:latin typeface="Bahnschrift SemiBold SemiConden" panose="020B0502040204020203" pitchFamily="34" charset="0"/>
          </a:endParaRPr>
        </a:p>
      </xdr:txBody>
    </xdr:sp>
    <xdr:clientData/>
  </xdr:twoCellAnchor>
  <xdr:twoCellAnchor>
    <xdr:from>
      <xdr:col>4</xdr:col>
      <xdr:colOff>419100</xdr:colOff>
      <xdr:row>21</xdr:row>
      <xdr:rowOff>64664</xdr:rowOff>
    </xdr:from>
    <xdr:to>
      <xdr:col>4</xdr:col>
      <xdr:colOff>1420973</xdr:colOff>
      <xdr:row>25</xdr:row>
      <xdr:rowOff>45614</xdr:rowOff>
    </xdr:to>
    <xdr:sp macro="" textlink="$B$72">
      <xdr:nvSpPr>
        <xdr:cNvPr id="22" name="Rectángulo 21">
          <a:extLst>
            <a:ext uri="{FF2B5EF4-FFF2-40B4-BE49-F238E27FC236}">
              <a16:creationId xmlns:a16="http://schemas.microsoft.com/office/drawing/2014/main" id="{FC8B82D1-36BD-4822-B615-2E9FF7AA9C69}"/>
            </a:ext>
          </a:extLst>
        </xdr:cNvPr>
        <xdr:cNvSpPr/>
      </xdr:nvSpPr>
      <xdr:spPr>
        <a:xfrm>
          <a:off x="4048125" y="4099454"/>
          <a:ext cx="1003778"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658D7-C757-475F-B2B1-89153B1B31BE}" type="TxLink">
            <a:rPr lang="en-US" sz="2400" b="0" i="0" u="none" strike="noStrike">
              <a:solidFill>
                <a:schemeClr val="accent2"/>
              </a:solidFill>
              <a:latin typeface="Bahnschrift SemiBold SemiConden" panose="020B0502040204020203" pitchFamily="34" charset="0"/>
            </a:rPr>
            <a:pPr algn="l"/>
            <a:t>62%</a:t>
          </a:fld>
          <a:endParaRPr lang="es-CO" sz="4000" b="1">
            <a:solidFill>
              <a:schemeClr val="accent2"/>
            </a:solidFill>
            <a:latin typeface="Bahnschrift SemiBold SemiConden" panose="020B0502040204020203" pitchFamily="34" charset="0"/>
          </a:endParaRPr>
        </a:p>
      </xdr:txBody>
    </xdr:sp>
    <xdr:clientData/>
  </xdr:twoCellAnchor>
  <xdr:oneCellAnchor>
    <xdr:from>
      <xdr:col>15</xdr:col>
      <xdr:colOff>0</xdr:colOff>
      <xdr:row>63</xdr:row>
      <xdr:rowOff>64770</xdr:rowOff>
    </xdr:from>
    <xdr:ext cx="184731" cy="264560"/>
    <xdr:sp macro="" textlink="">
      <xdr:nvSpPr>
        <xdr:cNvPr id="23" name="CuadroTexto 22">
          <a:extLst>
            <a:ext uri="{FF2B5EF4-FFF2-40B4-BE49-F238E27FC236}">
              <a16:creationId xmlns:a16="http://schemas.microsoft.com/office/drawing/2014/main" id="{59292AA7-5824-4428-9A32-D3077149656A}"/>
            </a:ext>
          </a:extLst>
        </xdr:cNvPr>
        <xdr:cNvSpPr txBox="1"/>
      </xdr:nvSpPr>
      <xdr:spPr>
        <a:xfrm>
          <a:off x="16592550" y="117214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2</xdr:col>
      <xdr:colOff>304802</xdr:colOff>
      <xdr:row>44</xdr:row>
      <xdr:rowOff>19050</xdr:rowOff>
    </xdr:from>
    <xdr:to>
      <xdr:col>5</xdr:col>
      <xdr:colOff>133352</xdr:colOff>
      <xdr:row>66</xdr:row>
      <xdr:rowOff>56515</xdr:rowOff>
    </xdr:to>
    <xdr:grpSp>
      <xdr:nvGrpSpPr>
        <xdr:cNvPr id="24" name="Grupo 23">
          <a:extLst>
            <a:ext uri="{FF2B5EF4-FFF2-40B4-BE49-F238E27FC236}">
              <a16:creationId xmlns:a16="http://schemas.microsoft.com/office/drawing/2014/main" id="{7448252C-633C-45E8-97B9-C9916C410F04}"/>
            </a:ext>
          </a:extLst>
        </xdr:cNvPr>
        <xdr:cNvGrpSpPr/>
      </xdr:nvGrpSpPr>
      <xdr:grpSpPr>
        <a:xfrm>
          <a:off x="1887417" y="8030894"/>
          <a:ext cx="3488202" cy="3943008"/>
          <a:chOff x="5275897" y="7883842"/>
          <a:chExt cx="4608644" cy="2743200"/>
        </a:xfrm>
      </xdr:grpSpPr>
      <xdr:graphicFrame macro="">
        <xdr:nvGraphicFramePr>
          <xdr:cNvPr id="25" name="Gráfico 24">
            <a:extLst>
              <a:ext uri="{FF2B5EF4-FFF2-40B4-BE49-F238E27FC236}">
                <a16:creationId xmlns:a16="http://schemas.microsoft.com/office/drawing/2014/main" id="{5E1E52F3-7014-390A-28D9-81D0CA583E11}"/>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6" name="CuadroTexto 25">
            <a:extLst>
              <a:ext uri="{FF2B5EF4-FFF2-40B4-BE49-F238E27FC236}">
                <a16:creationId xmlns:a16="http://schemas.microsoft.com/office/drawing/2014/main" id="{07E275D7-364E-B60D-7851-58C9DC079055}"/>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27" name="CuadroTexto 26">
            <a:extLst>
              <a:ext uri="{FF2B5EF4-FFF2-40B4-BE49-F238E27FC236}">
                <a16:creationId xmlns:a16="http://schemas.microsoft.com/office/drawing/2014/main" id="{ACAE4DCB-C624-4BD6-7F54-A0C783531B93}"/>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28" name="CuadroTexto 27">
            <a:extLst>
              <a:ext uri="{FF2B5EF4-FFF2-40B4-BE49-F238E27FC236}">
                <a16:creationId xmlns:a16="http://schemas.microsoft.com/office/drawing/2014/main" id="{EA2BCDCD-C445-D8E4-C267-037DB0A3E396}"/>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29" name="CuadroTexto 28">
            <a:extLst>
              <a:ext uri="{FF2B5EF4-FFF2-40B4-BE49-F238E27FC236}">
                <a16:creationId xmlns:a16="http://schemas.microsoft.com/office/drawing/2014/main" id="{E7C067B6-5848-BC55-A507-4DBE2AA9631C}"/>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30" name="CuadroTexto 29">
            <a:extLst>
              <a:ext uri="{FF2B5EF4-FFF2-40B4-BE49-F238E27FC236}">
                <a16:creationId xmlns:a16="http://schemas.microsoft.com/office/drawing/2014/main" id="{3F53BFFB-0E2D-1A8C-86ED-FC9313A25A4C}"/>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31" name="CuadroTexto 30">
            <a:extLst>
              <a:ext uri="{FF2B5EF4-FFF2-40B4-BE49-F238E27FC236}">
                <a16:creationId xmlns:a16="http://schemas.microsoft.com/office/drawing/2014/main" id="{A05C14E7-6C3B-2EAE-5105-F12075EAC440}"/>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71">
        <xdr:nvSpPr>
          <xdr:cNvPr id="32" name="Rectángulo 31">
            <a:extLst>
              <a:ext uri="{FF2B5EF4-FFF2-40B4-BE49-F238E27FC236}">
                <a16:creationId xmlns:a16="http://schemas.microsoft.com/office/drawing/2014/main" id="{93099E9C-7CA6-D2C7-D675-29DD9F02CED1}"/>
              </a:ext>
            </a:extLst>
          </xdr:cNvPr>
          <xdr:cNvSpPr/>
        </xdr:nvSpPr>
        <xdr:spPr>
          <a:xfrm>
            <a:off x="7201272"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73C69F8-536F-4069-B709-CE0A631B55CF}" type="TxLink">
              <a:rPr lang="en-US" sz="3600" b="0" i="0" u="none" strike="noStrike">
                <a:solidFill>
                  <a:srgbClr val="000000"/>
                </a:solidFill>
                <a:latin typeface="Bahnschrift SemiBold Condensed" panose="020B0502040204020203" pitchFamily="34" charset="0"/>
              </a:rPr>
              <a:pPr algn="l"/>
              <a:t>72</a:t>
            </a:fld>
            <a:endParaRPr lang="es-CO" sz="102800" b="1">
              <a:latin typeface="Bahnschrift SemiBold Condensed" panose="020B0502040204020203" pitchFamily="34" charset="0"/>
            </a:endParaRPr>
          </a:p>
        </xdr:txBody>
      </xdr:sp>
    </xdr:grpSp>
    <xdr:clientData/>
  </xdr:twoCellAnchor>
  <xdr:twoCellAnchor>
    <xdr:from>
      <xdr:col>3</xdr:col>
      <xdr:colOff>15240</xdr:colOff>
      <xdr:row>18</xdr:row>
      <xdr:rowOff>0</xdr:rowOff>
    </xdr:from>
    <xdr:to>
      <xdr:col>5</xdr:col>
      <xdr:colOff>9525</xdr:colOff>
      <xdr:row>18</xdr:row>
      <xdr:rowOff>0</xdr:rowOff>
    </xdr:to>
    <xdr:cxnSp macro="">
      <xdr:nvCxnSpPr>
        <xdr:cNvPr id="33" name="Conector recto 32">
          <a:extLst>
            <a:ext uri="{FF2B5EF4-FFF2-40B4-BE49-F238E27FC236}">
              <a16:creationId xmlns:a16="http://schemas.microsoft.com/office/drawing/2014/main" id="{B1E659FC-E768-4DB9-BB89-4714FF0AC8A9}"/>
            </a:ext>
          </a:extLst>
        </xdr:cNvPr>
        <xdr:cNvCxnSpPr/>
      </xdr:nvCxnSpPr>
      <xdr:spPr>
        <a:xfrm>
          <a:off x="2038350" y="3495675"/>
          <a:ext cx="321183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27</xdr:row>
      <xdr:rowOff>0</xdr:rowOff>
    </xdr:from>
    <xdr:to>
      <xdr:col>5</xdr:col>
      <xdr:colOff>0</xdr:colOff>
      <xdr:row>27</xdr:row>
      <xdr:rowOff>0</xdr:rowOff>
    </xdr:to>
    <xdr:cxnSp macro="">
      <xdr:nvCxnSpPr>
        <xdr:cNvPr id="34" name="Conector recto 33">
          <a:extLst>
            <a:ext uri="{FF2B5EF4-FFF2-40B4-BE49-F238E27FC236}">
              <a16:creationId xmlns:a16="http://schemas.microsoft.com/office/drawing/2014/main" id="{6BE226DB-ABFB-4690-8938-2B2D3EE2C002}"/>
            </a:ext>
          </a:extLst>
        </xdr:cNvPr>
        <xdr:cNvCxnSpPr/>
      </xdr:nvCxnSpPr>
      <xdr:spPr>
        <a:xfrm>
          <a:off x="2030730" y="5124450"/>
          <a:ext cx="320802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xdr:colOff>
      <xdr:row>36</xdr:row>
      <xdr:rowOff>0</xdr:rowOff>
    </xdr:from>
    <xdr:to>
      <xdr:col>5</xdr:col>
      <xdr:colOff>0</xdr:colOff>
      <xdr:row>36</xdr:row>
      <xdr:rowOff>0</xdr:rowOff>
    </xdr:to>
    <xdr:cxnSp macro="">
      <xdr:nvCxnSpPr>
        <xdr:cNvPr id="35" name="Conector recto 34">
          <a:extLst>
            <a:ext uri="{FF2B5EF4-FFF2-40B4-BE49-F238E27FC236}">
              <a16:creationId xmlns:a16="http://schemas.microsoft.com/office/drawing/2014/main" id="{960F3C88-F789-442E-9296-2FA8BC0D3DB4}"/>
            </a:ext>
          </a:extLst>
        </xdr:cNvPr>
        <xdr:cNvCxnSpPr/>
      </xdr:nvCxnSpPr>
      <xdr:spPr>
        <a:xfrm>
          <a:off x="2021205" y="6753225"/>
          <a:ext cx="321754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70697</xdr:colOff>
      <xdr:row>54</xdr:row>
      <xdr:rowOff>177165</xdr:rowOff>
    </xdr:from>
    <xdr:ext cx="1408863" cy="732906"/>
    <xdr:pic>
      <xdr:nvPicPr>
        <xdr:cNvPr id="36" name="Imagen 35">
          <a:extLst>
            <a:ext uri="{FF2B5EF4-FFF2-40B4-BE49-F238E27FC236}">
              <a16:creationId xmlns:a16="http://schemas.microsoft.com/office/drawing/2014/main" id="{064036CF-D57D-4E69-B054-6F695AAF879F}"/>
            </a:ext>
          </a:extLst>
        </xdr:cNvPr>
        <xdr:cNvPicPr>
          <a:picLocks noChangeAspect="1"/>
        </xdr:cNvPicPr>
      </xdr:nvPicPr>
      <xdr:blipFill>
        <a:blip xmlns:r="http://schemas.openxmlformats.org/officeDocument/2006/relationships" r:embed="rId18"/>
        <a:stretch>
          <a:fillRect/>
        </a:stretch>
      </xdr:blipFill>
      <xdr:spPr>
        <a:xfrm>
          <a:off x="68792" y="10184130"/>
          <a:ext cx="1408863" cy="732906"/>
        </a:xfrm>
        <a:prstGeom prst="rect">
          <a:avLst/>
        </a:prstGeom>
      </xdr:spPr>
    </xdr:pic>
    <xdr:clientData/>
  </xdr:oneCellAnchor>
  <xdr:oneCellAnchor>
    <xdr:from>
      <xdr:col>0</xdr:col>
      <xdr:colOff>504700</xdr:colOff>
      <xdr:row>5</xdr:row>
      <xdr:rowOff>165643</xdr:rowOff>
    </xdr:from>
    <xdr:ext cx="524494" cy="524494"/>
    <xdr:pic>
      <xdr:nvPicPr>
        <xdr:cNvPr id="37" name="Imagen 36">
          <a:extLst>
            <a:ext uri="{FF2B5EF4-FFF2-40B4-BE49-F238E27FC236}">
              <a16:creationId xmlns:a16="http://schemas.microsoft.com/office/drawing/2014/main" id="{138FE775-A952-44A5-8DEE-8F75F3C1063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6605" y="1293403"/>
          <a:ext cx="524494" cy="524494"/>
        </a:xfrm>
        <a:prstGeom prst="rect">
          <a:avLst/>
        </a:prstGeom>
      </xdr:spPr>
    </xdr:pic>
    <xdr:clientData/>
  </xdr:oneCellAnchor>
  <xdr:oneCellAnchor>
    <xdr:from>
      <xdr:col>24</xdr:col>
      <xdr:colOff>534391</xdr:colOff>
      <xdr:row>6</xdr:row>
      <xdr:rowOff>22558</xdr:rowOff>
    </xdr:from>
    <xdr:ext cx="484907" cy="484907"/>
    <xdr:pic>
      <xdr:nvPicPr>
        <xdr:cNvPr id="38" name="Imagen 37">
          <a:extLst>
            <a:ext uri="{FF2B5EF4-FFF2-40B4-BE49-F238E27FC236}">
              <a16:creationId xmlns:a16="http://schemas.microsoft.com/office/drawing/2014/main" id="{A4CFFE6D-9963-4877-8BBB-2DFBA1DBC49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2116" y="1323673"/>
          <a:ext cx="484907" cy="484907"/>
        </a:xfrm>
        <a:prstGeom prst="rect">
          <a:avLst/>
        </a:prstGeom>
      </xdr:spPr>
    </xdr:pic>
    <xdr:clientData/>
  </xdr:oneCellAnchor>
  <xdr:twoCellAnchor>
    <xdr:from>
      <xdr:col>0</xdr:col>
      <xdr:colOff>56779</xdr:colOff>
      <xdr:row>11</xdr:row>
      <xdr:rowOff>43345</xdr:rowOff>
    </xdr:from>
    <xdr:to>
      <xdr:col>1</xdr:col>
      <xdr:colOff>704479</xdr:colOff>
      <xdr:row>16</xdr:row>
      <xdr:rowOff>126003</xdr:rowOff>
    </xdr:to>
    <xdr:sp macro="" textlink="">
      <xdr:nvSpPr>
        <xdr:cNvPr id="39" name="Rectángulo: esquinas redondeadas 38">
          <a:hlinkClick xmlns:r="http://schemas.openxmlformats.org/officeDocument/2006/relationships" r:id="rId21"/>
          <a:extLst>
            <a:ext uri="{FF2B5EF4-FFF2-40B4-BE49-F238E27FC236}">
              <a16:creationId xmlns:a16="http://schemas.microsoft.com/office/drawing/2014/main" id="{EE2707B7-0F7B-4CA2-8D84-89CC8D871DD7}"/>
            </a:ext>
          </a:extLst>
        </xdr:cNvPr>
        <xdr:cNvSpPr/>
      </xdr:nvSpPr>
      <xdr:spPr>
        <a:xfrm>
          <a:off x="60589" y="2274100"/>
          <a:ext cx="1438275" cy="98943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LIDER SALA VENTAS</a:t>
          </a:r>
        </a:p>
      </xdr:txBody>
    </xdr:sp>
    <xdr:clientData/>
  </xdr:twoCellAnchor>
  <xdr:twoCellAnchor>
    <xdr:from>
      <xdr:col>0</xdr:col>
      <xdr:colOff>60736</xdr:colOff>
      <xdr:row>16</xdr:row>
      <xdr:rowOff>166057</xdr:rowOff>
    </xdr:from>
    <xdr:to>
      <xdr:col>1</xdr:col>
      <xdr:colOff>708436</xdr:colOff>
      <xdr:row>22</xdr:row>
      <xdr:rowOff>70584</xdr:rowOff>
    </xdr:to>
    <xdr:sp macro="" textlink="">
      <xdr:nvSpPr>
        <xdr:cNvPr id="40" name="Rectángulo: esquinas redondeadas 39">
          <a:hlinkClick xmlns:r="http://schemas.openxmlformats.org/officeDocument/2006/relationships" r:id="rId22"/>
          <a:extLst>
            <a:ext uri="{FF2B5EF4-FFF2-40B4-BE49-F238E27FC236}">
              <a16:creationId xmlns:a16="http://schemas.microsoft.com/office/drawing/2014/main" id="{E64DB651-21A9-48A6-A949-859473471DE0}"/>
            </a:ext>
          </a:extLst>
        </xdr:cNvPr>
        <xdr:cNvSpPr/>
      </xdr:nvSpPr>
      <xdr:spPr>
        <a:xfrm>
          <a:off x="56926" y="3303592"/>
          <a:ext cx="1438275" cy="984662"/>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ASESOR COMERCIAL</a:t>
          </a:r>
        </a:p>
      </xdr:txBody>
    </xdr:sp>
    <xdr:clientData/>
  </xdr:twoCellAnchor>
  <xdr:twoCellAnchor>
    <xdr:from>
      <xdr:col>0</xdr:col>
      <xdr:colOff>44903</xdr:colOff>
      <xdr:row>22</xdr:row>
      <xdr:rowOff>120533</xdr:rowOff>
    </xdr:from>
    <xdr:to>
      <xdr:col>1</xdr:col>
      <xdr:colOff>692603</xdr:colOff>
      <xdr:row>28</xdr:row>
      <xdr:rowOff>25061</xdr:rowOff>
    </xdr:to>
    <xdr:sp macro="" textlink="">
      <xdr:nvSpPr>
        <xdr:cNvPr id="41" name="Rectángulo: esquinas redondeadas 40">
          <a:hlinkClick xmlns:r="http://schemas.openxmlformats.org/officeDocument/2006/relationships" r:id="rId23"/>
          <a:extLst>
            <a:ext uri="{FF2B5EF4-FFF2-40B4-BE49-F238E27FC236}">
              <a16:creationId xmlns:a16="http://schemas.microsoft.com/office/drawing/2014/main" id="{3EE3EC79-130B-4BF9-91A3-8B83932950C8}"/>
            </a:ext>
          </a:extLst>
        </xdr:cNvPr>
        <xdr:cNvSpPr/>
      </xdr:nvSpPr>
      <xdr:spPr>
        <a:xfrm>
          <a:off x="46808" y="4342013"/>
          <a:ext cx="1438275" cy="984663"/>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t>
          </a:r>
          <a:r>
            <a:rPr lang="es-CO" sz="600">
              <a:solidFill>
                <a:schemeClr val="accent1"/>
              </a:solidFill>
              <a:latin typeface="Artifakt Element Heavy" panose="020B0B03050000020004" pitchFamily="34" charset="0"/>
              <a:ea typeface="Artifakt Element Heavy" panose="020B0B03050000020004" pitchFamily="34" charset="0"/>
            </a:rPr>
            <a:t>ASESOR COMERCIAL ADMON</a:t>
          </a:r>
          <a:endParaRPr lang="es-CO" sz="700">
            <a:solidFill>
              <a:schemeClr val="accent1"/>
            </a:solidFill>
            <a:latin typeface="Artifakt Element Heavy" panose="020B0B03050000020004" pitchFamily="34" charset="0"/>
            <a:ea typeface="Artifakt Element Heavy" panose="020B0B03050000020004" pitchFamily="34" charset="0"/>
          </a:endParaRPr>
        </a:p>
      </xdr:txBody>
    </xdr:sp>
    <xdr:clientData/>
  </xdr:twoCellAnchor>
  <xdr:oneCellAnchor>
    <xdr:from>
      <xdr:col>0</xdr:col>
      <xdr:colOff>508659</xdr:colOff>
      <xdr:row>11</xdr:row>
      <xdr:rowOff>80537</xdr:rowOff>
    </xdr:from>
    <xdr:ext cx="524494" cy="524494"/>
    <xdr:pic>
      <xdr:nvPicPr>
        <xdr:cNvPr id="42" name="Imagen 41">
          <a:extLst>
            <a:ext uri="{FF2B5EF4-FFF2-40B4-BE49-F238E27FC236}">
              <a16:creationId xmlns:a16="http://schemas.microsoft.com/office/drawing/2014/main" id="{155868B7-FE09-469F-906C-E6208EE0C2D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12469" y="2311292"/>
          <a:ext cx="524494" cy="524494"/>
        </a:xfrm>
        <a:prstGeom prst="rect">
          <a:avLst/>
        </a:prstGeom>
      </xdr:spPr>
    </xdr:pic>
    <xdr:clientData/>
  </xdr:oneCellAnchor>
  <xdr:oneCellAnchor>
    <xdr:from>
      <xdr:col>0</xdr:col>
      <xdr:colOff>502721</xdr:colOff>
      <xdr:row>17</xdr:row>
      <xdr:rowOff>15223</xdr:rowOff>
    </xdr:from>
    <xdr:ext cx="524494" cy="524494"/>
    <xdr:pic>
      <xdr:nvPicPr>
        <xdr:cNvPr id="43" name="Imagen 42">
          <a:extLst>
            <a:ext uri="{FF2B5EF4-FFF2-40B4-BE49-F238E27FC236}">
              <a16:creationId xmlns:a16="http://schemas.microsoft.com/office/drawing/2014/main" id="{BDFE2F22-9084-428B-B65F-8000D0C1804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4626" y="3333733"/>
          <a:ext cx="524494" cy="524494"/>
        </a:xfrm>
        <a:prstGeom prst="rect">
          <a:avLst/>
        </a:prstGeom>
      </xdr:spPr>
    </xdr:pic>
    <xdr:clientData/>
  </xdr:oneCellAnchor>
  <xdr:oneCellAnchor>
    <xdr:from>
      <xdr:col>0</xdr:col>
      <xdr:colOff>506679</xdr:colOff>
      <xdr:row>22</xdr:row>
      <xdr:rowOff>157726</xdr:rowOff>
    </xdr:from>
    <xdr:ext cx="524494" cy="524494"/>
    <xdr:pic>
      <xdr:nvPicPr>
        <xdr:cNvPr id="44" name="Imagen 43">
          <a:extLst>
            <a:ext uri="{FF2B5EF4-FFF2-40B4-BE49-F238E27FC236}">
              <a16:creationId xmlns:a16="http://schemas.microsoft.com/office/drawing/2014/main" id="{7B2FF494-78C7-493D-8696-073E372CD96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8584" y="4379206"/>
          <a:ext cx="524494" cy="524494"/>
        </a:xfrm>
        <a:prstGeom prst="rect">
          <a:avLst/>
        </a:prstGeom>
      </xdr:spPr>
    </xdr:pic>
    <xdr:clientData/>
  </xdr:oneCellAnchor>
  <xdr:twoCellAnchor>
    <xdr:from>
      <xdr:col>24</xdr:col>
      <xdr:colOff>60738</xdr:colOff>
      <xdr:row>11</xdr:row>
      <xdr:rowOff>50099</xdr:rowOff>
    </xdr:from>
    <xdr:to>
      <xdr:col>24</xdr:col>
      <xdr:colOff>1500126</xdr:colOff>
      <xdr:row>16</xdr:row>
      <xdr:rowOff>122489</xdr:rowOff>
    </xdr:to>
    <xdr:sp macro="" textlink="">
      <xdr:nvSpPr>
        <xdr:cNvPr id="45" name="Rectángulo: esquinas redondeadas 44">
          <a:hlinkClick xmlns:r="http://schemas.openxmlformats.org/officeDocument/2006/relationships" r:id="rId24"/>
          <a:extLst>
            <a:ext uri="{FF2B5EF4-FFF2-40B4-BE49-F238E27FC236}">
              <a16:creationId xmlns:a16="http://schemas.microsoft.com/office/drawing/2014/main" id="{4B1E0583-89AD-4502-9320-EF58FB506988}"/>
            </a:ext>
          </a:extLst>
        </xdr:cNvPr>
        <xdr:cNvSpPr/>
      </xdr:nvSpPr>
      <xdr:spPr>
        <a:xfrm>
          <a:off x="23764653" y="2282759"/>
          <a:ext cx="1447008" cy="97536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LIDER SALA DE VENTAS</a:t>
          </a:r>
        </a:p>
      </xdr:txBody>
    </xdr:sp>
    <xdr:clientData/>
  </xdr:twoCellAnchor>
  <xdr:oneCellAnchor>
    <xdr:from>
      <xdr:col>24</xdr:col>
      <xdr:colOff>528454</xdr:colOff>
      <xdr:row>11</xdr:row>
      <xdr:rowOff>135373</xdr:rowOff>
    </xdr:from>
    <xdr:ext cx="484907" cy="484907"/>
    <xdr:pic>
      <xdr:nvPicPr>
        <xdr:cNvPr id="46" name="Imagen 45">
          <a:extLst>
            <a:ext uri="{FF2B5EF4-FFF2-40B4-BE49-F238E27FC236}">
              <a16:creationId xmlns:a16="http://schemas.microsoft.com/office/drawing/2014/main" id="{B96FC447-B6BF-4114-804D-499FD9BCD50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4274" y="2360413"/>
          <a:ext cx="484907" cy="484907"/>
        </a:xfrm>
        <a:prstGeom prst="rect">
          <a:avLst/>
        </a:prstGeom>
      </xdr:spPr>
    </xdr:pic>
    <xdr:clientData/>
  </xdr:oneCellAnchor>
  <xdr:twoCellAnchor>
    <xdr:from>
      <xdr:col>24</xdr:col>
      <xdr:colOff>64698</xdr:colOff>
      <xdr:row>16</xdr:row>
      <xdr:rowOff>172811</xdr:rowOff>
    </xdr:from>
    <xdr:to>
      <xdr:col>24</xdr:col>
      <xdr:colOff>1504086</xdr:colOff>
      <xdr:row>22</xdr:row>
      <xdr:rowOff>67070</xdr:rowOff>
    </xdr:to>
    <xdr:sp macro="" textlink="">
      <xdr:nvSpPr>
        <xdr:cNvPr id="47" name="Rectángulo: esquinas redondeadas 46">
          <a:hlinkClick xmlns:r="http://schemas.openxmlformats.org/officeDocument/2006/relationships" r:id="rId25"/>
          <a:extLst>
            <a:ext uri="{FF2B5EF4-FFF2-40B4-BE49-F238E27FC236}">
              <a16:creationId xmlns:a16="http://schemas.microsoft.com/office/drawing/2014/main" id="{9827080A-DECD-49F4-B253-62BCDE2B6AAA}"/>
            </a:ext>
          </a:extLst>
        </xdr:cNvPr>
        <xdr:cNvSpPr/>
      </xdr:nvSpPr>
      <xdr:spPr>
        <a:xfrm>
          <a:off x="23768613" y="3302726"/>
          <a:ext cx="1447008" cy="982014"/>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ASESOR COMERCIAL</a:t>
          </a:r>
        </a:p>
      </xdr:txBody>
    </xdr:sp>
    <xdr:clientData/>
  </xdr:twoCellAnchor>
  <xdr:oneCellAnchor>
    <xdr:from>
      <xdr:col>24</xdr:col>
      <xdr:colOff>532414</xdr:colOff>
      <xdr:row>17</xdr:row>
      <xdr:rowOff>79955</xdr:rowOff>
    </xdr:from>
    <xdr:ext cx="484907" cy="484907"/>
    <xdr:pic>
      <xdr:nvPicPr>
        <xdr:cNvPr id="48" name="Imagen 47">
          <a:extLst>
            <a:ext uri="{FF2B5EF4-FFF2-40B4-BE49-F238E27FC236}">
              <a16:creationId xmlns:a16="http://schemas.microsoft.com/office/drawing/2014/main" id="{487D593E-46B6-4FFB-9A9F-74D56681B0E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0139" y="3394655"/>
          <a:ext cx="484907" cy="484907"/>
        </a:xfrm>
        <a:prstGeom prst="rect">
          <a:avLst/>
        </a:prstGeom>
      </xdr:spPr>
    </xdr:pic>
    <xdr:clientData/>
  </xdr:oneCellAnchor>
  <xdr:twoCellAnchor>
    <xdr:from>
      <xdr:col>24</xdr:col>
      <xdr:colOff>58760</xdr:colOff>
      <xdr:row>22</xdr:row>
      <xdr:rowOff>117392</xdr:rowOff>
    </xdr:from>
    <xdr:to>
      <xdr:col>24</xdr:col>
      <xdr:colOff>1498148</xdr:colOff>
      <xdr:row>28</xdr:row>
      <xdr:rowOff>11652</xdr:rowOff>
    </xdr:to>
    <xdr:sp macro="" textlink="">
      <xdr:nvSpPr>
        <xdr:cNvPr id="49" name="Rectángulo: esquinas redondeadas 48">
          <a:hlinkClick xmlns:r="http://schemas.openxmlformats.org/officeDocument/2006/relationships" r:id="rId26"/>
          <a:extLst>
            <a:ext uri="{FF2B5EF4-FFF2-40B4-BE49-F238E27FC236}">
              <a16:creationId xmlns:a16="http://schemas.microsoft.com/office/drawing/2014/main" id="{70675061-C73F-4B40-A6B3-4FBAE0361ECA}"/>
            </a:ext>
          </a:extLst>
        </xdr:cNvPr>
        <xdr:cNvSpPr/>
      </xdr:nvSpPr>
      <xdr:spPr>
        <a:xfrm>
          <a:off x="23762675" y="4336967"/>
          <a:ext cx="1447008" cy="98392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ASESOR COMERCIAL ADMON</a:t>
          </a:r>
        </a:p>
      </xdr:txBody>
    </xdr:sp>
    <xdr:clientData/>
  </xdr:twoCellAnchor>
  <xdr:oneCellAnchor>
    <xdr:from>
      <xdr:col>24</xdr:col>
      <xdr:colOff>526476</xdr:colOff>
      <xdr:row>23</xdr:row>
      <xdr:rowOff>24536</xdr:rowOff>
    </xdr:from>
    <xdr:ext cx="484907" cy="484907"/>
    <xdr:pic>
      <xdr:nvPicPr>
        <xdr:cNvPr id="50" name="Imagen 49">
          <a:extLst>
            <a:ext uri="{FF2B5EF4-FFF2-40B4-BE49-F238E27FC236}">
              <a16:creationId xmlns:a16="http://schemas.microsoft.com/office/drawing/2014/main" id="{429CDD41-D445-47B5-BE1B-EE5F0AFA7C1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2296" y="4421276"/>
          <a:ext cx="484907" cy="484907"/>
        </a:xfrm>
        <a:prstGeom prst="rect">
          <a:avLst/>
        </a:prstGeom>
      </xdr:spPr>
    </xdr:pic>
    <xdr:clientData/>
  </xdr:oneCellAnchor>
  <xdr:twoCellAnchor>
    <xdr:from>
      <xdr:col>3</xdr:col>
      <xdr:colOff>57149</xdr:colOff>
      <xdr:row>9</xdr:row>
      <xdr:rowOff>20956</xdr:rowOff>
    </xdr:from>
    <xdr:to>
      <xdr:col>4</xdr:col>
      <xdr:colOff>1227116</xdr:colOff>
      <xdr:row>10</xdr:row>
      <xdr:rowOff>98962</xdr:rowOff>
    </xdr:to>
    <xdr:sp macro="" textlink="$A$65">
      <xdr:nvSpPr>
        <xdr:cNvPr id="51" name="Rectángulo 50">
          <a:extLst>
            <a:ext uri="{FF2B5EF4-FFF2-40B4-BE49-F238E27FC236}">
              <a16:creationId xmlns:a16="http://schemas.microsoft.com/office/drawing/2014/main" id="{C6C17F57-49EB-4530-A9FB-E4CF2C7B377D}"/>
            </a:ext>
          </a:extLst>
        </xdr:cNvPr>
        <xdr:cNvSpPr/>
      </xdr:nvSpPr>
      <xdr:spPr>
        <a:xfrm>
          <a:off x="2080259" y="1884046"/>
          <a:ext cx="2777787"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3D07D8-2C8A-4E10-82FE-573E7CD5990F}" type="TxLink">
            <a:rPr lang="en-US" sz="900" b="1" i="0" u="none" strike="noStrike">
              <a:solidFill>
                <a:srgbClr val="000000"/>
              </a:solidFill>
              <a:latin typeface="Aptos Narrow"/>
            </a:rPr>
            <a:pPr algn="l"/>
            <a:t>Estrategia y Planificación Comercial</a:t>
          </a:fld>
          <a:endParaRPr lang="es-CO" sz="1100">
            <a:solidFill>
              <a:sysClr val="windowText" lastClr="000000"/>
            </a:solidFill>
          </a:endParaRPr>
        </a:p>
      </xdr:txBody>
    </xdr:sp>
    <xdr:clientData/>
  </xdr:twoCellAnchor>
  <xdr:twoCellAnchor>
    <xdr:from>
      <xdr:col>3</xdr:col>
      <xdr:colOff>1206500</xdr:colOff>
      <xdr:row>26</xdr:row>
      <xdr:rowOff>127001</xdr:rowOff>
    </xdr:from>
    <xdr:to>
      <xdr:col>5</xdr:col>
      <xdr:colOff>266700</xdr:colOff>
      <xdr:row>39</xdr:row>
      <xdr:rowOff>76201</xdr:rowOff>
    </xdr:to>
    <xdr:graphicFrame macro="">
      <xdr:nvGraphicFramePr>
        <xdr:cNvPr id="52" name="Gráfico 51">
          <a:extLst>
            <a:ext uri="{FF2B5EF4-FFF2-40B4-BE49-F238E27FC236}">
              <a16:creationId xmlns:a16="http://schemas.microsoft.com/office/drawing/2014/main" id="{7FAC637E-7A9E-405A-861C-1B4E442DE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482600</xdr:colOff>
      <xdr:row>30</xdr:row>
      <xdr:rowOff>133301</xdr:rowOff>
    </xdr:from>
    <xdr:to>
      <xdr:col>4</xdr:col>
      <xdr:colOff>1415077</xdr:colOff>
      <xdr:row>34</xdr:row>
      <xdr:rowOff>121871</xdr:rowOff>
    </xdr:to>
    <xdr:sp macro="" textlink="$B$73">
      <xdr:nvSpPr>
        <xdr:cNvPr id="53" name="Rectángulo 52">
          <a:extLst>
            <a:ext uri="{FF2B5EF4-FFF2-40B4-BE49-F238E27FC236}">
              <a16:creationId xmlns:a16="http://schemas.microsoft.com/office/drawing/2014/main" id="{6825B7E5-5BBA-4B3E-B4A1-72DB65017390}"/>
            </a:ext>
          </a:extLst>
        </xdr:cNvPr>
        <xdr:cNvSpPr/>
      </xdr:nvSpPr>
      <xdr:spPr>
        <a:xfrm>
          <a:off x="410781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12F86-146D-46A1-819C-080CBABE43EE}" type="TxLink">
            <a:rPr lang="en-US" sz="2400" b="0" i="0" u="none" strike="noStrike">
              <a:solidFill>
                <a:schemeClr val="accent2"/>
              </a:solidFill>
              <a:latin typeface="Bahnschrift SemiBold SemiConden" panose="020B0502040204020203" pitchFamily="34" charset="0"/>
            </a:rPr>
            <a:pPr algn="l"/>
            <a:t>76%</a:t>
          </a:fld>
          <a:endParaRPr lang="es-CO" sz="7200" b="1">
            <a:solidFill>
              <a:schemeClr val="accent2"/>
            </a:solidFill>
            <a:latin typeface="Bahnschrift SemiBold SemiConden" panose="020B0502040204020203" pitchFamily="34" charset="0"/>
          </a:endParaRPr>
        </a:p>
      </xdr:txBody>
    </xdr:sp>
    <xdr:clientData/>
  </xdr:twoCellAnchor>
  <xdr:twoCellAnchor>
    <xdr:from>
      <xdr:col>2</xdr:col>
      <xdr:colOff>9898</xdr:colOff>
      <xdr:row>27</xdr:row>
      <xdr:rowOff>62593</xdr:rowOff>
    </xdr:from>
    <xdr:to>
      <xdr:col>4</xdr:col>
      <xdr:colOff>258124</xdr:colOff>
      <xdr:row>37</xdr:row>
      <xdr:rowOff>49480</xdr:rowOff>
    </xdr:to>
    <xdr:graphicFrame macro="">
      <xdr:nvGraphicFramePr>
        <xdr:cNvPr id="54" name="Gráfico 53">
          <a:extLst>
            <a:ext uri="{FF2B5EF4-FFF2-40B4-BE49-F238E27FC236}">
              <a16:creationId xmlns:a16="http://schemas.microsoft.com/office/drawing/2014/main" id="{0244B6BF-6E0B-45D8-AA98-F5AD7607A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12064</xdr:colOff>
      <xdr:row>27</xdr:row>
      <xdr:rowOff>78105</xdr:rowOff>
    </xdr:from>
    <xdr:to>
      <xdr:col>4</xdr:col>
      <xdr:colOff>1085767</xdr:colOff>
      <xdr:row>29</xdr:row>
      <xdr:rowOff>0</xdr:rowOff>
    </xdr:to>
    <xdr:sp macro="" textlink="$A$67">
      <xdr:nvSpPr>
        <xdr:cNvPr id="55" name="Rectángulo 54">
          <a:extLst>
            <a:ext uri="{FF2B5EF4-FFF2-40B4-BE49-F238E27FC236}">
              <a16:creationId xmlns:a16="http://schemas.microsoft.com/office/drawing/2014/main" id="{BE6DB1CA-3D7E-4742-8ECF-205147EF6EB4}"/>
            </a:ext>
          </a:extLst>
        </xdr:cNvPr>
        <xdr:cNvSpPr/>
      </xdr:nvSpPr>
      <xdr:spPr>
        <a:xfrm>
          <a:off x="2035174" y="5202555"/>
          <a:ext cx="2683428"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8E57EB-F09B-4A66-A074-95FAF6C5C1F3}"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3</xdr:col>
      <xdr:colOff>419100</xdr:colOff>
      <xdr:row>30</xdr:row>
      <xdr:rowOff>172712</xdr:rowOff>
    </xdr:from>
    <xdr:to>
      <xdr:col>3</xdr:col>
      <xdr:colOff>1359066</xdr:colOff>
      <xdr:row>34</xdr:row>
      <xdr:rowOff>150182</xdr:rowOff>
    </xdr:to>
    <xdr:sp macro="" textlink="$B$67">
      <xdr:nvSpPr>
        <xdr:cNvPr id="56" name="Rectángulo 55">
          <a:extLst>
            <a:ext uri="{FF2B5EF4-FFF2-40B4-BE49-F238E27FC236}">
              <a16:creationId xmlns:a16="http://schemas.microsoft.com/office/drawing/2014/main" id="{874737F6-40E7-42F6-8A87-3BBA72F5A795}"/>
            </a:ext>
          </a:extLst>
        </xdr:cNvPr>
        <xdr:cNvSpPr/>
      </xdr:nvSpPr>
      <xdr:spPr>
        <a:xfrm>
          <a:off x="2438400" y="58362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531075-0DF5-47F5-9E0C-35FB255065FF}"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46355</xdr:colOff>
      <xdr:row>36</xdr:row>
      <xdr:rowOff>77470</xdr:rowOff>
    </xdr:from>
    <xdr:to>
      <xdr:col>4</xdr:col>
      <xdr:colOff>401320</xdr:colOff>
      <xdr:row>38</xdr:row>
      <xdr:rowOff>12700</xdr:rowOff>
    </xdr:to>
    <xdr:sp macro="" textlink="$A$68">
      <xdr:nvSpPr>
        <xdr:cNvPr id="57" name="Rectángulo 56">
          <a:extLst>
            <a:ext uri="{FF2B5EF4-FFF2-40B4-BE49-F238E27FC236}">
              <a16:creationId xmlns:a16="http://schemas.microsoft.com/office/drawing/2014/main" id="{E769AD25-E089-4EE7-9BC1-F6B8CEF1F92D}"/>
            </a:ext>
          </a:extLst>
        </xdr:cNvPr>
        <xdr:cNvSpPr/>
      </xdr:nvSpPr>
      <xdr:spPr>
        <a:xfrm>
          <a:off x="2067560" y="6830695"/>
          <a:ext cx="195897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54BDE8-124D-4AF6-B77A-C0F17417990D}" type="TxLink">
            <a:rPr lang="en-US" sz="900" b="1" i="0" u="none" strike="noStrike">
              <a:solidFill>
                <a:srgbClr val="000000"/>
              </a:solidFill>
              <a:latin typeface="Aptos Narrow"/>
            </a:rPr>
            <a:pPr algn="l"/>
            <a:t>Gestión Documental y Procesos Legales/Internos</a:t>
          </a:fld>
          <a:endParaRPr lang="es-CO" sz="1100">
            <a:solidFill>
              <a:sysClr val="windowText" lastClr="000000"/>
            </a:solidFill>
          </a:endParaRPr>
        </a:p>
      </xdr:txBody>
    </xdr:sp>
    <xdr:clientData/>
  </xdr:twoCellAnchor>
  <xdr:twoCellAnchor>
    <xdr:from>
      <xdr:col>2</xdr:col>
      <xdr:colOff>38100</xdr:colOff>
      <xdr:row>36</xdr:row>
      <xdr:rowOff>63500</xdr:rowOff>
    </xdr:from>
    <xdr:to>
      <xdr:col>4</xdr:col>
      <xdr:colOff>286326</xdr:colOff>
      <xdr:row>46</xdr:row>
      <xdr:rowOff>63087</xdr:rowOff>
    </xdr:to>
    <xdr:graphicFrame macro="">
      <xdr:nvGraphicFramePr>
        <xdr:cNvPr id="58" name="Gráfico 57">
          <a:extLst>
            <a:ext uri="{FF2B5EF4-FFF2-40B4-BE49-F238E27FC236}">
              <a16:creationId xmlns:a16="http://schemas.microsoft.com/office/drawing/2014/main" id="{0F2F457F-3926-4A3D-B72A-85A580E7D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431800</xdr:colOff>
      <xdr:row>40</xdr:row>
      <xdr:rowOff>33919</xdr:rowOff>
    </xdr:from>
    <xdr:to>
      <xdr:col>3</xdr:col>
      <xdr:colOff>1374568</xdr:colOff>
      <xdr:row>44</xdr:row>
      <xdr:rowOff>11389</xdr:rowOff>
    </xdr:to>
    <xdr:sp macro="" textlink="$B$68">
      <xdr:nvSpPr>
        <xdr:cNvPr id="59" name="Rectángulo 58">
          <a:extLst>
            <a:ext uri="{FF2B5EF4-FFF2-40B4-BE49-F238E27FC236}">
              <a16:creationId xmlns:a16="http://schemas.microsoft.com/office/drawing/2014/main" id="{6F51A2BF-2182-48C4-8556-D1DD0D20C740}"/>
            </a:ext>
          </a:extLst>
        </xdr:cNvPr>
        <xdr:cNvSpPr/>
      </xdr:nvSpPr>
      <xdr:spPr>
        <a:xfrm>
          <a:off x="2454910" y="7509139"/>
          <a:ext cx="938958"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397614-A3C7-4E47-969D-F2E581A381A7}" type="TxLink">
            <a:rPr lang="en-US" sz="2400" b="0" i="0" u="none" strike="noStrike">
              <a:solidFill>
                <a:schemeClr val="tx2">
                  <a:lumMod val="50000"/>
                  <a:lumOff val="50000"/>
                </a:schemeClr>
              </a:solidFill>
              <a:latin typeface="Bahnschrift SemiBold SemiConden" panose="020B0502040204020203" pitchFamily="34" charset="0"/>
            </a:rPr>
            <a:pPr algn="l"/>
            <a:t>10%</a:t>
          </a:fld>
          <a:endParaRPr lang="es-CO" sz="4800">
            <a:solidFill>
              <a:schemeClr val="tx2">
                <a:lumMod val="50000"/>
                <a:lumOff val="50000"/>
              </a:schemeClr>
            </a:solidFill>
            <a:latin typeface="Bahnschrift SemiBold SemiConden" panose="020B0502040204020203" pitchFamily="34" charset="0"/>
          </a:endParaRPr>
        </a:p>
      </xdr:txBody>
    </xdr:sp>
    <xdr:clientData/>
  </xdr:twoCellAnchor>
  <xdr:twoCellAnchor>
    <xdr:from>
      <xdr:col>3</xdr:col>
      <xdr:colOff>1168400</xdr:colOff>
      <xdr:row>35</xdr:row>
      <xdr:rowOff>25400</xdr:rowOff>
    </xdr:from>
    <xdr:to>
      <xdr:col>5</xdr:col>
      <xdr:colOff>266700</xdr:colOff>
      <xdr:row>49</xdr:row>
      <xdr:rowOff>76200</xdr:rowOff>
    </xdr:to>
    <xdr:graphicFrame macro="">
      <xdr:nvGraphicFramePr>
        <xdr:cNvPr id="60" name="Gráfico 59">
          <a:extLst>
            <a:ext uri="{FF2B5EF4-FFF2-40B4-BE49-F238E27FC236}">
              <a16:creationId xmlns:a16="http://schemas.microsoft.com/office/drawing/2014/main" id="{3D89A78B-2C5B-4DDD-8D45-F39F7D45D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431800</xdr:colOff>
      <xdr:row>39</xdr:row>
      <xdr:rowOff>126206</xdr:rowOff>
    </xdr:from>
    <xdr:to>
      <xdr:col>4</xdr:col>
      <xdr:colOff>1287219</xdr:colOff>
      <xdr:row>43</xdr:row>
      <xdr:rowOff>114776</xdr:rowOff>
    </xdr:to>
    <xdr:sp macro="" textlink="$B$74">
      <xdr:nvSpPr>
        <xdr:cNvPr id="61" name="Rectángulo 60">
          <a:extLst>
            <a:ext uri="{FF2B5EF4-FFF2-40B4-BE49-F238E27FC236}">
              <a16:creationId xmlns:a16="http://schemas.microsoft.com/office/drawing/2014/main" id="{0748AC9B-6B24-4482-83DE-06488456DF9F}"/>
            </a:ext>
          </a:extLst>
        </xdr:cNvPr>
        <xdr:cNvSpPr/>
      </xdr:nvSpPr>
      <xdr:spPr>
        <a:xfrm>
          <a:off x="406463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CF9677-B3B5-4374-B430-B5B9F02553B2}" type="TxLink">
            <a:rPr lang="en-US" sz="2400" b="0" i="0" u="none" strike="noStrike">
              <a:solidFill>
                <a:schemeClr val="accent2"/>
              </a:solidFill>
              <a:latin typeface="Bahnschrift SemiBold SemiConden" panose="020B0502040204020203" pitchFamily="34" charset="0"/>
            </a:rPr>
            <a:pPr algn="l"/>
            <a:t>92%</a:t>
          </a:fld>
          <a:endParaRPr lang="es-CO" sz="16600" b="1">
            <a:solidFill>
              <a:schemeClr val="accent2"/>
            </a:solidFill>
            <a:latin typeface="Bahnschrift SemiBold SemiConden" panose="020B0502040204020203" pitchFamily="34" charset="0"/>
          </a:endParaRPr>
        </a:p>
      </xdr:txBody>
    </xdr:sp>
    <xdr:clientData/>
  </xdr:twoCellAnchor>
  <xdr:twoCellAnchor>
    <xdr:from>
      <xdr:col>5</xdr:col>
      <xdr:colOff>278951</xdr:colOff>
      <xdr:row>8</xdr:row>
      <xdr:rowOff>184892</xdr:rowOff>
    </xdr:from>
    <xdr:to>
      <xdr:col>7</xdr:col>
      <xdr:colOff>315686</xdr:colOff>
      <xdr:row>19</xdr:row>
      <xdr:rowOff>14185</xdr:rowOff>
    </xdr:to>
    <xdr:graphicFrame macro="">
      <xdr:nvGraphicFramePr>
        <xdr:cNvPr id="62" name="Gráfico 61">
          <a:extLst>
            <a:ext uri="{FF2B5EF4-FFF2-40B4-BE49-F238E27FC236}">
              <a16:creationId xmlns:a16="http://schemas.microsoft.com/office/drawing/2014/main" id="{404188B7-3C45-4220-A87A-56F88D57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1215240</xdr:colOff>
      <xdr:row>6</xdr:row>
      <xdr:rowOff>104570</xdr:rowOff>
    </xdr:from>
    <xdr:to>
      <xdr:col>8</xdr:col>
      <xdr:colOff>228599</xdr:colOff>
      <xdr:row>21</xdr:row>
      <xdr:rowOff>127000</xdr:rowOff>
    </xdr:to>
    <xdr:graphicFrame macro="">
      <xdr:nvGraphicFramePr>
        <xdr:cNvPr id="63" name="Gráfico 62">
          <a:extLst>
            <a:ext uri="{FF2B5EF4-FFF2-40B4-BE49-F238E27FC236}">
              <a16:creationId xmlns:a16="http://schemas.microsoft.com/office/drawing/2014/main" id="{4CB04D09-ABE6-44A5-9E10-8CC68F1E9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xdr:col>
      <xdr:colOff>1232848</xdr:colOff>
      <xdr:row>16</xdr:row>
      <xdr:rowOff>125102</xdr:rowOff>
    </xdr:from>
    <xdr:to>
      <xdr:col>8</xdr:col>
      <xdr:colOff>330200</xdr:colOff>
      <xdr:row>31</xdr:row>
      <xdr:rowOff>63500</xdr:rowOff>
    </xdr:to>
    <xdr:graphicFrame macro="">
      <xdr:nvGraphicFramePr>
        <xdr:cNvPr id="64" name="Gráfico 63">
          <a:extLst>
            <a:ext uri="{FF2B5EF4-FFF2-40B4-BE49-F238E27FC236}">
              <a16:creationId xmlns:a16="http://schemas.microsoft.com/office/drawing/2014/main" id="{968C29F0-1153-4133-852C-ACDDDBF22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264397</xdr:colOff>
      <xdr:row>17</xdr:row>
      <xdr:rowOff>152728</xdr:rowOff>
    </xdr:from>
    <xdr:to>
      <xdr:col>7</xdr:col>
      <xdr:colOff>349662</xdr:colOff>
      <xdr:row>27</xdr:row>
      <xdr:rowOff>162296</xdr:rowOff>
    </xdr:to>
    <xdr:graphicFrame macro="">
      <xdr:nvGraphicFramePr>
        <xdr:cNvPr id="65" name="Gráfico 64">
          <a:extLst>
            <a:ext uri="{FF2B5EF4-FFF2-40B4-BE49-F238E27FC236}">
              <a16:creationId xmlns:a16="http://schemas.microsoft.com/office/drawing/2014/main" id="{2D3FE1F7-2BEA-45E2-9F79-35DDBAB69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xdr:col>
      <xdr:colOff>596900</xdr:colOff>
      <xdr:row>12</xdr:row>
      <xdr:rowOff>93188</xdr:rowOff>
    </xdr:from>
    <xdr:to>
      <xdr:col>6</xdr:col>
      <xdr:colOff>1469242</xdr:colOff>
      <xdr:row>16</xdr:row>
      <xdr:rowOff>60803</xdr:rowOff>
    </xdr:to>
    <xdr:sp macro="" textlink="$B$79">
      <xdr:nvSpPr>
        <xdr:cNvPr id="66" name="Rectángulo 65">
          <a:extLst>
            <a:ext uri="{FF2B5EF4-FFF2-40B4-BE49-F238E27FC236}">
              <a16:creationId xmlns:a16="http://schemas.microsoft.com/office/drawing/2014/main" id="{B9B7EB82-2206-49BA-93B9-920A7BDC2F39}"/>
            </a:ext>
          </a:extLst>
        </xdr:cNvPr>
        <xdr:cNvSpPr/>
      </xdr:nvSpPr>
      <xdr:spPr>
        <a:xfrm>
          <a:off x="6241415" y="2506823"/>
          <a:ext cx="872342" cy="683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6BCCF-D0AA-4E12-A142-E04E7285F328}"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34290</xdr:colOff>
      <xdr:row>18</xdr:row>
      <xdr:rowOff>55245</xdr:rowOff>
    </xdr:from>
    <xdr:to>
      <xdr:col>7</xdr:col>
      <xdr:colOff>1068780</xdr:colOff>
      <xdr:row>20</xdr:row>
      <xdr:rowOff>0</xdr:rowOff>
    </xdr:to>
    <xdr:sp macro="" textlink="$A$80">
      <xdr:nvSpPr>
        <xdr:cNvPr id="67" name="Rectángulo 66">
          <a:extLst>
            <a:ext uri="{FF2B5EF4-FFF2-40B4-BE49-F238E27FC236}">
              <a16:creationId xmlns:a16="http://schemas.microsoft.com/office/drawing/2014/main" id="{8D25B3D2-0277-4D71-9271-A5C01DB738D7}"/>
            </a:ext>
          </a:extLst>
        </xdr:cNvPr>
        <xdr:cNvSpPr/>
      </xdr:nvSpPr>
      <xdr:spPr>
        <a:xfrm>
          <a:off x="568261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17D805-10F0-443C-8F68-0FB57E349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6</xdr:col>
      <xdr:colOff>596900</xdr:colOff>
      <xdr:row>21</xdr:row>
      <xdr:rowOff>84562</xdr:rowOff>
    </xdr:from>
    <xdr:to>
      <xdr:col>6</xdr:col>
      <xdr:colOff>1432626</xdr:colOff>
      <xdr:row>25</xdr:row>
      <xdr:rowOff>57892</xdr:rowOff>
    </xdr:to>
    <xdr:sp macro="" textlink="$B$80">
      <xdr:nvSpPr>
        <xdr:cNvPr id="68" name="Rectángulo 67">
          <a:extLst>
            <a:ext uri="{FF2B5EF4-FFF2-40B4-BE49-F238E27FC236}">
              <a16:creationId xmlns:a16="http://schemas.microsoft.com/office/drawing/2014/main" id="{6EFEDA29-4214-4EDD-9400-3063CE55F4BD}"/>
            </a:ext>
          </a:extLst>
        </xdr:cNvPr>
        <xdr:cNvSpPr/>
      </xdr:nvSpPr>
      <xdr:spPr>
        <a:xfrm>
          <a:off x="6241415" y="4125067"/>
          <a:ext cx="835726" cy="691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2A036D-9C6E-4E79-A643-0D978971BDA2}"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508001</xdr:colOff>
      <xdr:row>12</xdr:row>
      <xdr:rowOff>107052</xdr:rowOff>
    </xdr:from>
    <xdr:to>
      <xdr:col>7</xdr:col>
      <xdr:colOff>1377151</xdr:colOff>
      <xdr:row>16</xdr:row>
      <xdr:rowOff>86097</xdr:rowOff>
    </xdr:to>
    <xdr:sp macro="" textlink="$B$85">
      <xdr:nvSpPr>
        <xdr:cNvPr id="69" name="Rectángulo 68">
          <a:extLst>
            <a:ext uri="{FF2B5EF4-FFF2-40B4-BE49-F238E27FC236}">
              <a16:creationId xmlns:a16="http://schemas.microsoft.com/office/drawing/2014/main" id="{68F9E38A-4D3A-4546-9C8E-25BB12F93C96}"/>
            </a:ext>
          </a:extLst>
        </xdr:cNvPr>
        <xdr:cNvSpPr/>
      </xdr:nvSpPr>
      <xdr:spPr>
        <a:xfrm>
          <a:off x="7779386" y="2514972"/>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164A49-02F3-4C92-B32B-7DFAD6F12063}" type="TxLink">
            <a:rPr lang="en-US" sz="2400" b="0" i="0" u="none" strike="noStrike">
              <a:solidFill>
                <a:schemeClr val="accent2"/>
              </a:solidFill>
              <a:latin typeface="Bahnschrift SemiBold Condensed" panose="020B0502040204020203" pitchFamily="34" charset="0"/>
            </a:rPr>
            <a:pPr algn="l"/>
            <a:t>92%</a:t>
          </a:fld>
          <a:endParaRPr lang="es-CO" sz="2400" b="1">
            <a:solidFill>
              <a:schemeClr val="accent2"/>
            </a:solidFill>
            <a:latin typeface="Bahnschrift SemiBold Condensed" panose="020B0502040204020203" pitchFamily="34" charset="0"/>
          </a:endParaRPr>
        </a:p>
      </xdr:txBody>
    </xdr:sp>
    <xdr:clientData/>
  </xdr:twoCellAnchor>
  <xdr:twoCellAnchor>
    <xdr:from>
      <xdr:col>7</xdr:col>
      <xdr:colOff>469900</xdr:colOff>
      <xdr:row>21</xdr:row>
      <xdr:rowOff>64664</xdr:rowOff>
    </xdr:from>
    <xdr:to>
      <xdr:col>7</xdr:col>
      <xdr:colOff>1471773</xdr:colOff>
      <xdr:row>25</xdr:row>
      <xdr:rowOff>45614</xdr:rowOff>
    </xdr:to>
    <xdr:sp macro="" textlink="$B$86">
      <xdr:nvSpPr>
        <xdr:cNvPr id="70" name="Rectángulo 69">
          <a:extLst>
            <a:ext uri="{FF2B5EF4-FFF2-40B4-BE49-F238E27FC236}">
              <a16:creationId xmlns:a16="http://schemas.microsoft.com/office/drawing/2014/main" id="{BC4B4D68-D8E9-4789-A473-89DAF57D7EAC}"/>
            </a:ext>
          </a:extLst>
        </xdr:cNvPr>
        <xdr:cNvSpPr/>
      </xdr:nvSpPr>
      <xdr:spPr>
        <a:xfrm>
          <a:off x="7741285" y="4099454"/>
          <a:ext cx="994253"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A7C717-D3BA-4729-B3C3-5B856689DDD1}" type="TxLink">
            <a:rPr lang="en-US" sz="2400" b="0" i="0" u="none" strike="noStrike">
              <a:solidFill>
                <a:schemeClr val="accent2"/>
              </a:solidFill>
              <a:latin typeface="Bahnschrift SemiBold Condensed" panose="020B0502040204020203" pitchFamily="34" charset="0"/>
            </a:rPr>
            <a:pPr algn="l"/>
            <a:t>92%</a:t>
          </a:fld>
          <a:endParaRPr lang="es-CO" sz="2400" b="1">
            <a:solidFill>
              <a:schemeClr val="accent2"/>
            </a:solidFill>
            <a:latin typeface="Bahnschrift SemiBold Condensed" panose="020B0502040204020203" pitchFamily="34" charset="0"/>
          </a:endParaRPr>
        </a:p>
      </xdr:txBody>
    </xdr:sp>
    <xdr:clientData/>
  </xdr:twoCellAnchor>
  <xdr:twoCellAnchor>
    <xdr:from>
      <xdr:col>6</xdr:col>
      <xdr:colOff>15240</xdr:colOff>
      <xdr:row>18</xdr:row>
      <xdr:rowOff>0</xdr:rowOff>
    </xdr:from>
    <xdr:to>
      <xdr:col>8</xdr:col>
      <xdr:colOff>9525</xdr:colOff>
      <xdr:row>18</xdr:row>
      <xdr:rowOff>0</xdr:rowOff>
    </xdr:to>
    <xdr:cxnSp macro="">
      <xdr:nvCxnSpPr>
        <xdr:cNvPr id="71" name="Conector recto 70">
          <a:extLst>
            <a:ext uri="{FF2B5EF4-FFF2-40B4-BE49-F238E27FC236}">
              <a16:creationId xmlns:a16="http://schemas.microsoft.com/office/drawing/2014/main" id="{FE7ED0D6-FA51-45AD-AD09-797A297DEBB3}"/>
            </a:ext>
          </a:extLst>
        </xdr:cNvPr>
        <xdr:cNvCxnSpPr/>
      </xdr:nvCxnSpPr>
      <xdr:spPr>
        <a:xfrm>
          <a:off x="566737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27</xdr:row>
      <xdr:rowOff>0</xdr:rowOff>
    </xdr:from>
    <xdr:to>
      <xdr:col>8</xdr:col>
      <xdr:colOff>0</xdr:colOff>
      <xdr:row>27</xdr:row>
      <xdr:rowOff>0</xdr:rowOff>
    </xdr:to>
    <xdr:cxnSp macro="">
      <xdr:nvCxnSpPr>
        <xdr:cNvPr id="72" name="Conector recto 71">
          <a:extLst>
            <a:ext uri="{FF2B5EF4-FFF2-40B4-BE49-F238E27FC236}">
              <a16:creationId xmlns:a16="http://schemas.microsoft.com/office/drawing/2014/main" id="{1379F162-3CEB-451A-BA03-047AC5AB8D5E}"/>
            </a:ext>
          </a:extLst>
        </xdr:cNvPr>
        <xdr:cNvCxnSpPr/>
      </xdr:nvCxnSpPr>
      <xdr:spPr>
        <a:xfrm>
          <a:off x="565975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xdr:colOff>
      <xdr:row>36</xdr:row>
      <xdr:rowOff>0</xdr:rowOff>
    </xdr:from>
    <xdr:to>
      <xdr:col>8</xdr:col>
      <xdr:colOff>0</xdr:colOff>
      <xdr:row>36</xdr:row>
      <xdr:rowOff>0</xdr:rowOff>
    </xdr:to>
    <xdr:cxnSp macro="">
      <xdr:nvCxnSpPr>
        <xdr:cNvPr id="73" name="Conector recto 72">
          <a:extLst>
            <a:ext uri="{FF2B5EF4-FFF2-40B4-BE49-F238E27FC236}">
              <a16:creationId xmlns:a16="http://schemas.microsoft.com/office/drawing/2014/main" id="{9CA610D0-F1E9-44C3-92B9-69AE21B435D4}"/>
            </a:ext>
          </a:extLst>
        </xdr:cNvPr>
        <xdr:cNvCxnSpPr/>
      </xdr:nvCxnSpPr>
      <xdr:spPr>
        <a:xfrm>
          <a:off x="565023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57149</xdr:colOff>
      <xdr:row>9</xdr:row>
      <xdr:rowOff>20956</xdr:rowOff>
    </xdr:from>
    <xdr:to>
      <xdr:col>7</xdr:col>
      <xdr:colOff>1227116</xdr:colOff>
      <xdr:row>10</xdr:row>
      <xdr:rowOff>98962</xdr:rowOff>
    </xdr:to>
    <xdr:sp macro="" textlink="$A$79">
      <xdr:nvSpPr>
        <xdr:cNvPr id="74" name="Rectángulo 73">
          <a:extLst>
            <a:ext uri="{FF2B5EF4-FFF2-40B4-BE49-F238E27FC236}">
              <a16:creationId xmlns:a16="http://schemas.microsoft.com/office/drawing/2014/main" id="{F6A2DB07-517A-485D-AA85-09F3995B58B4}"/>
            </a:ext>
          </a:extLst>
        </xdr:cNvPr>
        <xdr:cNvSpPr/>
      </xdr:nvSpPr>
      <xdr:spPr>
        <a:xfrm>
          <a:off x="570928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1EE6F-6A54-4B7B-A189-E53EB6002616}"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6</xdr:col>
      <xdr:colOff>1206500</xdr:colOff>
      <xdr:row>26</xdr:row>
      <xdr:rowOff>127001</xdr:rowOff>
    </xdr:from>
    <xdr:to>
      <xdr:col>8</xdr:col>
      <xdr:colOff>266700</xdr:colOff>
      <xdr:row>39</xdr:row>
      <xdr:rowOff>76201</xdr:rowOff>
    </xdr:to>
    <xdr:graphicFrame macro="">
      <xdr:nvGraphicFramePr>
        <xdr:cNvPr id="75" name="Gráfico 74">
          <a:extLst>
            <a:ext uri="{FF2B5EF4-FFF2-40B4-BE49-F238E27FC236}">
              <a16:creationId xmlns:a16="http://schemas.microsoft.com/office/drawing/2014/main" id="{A59E5FCA-1A5D-42FD-94AD-48D7F8070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482600</xdr:colOff>
      <xdr:row>30</xdr:row>
      <xdr:rowOff>133301</xdr:rowOff>
    </xdr:from>
    <xdr:to>
      <xdr:col>7</xdr:col>
      <xdr:colOff>1415077</xdr:colOff>
      <xdr:row>34</xdr:row>
      <xdr:rowOff>121871</xdr:rowOff>
    </xdr:to>
    <xdr:sp macro="" textlink="$B$87">
      <xdr:nvSpPr>
        <xdr:cNvPr id="76" name="Rectángulo 75">
          <a:extLst>
            <a:ext uri="{FF2B5EF4-FFF2-40B4-BE49-F238E27FC236}">
              <a16:creationId xmlns:a16="http://schemas.microsoft.com/office/drawing/2014/main" id="{15CB54F6-77C9-48F9-8E9E-023CF46B2B5A}"/>
            </a:ext>
          </a:extLst>
        </xdr:cNvPr>
        <xdr:cNvSpPr/>
      </xdr:nvSpPr>
      <xdr:spPr>
        <a:xfrm>
          <a:off x="7746365" y="5804486"/>
          <a:ext cx="93819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BDFB86-966E-449E-BDC5-239E0FC32BE7}" type="TxLink">
            <a:rPr lang="en-US" sz="2400" b="0" i="0" u="none" strike="noStrike">
              <a:solidFill>
                <a:schemeClr val="accent2"/>
              </a:solidFill>
              <a:latin typeface="Bahnschrift SemiBold Condensed" panose="020B0502040204020203" pitchFamily="34" charset="0"/>
            </a:rPr>
            <a:pPr algn="l"/>
            <a:t>94%</a:t>
          </a:fld>
          <a:endParaRPr lang="es-CO" sz="2400" b="1">
            <a:solidFill>
              <a:schemeClr val="accent2"/>
            </a:solidFill>
            <a:latin typeface="Bahnschrift SemiBold Condensed" panose="020B0502040204020203" pitchFamily="34" charset="0"/>
          </a:endParaRPr>
        </a:p>
      </xdr:txBody>
    </xdr:sp>
    <xdr:clientData/>
  </xdr:twoCellAnchor>
  <xdr:twoCellAnchor>
    <xdr:from>
      <xdr:col>5</xdr:col>
      <xdr:colOff>174998</xdr:colOff>
      <xdr:row>27</xdr:row>
      <xdr:rowOff>37193</xdr:rowOff>
    </xdr:from>
    <xdr:to>
      <xdr:col>7</xdr:col>
      <xdr:colOff>423224</xdr:colOff>
      <xdr:row>37</xdr:row>
      <xdr:rowOff>24080</xdr:rowOff>
    </xdr:to>
    <xdr:graphicFrame macro="">
      <xdr:nvGraphicFramePr>
        <xdr:cNvPr id="77" name="Gráfico 76">
          <a:extLst>
            <a:ext uri="{FF2B5EF4-FFF2-40B4-BE49-F238E27FC236}">
              <a16:creationId xmlns:a16="http://schemas.microsoft.com/office/drawing/2014/main" id="{547F4957-B219-4F74-80BF-4484A4825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xdr:col>
      <xdr:colOff>12064</xdr:colOff>
      <xdr:row>27</xdr:row>
      <xdr:rowOff>78105</xdr:rowOff>
    </xdr:from>
    <xdr:to>
      <xdr:col>7</xdr:col>
      <xdr:colOff>1085767</xdr:colOff>
      <xdr:row>29</xdr:row>
      <xdr:rowOff>0</xdr:rowOff>
    </xdr:to>
    <xdr:sp macro="" textlink="$A$81">
      <xdr:nvSpPr>
        <xdr:cNvPr id="78" name="Rectángulo 77">
          <a:extLst>
            <a:ext uri="{FF2B5EF4-FFF2-40B4-BE49-F238E27FC236}">
              <a16:creationId xmlns:a16="http://schemas.microsoft.com/office/drawing/2014/main" id="{12E8B746-8B5E-49A4-AE0C-449C14F27A47}"/>
            </a:ext>
          </a:extLst>
        </xdr:cNvPr>
        <xdr:cNvSpPr/>
      </xdr:nvSpPr>
      <xdr:spPr>
        <a:xfrm>
          <a:off x="566419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A5438E-EC18-4990-9213-56745D4C6EB4}"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6</xdr:col>
      <xdr:colOff>622300</xdr:colOff>
      <xdr:row>30</xdr:row>
      <xdr:rowOff>134612</xdr:rowOff>
    </xdr:from>
    <xdr:to>
      <xdr:col>6</xdr:col>
      <xdr:colOff>1562266</xdr:colOff>
      <xdr:row>34</xdr:row>
      <xdr:rowOff>112082</xdr:rowOff>
    </xdr:to>
    <xdr:sp macro="" textlink="$B$81">
      <xdr:nvSpPr>
        <xdr:cNvPr id="79" name="Rectángulo 78">
          <a:extLst>
            <a:ext uri="{FF2B5EF4-FFF2-40B4-BE49-F238E27FC236}">
              <a16:creationId xmlns:a16="http://schemas.microsoft.com/office/drawing/2014/main" id="{07A73720-C41C-49A0-8191-064817C779F9}"/>
            </a:ext>
          </a:extLst>
        </xdr:cNvPr>
        <xdr:cNvSpPr/>
      </xdr:nvSpPr>
      <xdr:spPr>
        <a:xfrm>
          <a:off x="6274435" y="5798177"/>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95023-431B-43D4-BF99-CD7BF615958B}"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46355</xdr:colOff>
      <xdr:row>36</xdr:row>
      <xdr:rowOff>77470</xdr:rowOff>
    </xdr:from>
    <xdr:to>
      <xdr:col>7</xdr:col>
      <xdr:colOff>401320</xdr:colOff>
      <xdr:row>38</xdr:row>
      <xdr:rowOff>12700</xdr:rowOff>
    </xdr:to>
    <xdr:sp macro="" textlink="$A$82">
      <xdr:nvSpPr>
        <xdr:cNvPr id="80" name="Rectángulo 79">
          <a:extLst>
            <a:ext uri="{FF2B5EF4-FFF2-40B4-BE49-F238E27FC236}">
              <a16:creationId xmlns:a16="http://schemas.microsoft.com/office/drawing/2014/main" id="{1D938A5B-F937-4574-817B-56763F3D1384}"/>
            </a:ext>
          </a:extLst>
        </xdr:cNvPr>
        <xdr:cNvSpPr/>
      </xdr:nvSpPr>
      <xdr:spPr>
        <a:xfrm>
          <a:off x="569658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DBF6AA-E184-4443-8F92-62BAF0EEFBB1}"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6</xdr:col>
      <xdr:colOff>647700</xdr:colOff>
      <xdr:row>39</xdr:row>
      <xdr:rowOff>173619</xdr:rowOff>
    </xdr:from>
    <xdr:to>
      <xdr:col>6</xdr:col>
      <xdr:colOff>1590468</xdr:colOff>
      <xdr:row>43</xdr:row>
      <xdr:rowOff>151089</xdr:rowOff>
    </xdr:to>
    <xdr:sp macro="" textlink="$B$82">
      <xdr:nvSpPr>
        <xdr:cNvPr id="81" name="Rectángulo 80">
          <a:extLst>
            <a:ext uri="{FF2B5EF4-FFF2-40B4-BE49-F238E27FC236}">
              <a16:creationId xmlns:a16="http://schemas.microsoft.com/office/drawing/2014/main" id="{928527FA-3B0F-4A8B-8601-0B0CB48CCBAC}"/>
            </a:ext>
          </a:extLst>
        </xdr:cNvPr>
        <xdr:cNvSpPr/>
      </xdr:nvSpPr>
      <xdr:spPr>
        <a:xfrm>
          <a:off x="6296025" y="7465959"/>
          <a:ext cx="940863"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5D155C-DC7A-43AF-A755-DB7C4A1603E6}"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508000</xdr:colOff>
      <xdr:row>39</xdr:row>
      <xdr:rowOff>126206</xdr:rowOff>
    </xdr:from>
    <xdr:to>
      <xdr:col>7</xdr:col>
      <xdr:colOff>1363419</xdr:colOff>
      <xdr:row>43</xdr:row>
      <xdr:rowOff>114776</xdr:rowOff>
    </xdr:to>
    <xdr:sp macro="" textlink="$B$88">
      <xdr:nvSpPr>
        <xdr:cNvPr id="82" name="Rectángulo 81">
          <a:extLst>
            <a:ext uri="{FF2B5EF4-FFF2-40B4-BE49-F238E27FC236}">
              <a16:creationId xmlns:a16="http://schemas.microsoft.com/office/drawing/2014/main" id="{908ECA16-7E4D-4FB1-A998-2F9AD7369509}"/>
            </a:ext>
          </a:extLst>
        </xdr:cNvPr>
        <xdr:cNvSpPr/>
      </xdr:nvSpPr>
      <xdr:spPr>
        <a:xfrm>
          <a:off x="7779385" y="7426166"/>
          <a:ext cx="849704" cy="708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432BF6-9D50-402A-A629-A32CF816319F}"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278951</xdr:colOff>
      <xdr:row>8</xdr:row>
      <xdr:rowOff>184892</xdr:rowOff>
    </xdr:from>
    <xdr:to>
      <xdr:col>10</xdr:col>
      <xdr:colOff>315686</xdr:colOff>
      <xdr:row>19</xdr:row>
      <xdr:rowOff>14185</xdr:rowOff>
    </xdr:to>
    <xdr:graphicFrame macro="">
      <xdr:nvGraphicFramePr>
        <xdr:cNvPr id="83" name="Gráfico 82">
          <a:extLst>
            <a:ext uri="{FF2B5EF4-FFF2-40B4-BE49-F238E27FC236}">
              <a16:creationId xmlns:a16="http://schemas.microsoft.com/office/drawing/2014/main" id="{5CD9DD52-0D5E-4555-B1C7-BD4662CB7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9</xdr:col>
      <xdr:colOff>1215240</xdr:colOff>
      <xdr:row>6</xdr:row>
      <xdr:rowOff>104570</xdr:rowOff>
    </xdr:from>
    <xdr:to>
      <xdr:col>11</xdr:col>
      <xdr:colOff>228599</xdr:colOff>
      <xdr:row>21</xdr:row>
      <xdr:rowOff>127000</xdr:rowOff>
    </xdr:to>
    <xdr:graphicFrame macro="">
      <xdr:nvGraphicFramePr>
        <xdr:cNvPr id="84" name="Gráfico 83">
          <a:extLst>
            <a:ext uri="{FF2B5EF4-FFF2-40B4-BE49-F238E27FC236}">
              <a16:creationId xmlns:a16="http://schemas.microsoft.com/office/drawing/2014/main" id="{AD0AE7AB-CBDF-4A6D-A0C3-88627B233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9</xdr:col>
      <xdr:colOff>1232848</xdr:colOff>
      <xdr:row>16</xdr:row>
      <xdr:rowOff>125102</xdr:rowOff>
    </xdr:from>
    <xdr:to>
      <xdr:col>11</xdr:col>
      <xdr:colOff>330200</xdr:colOff>
      <xdr:row>31</xdr:row>
      <xdr:rowOff>63500</xdr:rowOff>
    </xdr:to>
    <xdr:graphicFrame macro="">
      <xdr:nvGraphicFramePr>
        <xdr:cNvPr id="85" name="Gráfico 84">
          <a:extLst>
            <a:ext uri="{FF2B5EF4-FFF2-40B4-BE49-F238E27FC236}">
              <a16:creationId xmlns:a16="http://schemas.microsoft.com/office/drawing/2014/main" id="{3856B3D0-E2EB-4BBC-9DC8-D1A4AC66E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264397</xdr:colOff>
      <xdr:row>17</xdr:row>
      <xdr:rowOff>152728</xdr:rowOff>
    </xdr:from>
    <xdr:to>
      <xdr:col>10</xdr:col>
      <xdr:colOff>349662</xdr:colOff>
      <xdr:row>27</xdr:row>
      <xdr:rowOff>162296</xdr:rowOff>
    </xdr:to>
    <xdr:graphicFrame macro="">
      <xdr:nvGraphicFramePr>
        <xdr:cNvPr id="86" name="Gráfico 85">
          <a:extLst>
            <a:ext uri="{FF2B5EF4-FFF2-40B4-BE49-F238E27FC236}">
              <a16:creationId xmlns:a16="http://schemas.microsoft.com/office/drawing/2014/main" id="{5FE09F75-3110-4C5F-9004-0C6B84E0D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9</xdr:col>
      <xdr:colOff>558800</xdr:colOff>
      <xdr:row>12</xdr:row>
      <xdr:rowOff>105888</xdr:rowOff>
    </xdr:from>
    <xdr:to>
      <xdr:col>9</xdr:col>
      <xdr:colOff>1431142</xdr:colOff>
      <xdr:row>16</xdr:row>
      <xdr:rowOff>73503</xdr:rowOff>
    </xdr:to>
    <xdr:sp macro="" textlink="$B$93">
      <xdr:nvSpPr>
        <xdr:cNvPr id="87" name="Rectángulo 86">
          <a:extLst>
            <a:ext uri="{FF2B5EF4-FFF2-40B4-BE49-F238E27FC236}">
              <a16:creationId xmlns:a16="http://schemas.microsoft.com/office/drawing/2014/main" id="{13D9F34C-FC8C-4404-BF2E-82C039ECD723}"/>
            </a:ext>
          </a:extLst>
        </xdr:cNvPr>
        <xdr:cNvSpPr/>
      </xdr:nvSpPr>
      <xdr:spPr>
        <a:xfrm>
          <a:off x="9851390"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BBA8C0-2E14-4D16-92AB-8D90ED5788C3}"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34290</xdr:colOff>
      <xdr:row>18</xdr:row>
      <xdr:rowOff>55245</xdr:rowOff>
    </xdr:from>
    <xdr:to>
      <xdr:col>10</xdr:col>
      <xdr:colOff>1068780</xdr:colOff>
      <xdr:row>20</xdr:row>
      <xdr:rowOff>0</xdr:rowOff>
    </xdr:to>
    <xdr:sp macro="" textlink="$A$94">
      <xdr:nvSpPr>
        <xdr:cNvPr id="88" name="Rectángulo 87">
          <a:extLst>
            <a:ext uri="{FF2B5EF4-FFF2-40B4-BE49-F238E27FC236}">
              <a16:creationId xmlns:a16="http://schemas.microsoft.com/office/drawing/2014/main" id="{FC515EAA-7F63-4A75-A5F4-6326BA8C07EC}"/>
            </a:ext>
          </a:extLst>
        </xdr:cNvPr>
        <xdr:cNvSpPr/>
      </xdr:nvSpPr>
      <xdr:spPr>
        <a:xfrm>
          <a:off x="9330690"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98879F-4A37-4BC9-B19C-17E17EC5F519}"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9</xdr:col>
      <xdr:colOff>571500</xdr:colOff>
      <xdr:row>21</xdr:row>
      <xdr:rowOff>97262</xdr:rowOff>
    </xdr:from>
    <xdr:to>
      <xdr:col>9</xdr:col>
      <xdr:colOff>1407226</xdr:colOff>
      <xdr:row>25</xdr:row>
      <xdr:rowOff>70592</xdr:rowOff>
    </xdr:to>
    <xdr:sp macro="" textlink="$B$94">
      <xdr:nvSpPr>
        <xdr:cNvPr id="89" name="Rectángulo 88">
          <a:extLst>
            <a:ext uri="{FF2B5EF4-FFF2-40B4-BE49-F238E27FC236}">
              <a16:creationId xmlns:a16="http://schemas.microsoft.com/office/drawing/2014/main" id="{DC327E55-D3E9-48CC-953F-3F4A71329E7F}"/>
            </a:ext>
          </a:extLst>
        </xdr:cNvPr>
        <xdr:cNvSpPr/>
      </xdr:nvSpPr>
      <xdr:spPr>
        <a:xfrm>
          <a:off x="9867900"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F3FFE1-D581-47EB-9959-42160BB39F7D}"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10</xdr:col>
      <xdr:colOff>543561</xdr:colOff>
      <xdr:row>12</xdr:row>
      <xdr:rowOff>96892</xdr:rowOff>
    </xdr:from>
    <xdr:to>
      <xdr:col>10</xdr:col>
      <xdr:colOff>1412711</xdr:colOff>
      <xdr:row>16</xdr:row>
      <xdr:rowOff>75937</xdr:rowOff>
    </xdr:to>
    <xdr:sp macro="" textlink="$B$99">
      <xdr:nvSpPr>
        <xdr:cNvPr id="90" name="Rectángulo 89">
          <a:extLst>
            <a:ext uri="{FF2B5EF4-FFF2-40B4-BE49-F238E27FC236}">
              <a16:creationId xmlns:a16="http://schemas.microsoft.com/office/drawing/2014/main" id="{D50800C8-67C1-45D3-B15D-06E00D0FAB02}"/>
            </a:ext>
          </a:extLst>
        </xdr:cNvPr>
        <xdr:cNvSpPr/>
      </xdr:nvSpPr>
      <xdr:spPr>
        <a:xfrm>
          <a:off x="11461116" y="2502907"/>
          <a:ext cx="867245" cy="706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F6FAFB-0228-43BB-B7D9-6FACB8C4D6E8}" type="TxLink">
            <a:rPr lang="en-US" sz="2400" b="0" i="0" u="none" strike="noStrike">
              <a:solidFill>
                <a:schemeClr val="accent2"/>
              </a:solidFill>
              <a:latin typeface="Bahnschrift SemiBold Condensed" panose="020B0502040204020203" pitchFamily="34" charset="0"/>
            </a:rPr>
            <a:pPr algn="l"/>
            <a:t>71%</a:t>
          </a:fld>
          <a:endParaRPr lang="es-CO" sz="2400" b="1">
            <a:solidFill>
              <a:schemeClr val="accent2"/>
            </a:solidFill>
            <a:latin typeface="Bahnschrift SemiBold Condensed" panose="020B0502040204020203" pitchFamily="34" charset="0"/>
          </a:endParaRPr>
        </a:p>
      </xdr:txBody>
    </xdr:sp>
    <xdr:clientData/>
  </xdr:twoCellAnchor>
  <xdr:twoCellAnchor>
    <xdr:from>
      <xdr:col>10</xdr:col>
      <xdr:colOff>505460</xdr:colOff>
      <xdr:row>21</xdr:row>
      <xdr:rowOff>39264</xdr:rowOff>
    </xdr:from>
    <xdr:to>
      <xdr:col>10</xdr:col>
      <xdr:colOff>1507333</xdr:colOff>
      <xdr:row>25</xdr:row>
      <xdr:rowOff>20214</xdr:rowOff>
    </xdr:to>
    <xdr:sp macro="" textlink="$B$100">
      <xdr:nvSpPr>
        <xdr:cNvPr id="91" name="Rectángulo 90">
          <a:extLst>
            <a:ext uri="{FF2B5EF4-FFF2-40B4-BE49-F238E27FC236}">
              <a16:creationId xmlns:a16="http://schemas.microsoft.com/office/drawing/2014/main" id="{F13815D7-3B29-453B-93D2-B02C5792C6B5}"/>
            </a:ext>
          </a:extLst>
        </xdr:cNvPr>
        <xdr:cNvSpPr/>
      </xdr:nvSpPr>
      <xdr:spPr>
        <a:xfrm>
          <a:off x="11423015" y="4077864"/>
          <a:ext cx="996158"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C19981-5E1E-43A2-9ADC-B0DAD7DC0A9F}" type="TxLink">
            <a:rPr lang="en-US" sz="2400" b="0" i="0" u="none" strike="noStrike">
              <a:solidFill>
                <a:schemeClr val="accent2"/>
              </a:solidFill>
              <a:latin typeface="Bahnschrift SemiBold Condensed" panose="020B0502040204020203" pitchFamily="34" charset="0"/>
            </a:rPr>
            <a:pPr algn="l"/>
            <a:t>91%</a:t>
          </a:fld>
          <a:endParaRPr lang="es-CO" sz="2400" b="1">
            <a:solidFill>
              <a:schemeClr val="accent2"/>
            </a:solidFill>
            <a:latin typeface="Bahnschrift SemiBold Condensed" panose="020B0502040204020203" pitchFamily="34" charset="0"/>
          </a:endParaRPr>
        </a:p>
      </xdr:txBody>
    </xdr:sp>
    <xdr:clientData/>
  </xdr:twoCellAnchor>
  <xdr:twoCellAnchor>
    <xdr:from>
      <xdr:col>9</xdr:col>
      <xdr:colOff>15240</xdr:colOff>
      <xdr:row>18</xdr:row>
      <xdr:rowOff>0</xdr:rowOff>
    </xdr:from>
    <xdr:to>
      <xdr:col>11</xdr:col>
      <xdr:colOff>9525</xdr:colOff>
      <xdr:row>18</xdr:row>
      <xdr:rowOff>0</xdr:rowOff>
    </xdr:to>
    <xdr:cxnSp macro="">
      <xdr:nvCxnSpPr>
        <xdr:cNvPr id="92" name="Conector recto 91">
          <a:extLst>
            <a:ext uri="{FF2B5EF4-FFF2-40B4-BE49-F238E27FC236}">
              <a16:creationId xmlns:a16="http://schemas.microsoft.com/office/drawing/2014/main" id="{0A2B0E00-B1B2-4738-9EF7-4DCCE43CB92A}"/>
            </a:ext>
          </a:extLst>
        </xdr:cNvPr>
        <xdr:cNvCxnSpPr/>
      </xdr:nvCxnSpPr>
      <xdr:spPr>
        <a:xfrm>
          <a:off x="9315450"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xdr:colOff>
      <xdr:row>27</xdr:row>
      <xdr:rowOff>0</xdr:rowOff>
    </xdr:from>
    <xdr:to>
      <xdr:col>11</xdr:col>
      <xdr:colOff>0</xdr:colOff>
      <xdr:row>27</xdr:row>
      <xdr:rowOff>0</xdr:rowOff>
    </xdr:to>
    <xdr:cxnSp macro="">
      <xdr:nvCxnSpPr>
        <xdr:cNvPr id="93" name="Conector recto 92">
          <a:extLst>
            <a:ext uri="{FF2B5EF4-FFF2-40B4-BE49-F238E27FC236}">
              <a16:creationId xmlns:a16="http://schemas.microsoft.com/office/drawing/2014/main" id="{0C25BE8F-895F-4204-AD00-D118A67E0DB8}"/>
            </a:ext>
          </a:extLst>
        </xdr:cNvPr>
        <xdr:cNvCxnSpPr/>
      </xdr:nvCxnSpPr>
      <xdr:spPr>
        <a:xfrm>
          <a:off x="9307830"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xdr:colOff>
      <xdr:row>36</xdr:row>
      <xdr:rowOff>0</xdr:rowOff>
    </xdr:from>
    <xdr:to>
      <xdr:col>11</xdr:col>
      <xdr:colOff>0</xdr:colOff>
      <xdr:row>36</xdr:row>
      <xdr:rowOff>0</xdr:rowOff>
    </xdr:to>
    <xdr:cxnSp macro="">
      <xdr:nvCxnSpPr>
        <xdr:cNvPr id="94" name="Conector recto 93">
          <a:extLst>
            <a:ext uri="{FF2B5EF4-FFF2-40B4-BE49-F238E27FC236}">
              <a16:creationId xmlns:a16="http://schemas.microsoft.com/office/drawing/2014/main" id="{EFCE595E-F193-4049-A469-2E3A1DD3E676}"/>
            </a:ext>
          </a:extLst>
        </xdr:cNvPr>
        <xdr:cNvCxnSpPr/>
      </xdr:nvCxnSpPr>
      <xdr:spPr>
        <a:xfrm>
          <a:off x="9298305"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57149</xdr:colOff>
      <xdr:row>9</xdr:row>
      <xdr:rowOff>20956</xdr:rowOff>
    </xdr:from>
    <xdr:to>
      <xdr:col>10</xdr:col>
      <xdr:colOff>1227116</xdr:colOff>
      <xdr:row>10</xdr:row>
      <xdr:rowOff>98962</xdr:rowOff>
    </xdr:to>
    <xdr:sp macro="" textlink="$A$93">
      <xdr:nvSpPr>
        <xdr:cNvPr id="95" name="Rectángulo 94">
          <a:extLst>
            <a:ext uri="{FF2B5EF4-FFF2-40B4-BE49-F238E27FC236}">
              <a16:creationId xmlns:a16="http://schemas.microsoft.com/office/drawing/2014/main" id="{47A40FFD-918B-4028-B63A-30E31620B8C6}"/>
            </a:ext>
          </a:extLst>
        </xdr:cNvPr>
        <xdr:cNvSpPr/>
      </xdr:nvSpPr>
      <xdr:spPr>
        <a:xfrm>
          <a:off x="9357359"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977AE-043E-4B3B-AFCF-8E8260E95B09}"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9</xdr:col>
      <xdr:colOff>1206500</xdr:colOff>
      <xdr:row>26</xdr:row>
      <xdr:rowOff>127001</xdr:rowOff>
    </xdr:from>
    <xdr:to>
      <xdr:col>11</xdr:col>
      <xdr:colOff>266700</xdr:colOff>
      <xdr:row>39</xdr:row>
      <xdr:rowOff>76201</xdr:rowOff>
    </xdr:to>
    <xdr:graphicFrame macro="">
      <xdr:nvGraphicFramePr>
        <xdr:cNvPr id="96" name="Gráfico 95">
          <a:extLst>
            <a:ext uri="{FF2B5EF4-FFF2-40B4-BE49-F238E27FC236}">
              <a16:creationId xmlns:a16="http://schemas.microsoft.com/office/drawing/2014/main" id="{D03404F3-B15D-4305-B688-445BF9792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447040</xdr:colOff>
      <xdr:row>30</xdr:row>
      <xdr:rowOff>107901</xdr:rowOff>
    </xdr:from>
    <xdr:to>
      <xdr:col>10</xdr:col>
      <xdr:colOff>1379517</xdr:colOff>
      <xdr:row>34</xdr:row>
      <xdr:rowOff>96471</xdr:rowOff>
    </xdr:to>
    <xdr:sp macro="" textlink="$B$101">
      <xdr:nvSpPr>
        <xdr:cNvPr id="97" name="Rectángulo 96">
          <a:extLst>
            <a:ext uri="{FF2B5EF4-FFF2-40B4-BE49-F238E27FC236}">
              <a16:creationId xmlns:a16="http://schemas.microsoft.com/office/drawing/2014/main" id="{B73D06CF-99EF-4113-BF16-B29AFFC426D7}"/>
            </a:ext>
          </a:extLst>
        </xdr:cNvPr>
        <xdr:cNvSpPr/>
      </xdr:nvSpPr>
      <xdr:spPr>
        <a:xfrm>
          <a:off x="11360785" y="5773371"/>
          <a:ext cx="936287"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89741D-677C-474C-AB64-40F26A29BCF0}"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174998</xdr:colOff>
      <xdr:row>27</xdr:row>
      <xdr:rowOff>37193</xdr:rowOff>
    </xdr:from>
    <xdr:to>
      <xdr:col>10</xdr:col>
      <xdr:colOff>423224</xdr:colOff>
      <xdr:row>37</xdr:row>
      <xdr:rowOff>24080</xdr:rowOff>
    </xdr:to>
    <xdr:graphicFrame macro="">
      <xdr:nvGraphicFramePr>
        <xdr:cNvPr id="98" name="Gráfico 97">
          <a:extLst>
            <a:ext uri="{FF2B5EF4-FFF2-40B4-BE49-F238E27FC236}">
              <a16:creationId xmlns:a16="http://schemas.microsoft.com/office/drawing/2014/main" id="{9B624BDB-5F1B-409D-A8D8-648D7FE2E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12064</xdr:colOff>
      <xdr:row>27</xdr:row>
      <xdr:rowOff>78105</xdr:rowOff>
    </xdr:from>
    <xdr:to>
      <xdr:col>10</xdr:col>
      <xdr:colOff>1397000</xdr:colOff>
      <xdr:row>29</xdr:row>
      <xdr:rowOff>0</xdr:rowOff>
    </xdr:to>
    <xdr:sp macro="" textlink="$A$95">
      <xdr:nvSpPr>
        <xdr:cNvPr id="99" name="Rectángulo 98">
          <a:extLst>
            <a:ext uri="{FF2B5EF4-FFF2-40B4-BE49-F238E27FC236}">
              <a16:creationId xmlns:a16="http://schemas.microsoft.com/office/drawing/2014/main" id="{6F3474C1-E12E-4A26-BA7E-AB91BCBFED44}"/>
            </a:ext>
          </a:extLst>
        </xdr:cNvPr>
        <xdr:cNvSpPr/>
      </xdr:nvSpPr>
      <xdr:spPr>
        <a:xfrm>
          <a:off x="9312274" y="5202555"/>
          <a:ext cx="2996566"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48BCF8-7E4F-42CC-AFFE-B542E774EA8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9</xdr:col>
      <xdr:colOff>584200</xdr:colOff>
      <xdr:row>30</xdr:row>
      <xdr:rowOff>147312</xdr:rowOff>
    </xdr:from>
    <xdr:to>
      <xdr:col>9</xdr:col>
      <xdr:colOff>1524166</xdr:colOff>
      <xdr:row>34</xdr:row>
      <xdr:rowOff>124782</xdr:rowOff>
    </xdr:to>
    <xdr:sp macro="" textlink="$B$95">
      <xdr:nvSpPr>
        <xdr:cNvPr id="100" name="Rectángulo 99">
          <a:extLst>
            <a:ext uri="{FF2B5EF4-FFF2-40B4-BE49-F238E27FC236}">
              <a16:creationId xmlns:a16="http://schemas.microsoft.com/office/drawing/2014/main" id="{EA04D5B6-F2C3-4607-B127-9A7E8811D242}"/>
            </a:ext>
          </a:extLst>
        </xdr:cNvPr>
        <xdr:cNvSpPr/>
      </xdr:nvSpPr>
      <xdr:spPr>
        <a:xfrm>
          <a:off x="9884410"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0BD397-F171-4695-87F7-8EADEFE05782}"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46355</xdr:colOff>
      <xdr:row>36</xdr:row>
      <xdr:rowOff>77470</xdr:rowOff>
    </xdr:from>
    <xdr:to>
      <xdr:col>10</xdr:col>
      <xdr:colOff>1016000</xdr:colOff>
      <xdr:row>38</xdr:row>
      <xdr:rowOff>0</xdr:rowOff>
    </xdr:to>
    <xdr:sp macro="" textlink="$A$96">
      <xdr:nvSpPr>
        <xdr:cNvPr id="101" name="Rectángulo 100">
          <a:extLst>
            <a:ext uri="{FF2B5EF4-FFF2-40B4-BE49-F238E27FC236}">
              <a16:creationId xmlns:a16="http://schemas.microsoft.com/office/drawing/2014/main" id="{3B24E7E6-0B17-4423-B0B6-04ED52814B56}"/>
            </a:ext>
          </a:extLst>
        </xdr:cNvPr>
        <xdr:cNvSpPr/>
      </xdr:nvSpPr>
      <xdr:spPr>
        <a:xfrm>
          <a:off x="9344660" y="6830695"/>
          <a:ext cx="2583180" cy="284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D69B4-D428-41FA-8479-64A896BA7D5B}"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9</xdr:col>
      <xdr:colOff>596900</xdr:colOff>
      <xdr:row>40</xdr:row>
      <xdr:rowOff>8519</xdr:rowOff>
    </xdr:from>
    <xdr:to>
      <xdr:col>9</xdr:col>
      <xdr:colOff>1539668</xdr:colOff>
      <xdr:row>43</xdr:row>
      <xdr:rowOff>163789</xdr:rowOff>
    </xdr:to>
    <xdr:sp macro="" textlink="$B$96">
      <xdr:nvSpPr>
        <xdr:cNvPr id="102" name="Rectángulo 101">
          <a:extLst>
            <a:ext uri="{FF2B5EF4-FFF2-40B4-BE49-F238E27FC236}">
              <a16:creationId xmlns:a16="http://schemas.microsoft.com/office/drawing/2014/main" id="{BB6E5A16-C7D3-44C6-9913-6ED200F7F4D0}"/>
            </a:ext>
          </a:extLst>
        </xdr:cNvPr>
        <xdr:cNvSpPr/>
      </xdr:nvSpPr>
      <xdr:spPr>
        <a:xfrm>
          <a:off x="9889490"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62D859-2E2D-4CDF-9451-4353414B6E4A}"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11</xdr:col>
      <xdr:colOff>278951</xdr:colOff>
      <xdr:row>8</xdr:row>
      <xdr:rowOff>184892</xdr:rowOff>
    </xdr:from>
    <xdr:to>
      <xdr:col>13</xdr:col>
      <xdr:colOff>315686</xdr:colOff>
      <xdr:row>19</xdr:row>
      <xdr:rowOff>14185</xdr:rowOff>
    </xdr:to>
    <xdr:graphicFrame macro="">
      <xdr:nvGraphicFramePr>
        <xdr:cNvPr id="103" name="Gráfico 102">
          <a:extLst>
            <a:ext uri="{FF2B5EF4-FFF2-40B4-BE49-F238E27FC236}">
              <a16:creationId xmlns:a16="http://schemas.microsoft.com/office/drawing/2014/main" id="{2EA04E7A-996B-43EB-842B-73FF2DA33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xdr:col>
      <xdr:colOff>1215240</xdr:colOff>
      <xdr:row>6</xdr:row>
      <xdr:rowOff>104570</xdr:rowOff>
    </xdr:from>
    <xdr:to>
      <xdr:col>14</xdr:col>
      <xdr:colOff>228599</xdr:colOff>
      <xdr:row>21</xdr:row>
      <xdr:rowOff>127000</xdr:rowOff>
    </xdr:to>
    <xdr:graphicFrame macro="">
      <xdr:nvGraphicFramePr>
        <xdr:cNvPr id="104" name="Gráfico 103">
          <a:extLst>
            <a:ext uri="{FF2B5EF4-FFF2-40B4-BE49-F238E27FC236}">
              <a16:creationId xmlns:a16="http://schemas.microsoft.com/office/drawing/2014/main" id="{C1B86900-27AC-4092-8242-43C34921A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11</xdr:col>
      <xdr:colOff>264397</xdr:colOff>
      <xdr:row>17</xdr:row>
      <xdr:rowOff>152728</xdr:rowOff>
    </xdr:from>
    <xdr:to>
      <xdr:col>13</xdr:col>
      <xdr:colOff>349662</xdr:colOff>
      <xdr:row>27</xdr:row>
      <xdr:rowOff>162296</xdr:rowOff>
    </xdr:to>
    <xdr:graphicFrame macro="">
      <xdr:nvGraphicFramePr>
        <xdr:cNvPr id="105" name="Gráfico 104">
          <a:extLst>
            <a:ext uri="{FF2B5EF4-FFF2-40B4-BE49-F238E27FC236}">
              <a16:creationId xmlns:a16="http://schemas.microsoft.com/office/drawing/2014/main" id="{8871F88A-44F4-4BF8-AFAD-2E63609B0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558800</xdr:colOff>
      <xdr:row>12</xdr:row>
      <xdr:rowOff>105888</xdr:rowOff>
    </xdr:from>
    <xdr:to>
      <xdr:col>12</xdr:col>
      <xdr:colOff>1431142</xdr:colOff>
      <xdr:row>16</xdr:row>
      <xdr:rowOff>73503</xdr:rowOff>
    </xdr:to>
    <xdr:sp macro="" textlink="$B$107">
      <xdr:nvSpPr>
        <xdr:cNvPr id="106" name="Rectángulo 105">
          <a:extLst>
            <a:ext uri="{FF2B5EF4-FFF2-40B4-BE49-F238E27FC236}">
              <a16:creationId xmlns:a16="http://schemas.microsoft.com/office/drawing/2014/main" id="{07490E5C-8DF7-46DB-991C-24430C7F5AA3}"/>
            </a:ext>
          </a:extLst>
        </xdr:cNvPr>
        <xdr:cNvSpPr/>
      </xdr:nvSpPr>
      <xdr:spPr>
        <a:xfrm>
          <a:off x="13499465" y="2513808"/>
          <a:ext cx="872342"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88497-F44D-4DDC-83C4-DABE43C8782E}"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34290</xdr:colOff>
      <xdr:row>18</xdr:row>
      <xdr:rowOff>55245</xdr:rowOff>
    </xdr:from>
    <xdr:to>
      <xdr:col>13</xdr:col>
      <xdr:colOff>1068780</xdr:colOff>
      <xdr:row>20</xdr:row>
      <xdr:rowOff>0</xdr:rowOff>
    </xdr:to>
    <xdr:sp macro="" textlink="$A$108">
      <xdr:nvSpPr>
        <xdr:cNvPr id="107" name="Rectángulo 106">
          <a:extLst>
            <a:ext uri="{FF2B5EF4-FFF2-40B4-BE49-F238E27FC236}">
              <a16:creationId xmlns:a16="http://schemas.microsoft.com/office/drawing/2014/main" id="{7F09C7AD-86E6-4260-9341-83C416EBC7CA}"/>
            </a:ext>
          </a:extLst>
        </xdr:cNvPr>
        <xdr:cNvSpPr/>
      </xdr:nvSpPr>
      <xdr:spPr>
        <a:xfrm>
          <a:off x="12978765" y="3554730"/>
          <a:ext cx="2653740" cy="302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6A95C0-514B-4790-A797-E266CA28C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12</xdr:col>
      <xdr:colOff>571500</xdr:colOff>
      <xdr:row>21</xdr:row>
      <xdr:rowOff>97262</xdr:rowOff>
    </xdr:from>
    <xdr:to>
      <xdr:col>12</xdr:col>
      <xdr:colOff>1407226</xdr:colOff>
      <xdr:row>25</xdr:row>
      <xdr:rowOff>70592</xdr:rowOff>
    </xdr:to>
    <xdr:sp macro="" textlink="$B$108">
      <xdr:nvSpPr>
        <xdr:cNvPr id="108" name="Rectángulo 107">
          <a:extLst>
            <a:ext uri="{FF2B5EF4-FFF2-40B4-BE49-F238E27FC236}">
              <a16:creationId xmlns:a16="http://schemas.microsoft.com/office/drawing/2014/main" id="{88BC7BCF-837D-4201-9F28-674B59A30343}"/>
            </a:ext>
          </a:extLst>
        </xdr:cNvPr>
        <xdr:cNvSpPr/>
      </xdr:nvSpPr>
      <xdr:spPr>
        <a:xfrm>
          <a:off x="13515975" y="4132052"/>
          <a:ext cx="835726"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FC3769-FBE7-4678-AB37-171373CED98C}"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482601</xdr:colOff>
      <xdr:row>12</xdr:row>
      <xdr:rowOff>81652</xdr:rowOff>
    </xdr:from>
    <xdr:to>
      <xdr:col>13</xdr:col>
      <xdr:colOff>1351751</xdr:colOff>
      <xdr:row>16</xdr:row>
      <xdr:rowOff>60697</xdr:rowOff>
    </xdr:to>
    <xdr:sp macro="" textlink="$B$113">
      <xdr:nvSpPr>
        <xdr:cNvPr id="109" name="Rectángulo 108">
          <a:extLst>
            <a:ext uri="{FF2B5EF4-FFF2-40B4-BE49-F238E27FC236}">
              <a16:creationId xmlns:a16="http://schemas.microsoft.com/office/drawing/2014/main" id="{7519F67B-D898-4777-815E-0621065A6004}"/>
            </a:ext>
          </a:extLst>
        </xdr:cNvPr>
        <xdr:cNvSpPr/>
      </xdr:nvSpPr>
      <xdr:spPr>
        <a:xfrm>
          <a:off x="15042516" y="2493382"/>
          <a:ext cx="876770" cy="697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09825-EC47-430E-A869-684AC437E120}" type="TxLink">
            <a:rPr lang="en-US" sz="2400" b="0" i="0" u="none" strike="noStrike">
              <a:solidFill>
                <a:schemeClr val="accent2"/>
              </a:solidFill>
              <a:latin typeface="Bahnschrift SemiBold Condensed" panose="020B0502040204020203" pitchFamily="34" charset="0"/>
            </a:rPr>
            <a:pPr algn="l"/>
            <a:t>45%</a:t>
          </a:fld>
          <a:endParaRPr lang="es-CO" sz="2400" b="1">
            <a:solidFill>
              <a:schemeClr val="accent2"/>
            </a:solidFill>
            <a:latin typeface="Bahnschrift SemiBold Condensed" panose="020B0502040204020203" pitchFamily="34" charset="0"/>
          </a:endParaRPr>
        </a:p>
      </xdr:txBody>
    </xdr:sp>
    <xdr:clientData/>
  </xdr:twoCellAnchor>
  <xdr:twoCellAnchor>
    <xdr:from>
      <xdr:col>13</xdr:col>
      <xdr:colOff>444500</xdr:colOff>
      <xdr:row>21</xdr:row>
      <xdr:rowOff>39264</xdr:rowOff>
    </xdr:from>
    <xdr:to>
      <xdr:col>13</xdr:col>
      <xdr:colOff>1446373</xdr:colOff>
      <xdr:row>25</xdr:row>
      <xdr:rowOff>20214</xdr:rowOff>
    </xdr:to>
    <xdr:sp macro="" textlink="$B$114">
      <xdr:nvSpPr>
        <xdr:cNvPr id="110" name="Rectángulo 109">
          <a:extLst>
            <a:ext uri="{FF2B5EF4-FFF2-40B4-BE49-F238E27FC236}">
              <a16:creationId xmlns:a16="http://schemas.microsoft.com/office/drawing/2014/main" id="{E0F1AEAB-C0C3-416E-9149-7C178C9AF907}"/>
            </a:ext>
          </a:extLst>
        </xdr:cNvPr>
        <xdr:cNvSpPr/>
      </xdr:nvSpPr>
      <xdr:spPr>
        <a:xfrm>
          <a:off x="15004415" y="4077864"/>
          <a:ext cx="1005683" cy="701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D7DA45-F8F1-4D82-B0C4-5D8E515CEDE2}" type="TxLink">
            <a:rPr lang="en-US" sz="2400" b="0" i="0" u="none" strike="noStrike">
              <a:solidFill>
                <a:schemeClr val="accent2"/>
              </a:solidFill>
              <a:latin typeface="Bahnschrift SemiBold Condensed" panose="020B0502040204020203" pitchFamily="34" charset="0"/>
            </a:rPr>
            <a:pPr algn="l"/>
            <a:t>88%</a:t>
          </a:fld>
          <a:endParaRPr lang="es-CO" sz="2400" b="1">
            <a:solidFill>
              <a:schemeClr val="accent2"/>
            </a:solidFill>
            <a:latin typeface="Bahnschrift SemiBold Condensed" panose="020B0502040204020203" pitchFamily="34" charset="0"/>
          </a:endParaRPr>
        </a:p>
      </xdr:txBody>
    </xdr:sp>
    <xdr:clientData/>
  </xdr:twoCellAnchor>
  <xdr:twoCellAnchor>
    <xdr:from>
      <xdr:col>12</xdr:col>
      <xdr:colOff>15240</xdr:colOff>
      <xdr:row>18</xdr:row>
      <xdr:rowOff>0</xdr:rowOff>
    </xdr:from>
    <xdr:to>
      <xdr:col>14</xdr:col>
      <xdr:colOff>9525</xdr:colOff>
      <xdr:row>18</xdr:row>
      <xdr:rowOff>0</xdr:rowOff>
    </xdr:to>
    <xdr:cxnSp macro="">
      <xdr:nvCxnSpPr>
        <xdr:cNvPr id="111" name="Conector recto 110">
          <a:extLst>
            <a:ext uri="{FF2B5EF4-FFF2-40B4-BE49-F238E27FC236}">
              <a16:creationId xmlns:a16="http://schemas.microsoft.com/office/drawing/2014/main" id="{578C32EB-44E8-4B50-833E-3DA581C5ACF8}"/>
            </a:ext>
          </a:extLst>
        </xdr:cNvPr>
        <xdr:cNvCxnSpPr/>
      </xdr:nvCxnSpPr>
      <xdr:spPr>
        <a:xfrm>
          <a:off x="12963525" y="3495675"/>
          <a:ext cx="323088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9525</xdr:colOff>
      <xdr:row>27</xdr:row>
      <xdr:rowOff>0</xdr:rowOff>
    </xdr:from>
    <xdr:to>
      <xdr:col>14</xdr:col>
      <xdr:colOff>0</xdr:colOff>
      <xdr:row>27</xdr:row>
      <xdr:rowOff>0</xdr:rowOff>
    </xdr:to>
    <xdr:cxnSp macro="">
      <xdr:nvCxnSpPr>
        <xdr:cNvPr id="112" name="Conector recto 111">
          <a:extLst>
            <a:ext uri="{FF2B5EF4-FFF2-40B4-BE49-F238E27FC236}">
              <a16:creationId xmlns:a16="http://schemas.microsoft.com/office/drawing/2014/main" id="{1C88E462-CEAE-4AAE-8628-DA2B22234397}"/>
            </a:ext>
          </a:extLst>
        </xdr:cNvPr>
        <xdr:cNvCxnSpPr/>
      </xdr:nvCxnSpPr>
      <xdr:spPr>
        <a:xfrm>
          <a:off x="12955905" y="5124450"/>
          <a:ext cx="3227070"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1905</xdr:colOff>
      <xdr:row>36</xdr:row>
      <xdr:rowOff>0</xdr:rowOff>
    </xdr:from>
    <xdr:to>
      <xdr:col>14</xdr:col>
      <xdr:colOff>0</xdr:colOff>
      <xdr:row>36</xdr:row>
      <xdr:rowOff>0</xdr:rowOff>
    </xdr:to>
    <xdr:cxnSp macro="">
      <xdr:nvCxnSpPr>
        <xdr:cNvPr id="113" name="Conector recto 112">
          <a:extLst>
            <a:ext uri="{FF2B5EF4-FFF2-40B4-BE49-F238E27FC236}">
              <a16:creationId xmlns:a16="http://schemas.microsoft.com/office/drawing/2014/main" id="{036A9985-593F-4796-8FE1-89501804B451}"/>
            </a:ext>
          </a:extLst>
        </xdr:cNvPr>
        <xdr:cNvCxnSpPr/>
      </xdr:nvCxnSpPr>
      <xdr:spPr>
        <a:xfrm>
          <a:off x="12946380" y="6753225"/>
          <a:ext cx="323659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57149</xdr:colOff>
      <xdr:row>9</xdr:row>
      <xdr:rowOff>20956</xdr:rowOff>
    </xdr:from>
    <xdr:to>
      <xdr:col>13</xdr:col>
      <xdr:colOff>1227116</xdr:colOff>
      <xdr:row>10</xdr:row>
      <xdr:rowOff>98962</xdr:rowOff>
    </xdr:to>
    <xdr:sp macro="" textlink="$A$107">
      <xdr:nvSpPr>
        <xdr:cNvPr id="114" name="Rectángulo 113">
          <a:extLst>
            <a:ext uri="{FF2B5EF4-FFF2-40B4-BE49-F238E27FC236}">
              <a16:creationId xmlns:a16="http://schemas.microsoft.com/office/drawing/2014/main" id="{ABB01CA4-3F9D-4FD1-BE23-1BCAEA1A9391}"/>
            </a:ext>
          </a:extLst>
        </xdr:cNvPr>
        <xdr:cNvSpPr/>
      </xdr:nvSpPr>
      <xdr:spPr>
        <a:xfrm>
          <a:off x="13005434" y="1884046"/>
          <a:ext cx="2787312" cy="258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10B08E-DC29-4DB8-8ED0-863E5A72C388}"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12</xdr:col>
      <xdr:colOff>1206500</xdr:colOff>
      <xdr:row>26</xdr:row>
      <xdr:rowOff>127001</xdr:rowOff>
    </xdr:from>
    <xdr:to>
      <xdr:col>14</xdr:col>
      <xdr:colOff>266700</xdr:colOff>
      <xdr:row>39</xdr:row>
      <xdr:rowOff>76201</xdr:rowOff>
    </xdr:to>
    <xdr:graphicFrame macro="">
      <xdr:nvGraphicFramePr>
        <xdr:cNvPr id="115" name="Gráfico 114">
          <a:extLst>
            <a:ext uri="{FF2B5EF4-FFF2-40B4-BE49-F238E27FC236}">
              <a16:creationId xmlns:a16="http://schemas.microsoft.com/office/drawing/2014/main" id="{833C7DEF-492B-48A5-BB44-1788A5322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xdr:col>
      <xdr:colOff>508000</xdr:colOff>
      <xdr:row>30</xdr:row>
      <xdr:rowOff>107901</xdr:rowOff>
    </xdr:from>
    <xdr:to>
      <xdr:col>13</xdr:col>
      <xdr:colOff>1440477</xdr:colOff>
      <xdr:row>34</xdr:row>
      <xdr:rowOff>96471</xdr:rowOff>
    </xdr:to>
    <xdr:sp macro="" textlink="$B$115">
      <xdr:nvSpPr>
        <xdr:cNvPr id="116" name="Rectángulo 115">
          <a:extLst>
            <a:ext uri="{FF2B5EF4-FFF2-40B4-BE49-F238E27FC236}">
              <a16:creationId xmlns:a16="http://schemas.microsoft.com/office/drawing/2014/main" id="{3D7CC004-44E3-446A-864B-35A6498C43C1}"/>
            </a:ext>
          </a:extLst>
        </xdr:cNvPr>
        <xdr:cNvSpPr/>
      </xdr:nvSpPr>
      <xdr:spPr>
        <a:xfrm>
          <a:off x="15075535" y="5773371"/>
          <a:ext cx="926762"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6A86C2-20A2-4236-991C-2612CFB2A4F8}" type="TxLink">
            <a:rPr lang="en-US" sz="2400" b="0" i="0" u="none" strike="noStrike">
              <a:solidFill>
                <a:schemeClr val="accent2"/>
              </a:solidFill>
              <a:latin typeface="Bahnschrift SemiBold Condensed" panose="020B0502040204020203" pitchFamily="34" charset="0"/>
            </a:rPr>
            <a:pPr algn="l"/>
            <a:t>62%</a:t>
          </a:fld>
          <a:endParaRPr lang="es-CO" sz="2400" b="1">
            <a:solidFill>
              <a:schemeClr val="accent2"/>
            </a:solidFill>
            <a:latin typeface="Bahnschrift SemiBold Condensed" panose="020B0502040204020203" pitchFamily="34" charset="0"/>
          </a:endParaRPr>
        </a:p>
      </xdr:txBody>
    </xdr:sp>
    <xdr:clientData/>
  </xdr:twoCellAnchor>
  <xdr:twoCellAnchor>
    <xdr:from>
      <xdr:col>11</xdr:col>
      <xdr:colOff>174998</xdr:colOff>
      <xdr:row>27</xdr:row>
      <xdr:rowOff>37193</xdr:rowOff>
    </xdr:from>
    <xdr:to>
      <xdr:col>13</xdr:col>
      <xdr:colOff>423224</xdr:colOff>
      <xdr:row>37</xdr:row>
      <xdr:rowOff>24080</xdr:rowOff>
    </xdr:to>
    <xdr:graphicFrame macro="">
      <xdr:nvGraphicFramePr>
        <xdr:cNvPr id="117" name="Gráfico 116">
          <a:extLst>
            <a:ext uri="{FF2B5EF4-FFF2-40B4-BE49-F238E27FC236}">
              <a16:creationId xmlns:a16="http://schemas.microsoft.com/office/drawing/2014/main" id="{6C8D03B9-95A0-4944-BD55-98966D38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12</xdr:col>
      <xdr:colOff>12064</xdr:colOff>
      <xdr:row>27</xdr:row>
      <xdr:rowOff>78105</xdr:rowOff>
    </xdr:from>
    <xdr:to>
      <xdr:col>13</xdr:col>
      <xdr:colOff>1085767</xdr:colOff>
      <xdr:row>29</xdr:row>
      <xdr:rowOff>0</xdr:rowOff>
    </xdr:to>
    <xdr:sp macro="" textlink="$A$109">
      <xdr:nvSpPr>
        <xdr:cNvPr id="118" name="Rectángulo 117">
          <a:extLst>
            <a:ext uri="{FF2B5EF4-FFF2-40B4-BE49-F238E27FC236}">
              <a16:creationId xmlns:a16="http://schemas.microsoft.com/office/drawing/2014/main" id="{92205EE0-D1E8-47CE-BBA2-0AE531C3B6CB}"/>
            </a:ext>
          </a:extLst>
        </xdr:cNvPr>
        <xdr:cNvSpPr/>
      </xdr:nvSpPr>
      <xdr:spPr>
        <a:xfrm>
          <a:off x="12960349" y="5202555"/>
          <a:ext cx="2692953" cy="2838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762506-7F0F-428F-B52C-A3BDDB34AF0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12</xdr:col>
      <xdr:colOff>584200</xdr:colOff>
      <xdr:row>30</xdr:row>
      <xdr:rowOff>147312</xdr:rowOff>
    </xdr:from>
    <xdr:to>
      <xdr:col>12</xdr:col>
      <xdr:colOff>1524166</xdr:colOff>
      <xdr:row>34</xdr:row>
      <xdr:rowOff>124782</xdr:rowOff>
    </xdr:to>
    <xdr:sp macro="" textlink="$B$109">
      <xdr:nvSpPr>
        <xdr:cNvPr id="119" name="Rectángulo 118">
          <a:extLst>
            <a:ext uri="{FF2B5EF4-FFF2-40B4-BE49-F238E27FC236}">
              <a16:creationId xmlns:a16="http://schemas.microsoft.com/office/drawing/2014/main" id="{0C961D29-5AAB-4B55-BCB9-0B2716726EC1}"/>
            </a:ext>
          </a:extLst>
        </xdr:cNvPr>
        <xdr:cNvSpPr/>
      </xdr:nvSpPr>
      <xdr:spPr>
        <a:xfrm>
          <a:off x="13532485" y="5812782"/>
          <a:ext cx="936156" cy="705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4D1FEF-3904-48DA-B25F-F713612F0A75}"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46355</xdr:colOff>
      <xdr:row>36</xdr:row>
      <xdr:rowOff>77470</xdr:rowOff>
    </xdr:from>
    <xdr:to>
      <xdr:col>13</xdr:col>
      <xdr:colOff>401320</xdr:colOff>
      <xdr:row>38</xdr:row>
      <xdr:rowOff>12700</xdr:rowOff>
    </xdr:to>
    <xdr:sp macro="" textlink="$A$110">
      <xdr:nvSpPr>
        <xdr:cNvPr id="120" name="Rectángulo 119">
          <a:extLst>
            <a:ext uri="{FF2B5EF4-FFF2-40B4-BE49-F238E27FC236}">
              <a16:creationId xmlns:a16="http://schemas.microsoft.com/office/drawing/2014/main" id="{E30181EA-8650-4C36-B2B9-6D95D021AA55}"/>
            </a:ext>
          </a:extLst>
        </xdr:cNvPr>
        <xdr:cNvSpPr/>
      </xdr:nvSpPr>
      <xdr:spPr>
        <a:xfrm>
          <a:off x="12992735" y="6830695"/>
          <a:ext cx="1968500"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62D34-F84A-4F50-AE94-5055B298555E}"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12</xdr:col>
      <xdr:colOff>596900</xdr:colOff>
      <xdr:row>40</xdr:row>
      <xdr:rowOff>8519</xdr:rowOff>
    </xdr:from>
    <xdr:to>
      <xdr:col>12</xdr:col>
      <xdr:colOff>1539668</xdr:colOff>
      <xdr:row>43</xdr:row>
      <xdr:rowOff>163789</xdr:rowOff>
    </xdr:to>
    <xdr:sp macro="" textlink="$B$110">
      <xdr:nvSpPr>
        <xdr:cNvPr id="121" name="Rectángulo 120">
          <a:extLst>
            <a:ext uri="{FF2B5EF4-FFF2-40B4-BE49-F238E27FC236}">
              <a16:creationId xmlns:a16="http://schemas.microsoft.com/office/drawing/2014/main" id="{D63C81A6-F53C-4205-98C2-A857AEF3D253}"/>
            </a:ext>
          </a:extLst>
        </xdr:cNvPr>
        <xdr:cNvSpPr/>
      </xdr:nvSpPr>
      <xdr:spPr>
        <a:xfrm>
          <a:off x="13537565" y="7487549"/>
          <a:ext cx="950388" cy="6981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F819A-F1B7-4DB6-A5DB-7B89EC642AF1}"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457200</xdr:colOff>
      <xdr:row>39</xdr:row>
      <xdr:rowOff>100806</xdr:rowOff>
    </xdr:from>
    <xdr:to>
      <xdr:col>13</xdr:col>
      <xdr:colOff>1312619</xdr:colOff>
      <xdr:row>43</xdr:row>
      <xdr:rowOff>89376</xdr:rowOff>
    </xdr:to>
    <xdr:sp macro="" textlink="$B$116">
      <xdr:nvSpPr>
        <xdr:cNvPr id="122" name="Rectángulo 121">
          <a:extLst>
            <a:ext uri="{FF2B5EF4-FFF2-40B4-BE49-F238E27FC236}">
              <a16:creationId xmlns:a16="http://schemas.microsoft.com/office/drawing/2014/main" id="{213A3F5B-EB4B-45F0-9495-FCC9DC5981E5}"/>
            </a:ext>
          </a:extLst>
        </xdr:cNvPr>
        <xdr:cNvSpPr/>
      </xdr:nvSpPr>
      <xdr:spPr>
        <a:xfrm>
          <a:off x="15020925" y="7393146"/>
          <a:ext cx="85922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543804-8942-49F6-97FC-7F994BF8F3BB}"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14</xdr:col>
      <xdr:colOff>174998</xdr:colOff>
      <xdr:row>27</xdr:row>
      <xdr:rowOff>37193</xdr:rowOff>
    </xdr:from>
    <xdr:to>
      <xdr:col>15</xdr:col>
      <xdr:colOff>0</xdr:colOff>
      <xdr:row>37</xdr:row>
      <xdr:rowOff>24080</xdr:rowOff>
    </xdr:to>
    <xdr:graphicFrame macro="">
      <xdr:nvGraphicFramePr>
        <xdr:cNvPr id="123" name="Gráfico 122">
          <a:extLst>
            <a:ext uri="{FF2B5EF4-FFF2-40B4-BE49-F238E27FC236}">
              <a16:creationId xmlns:a16="http://schemas.microsoft.com/office/drawing/2014/main" id="{DE5D8621-11FA-4D88-A26C-8CD326DB3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228600</xdr:colOff>
      <xdr:row>44</xdr:row>
      <xdr:rowOff>53340</xdr:rowOff>
    </xdr:from>
    <xdr:to>
      <xdr:col>8</xdr:col>
      <xdr:colOff>95250</xdr:colOff>
      <xdr:row>66</xdr:row>
      <xdr:rowOff>92710</xdr:rowOff>
    </xdr:to>
    <xdr:grpSp>
      <xdr:nvGrpSpPr>
        <xdr:cNvPr id="124" name="Grupo 123">
          <a:extLst>
            <a:ext uri="{FF2B5EF4-FFF2-40B4-BE49-F238E27FC236}">
              <a16:creationId xmlns:a16="http://schemas.microsoft.com/office/drawing/2014/main" id="{6411A878-8AFA-45C9-9E77-696D495DDD88}"/>
            </a:ext>
          </a:extLst>
        </xdr:cNvPr>
        <xdr:cNvGrpSpPr/>
      </xdr:nvGrpSpPr>
      <xdr:grpSpPr>
        <a:xfrm>
          <a:off x="5474677" y="8072804"/>
          <a:ext cx="3526301" cy="3937293"/>
          <a:chOff x="5275897" y="7883842"/>
          <a:chExt cx="4608644" cy="2743200"/>
        </a:xfrm>
      </xdr:grpSpPr>
      <xdr:graphicFrame macro="">
        <xdr:nvGraphicFramePr>
          <xdr:cNvPr id="125" name="Gráfico 124">
            <a:extLst>
              <a:ext uri="{FF2B5EF4-FFF2-40B4-BE49-F238E27FC236}">
                <a16:creationId xmlns:a16="http://schemas.microsoft.com/office/drawing/2014/main" id="{412D4DB1-04FA-F1BB-5D23-9B99E8DD9B7F}"/>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126" name="CuadroTexto 125">
            <a:extLst>
              <a:ext uri="{FF2B5EF4-FFF2-40B4-BE49-F238E27FC236}">
                <a16:creationId xmlns:a16="http://schemas.microsoft.com/office/drawing/2014/main" id="{A4A413BB-C37C-312A-5FB5-BA4517F49BB7}"/>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27" name="CuadroTexto 126">
            <a:extLst>
              <a:ext uri="{FF2B5EF4-FFF2-40B4-BE49-F238E27FC236}">
                <a16:creationId xmlns:a16="http://schemas.microsoft.com/office/drawing/2014/main" id="{3D9102FE-0C79-55B1-7ED2-BD55D00BDB7E}"/>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28" name="CuadroTexto 127">
            <a:extLst>
              <a:ext uri="{FF2B5EF4-FFF2-40B4-BE49-F238E27FC236}">
                <a16:creationId xmlns:a16="http://schemas.microsoft.com/office/drawing/2014/main" id="{6C57ADEE-9AE1-80C7-95A2-A1D06DE8E4D6}"/>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29" name="CuadroTexto 128">
            <a:extLst>
              <a:ext uri="{FF2B5EF4-FFF2-40B4-BE49-F238E27FC236}">
                <a16:creationId xmlns:a16="http://schemas.microsoft.com/office/drawing/2014/main" id="{FB7A6E1C-D6E5-1B37-6D92-D1C3FED2A5AD}"/>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0" name="CuadroTexto 129">
            <a:extLst>
              <a:ext uri="{FF2B5EF4-FFF2-40B4-BE49-F238E27FC236}">
                <a16:creationId xmlns:a16="http://schemas.microsoft.com/office/drawing/2014/main" id="{BB76E1A3-9363-D650-3B5C-A002D39AEA56}"/>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31" name="CuadroTexto 130">
            <a:extLst>
              <a:ext uri="{FF2B5EF4-FFF2-40B4-BE49-F238E27FC236}">
                <a16:creationId xmlns:a16="http://schemas.microsoft.com/office/drawing/2014/main" id="{672D1D95-249B-C660-BBDB-60C5880FC7C5}"/>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85">
        <xdr:nvSpPr>
          <xdr:cNvPr id="132" name="Rectángulo 131">
            <a:extLst>
              <a:ext uri="{FF2B5EF4-FFF2-40B4-BE49-F238E27FC236}">
                <a16:creationId xmlns:a16="http://schemas.microsoft.com/office/drawing/2014/main" id="{A88B4173-C6F9-7705-DE05-43703EF06C28}"/>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946B11-6170-4F29-9CF5-943E94421FCA}" type="TxLink">
              <a:rPr lang="en-US" sz="3600" b="0" i="0" u="none" strike="noStrike">
                <a:solidFill>
                  <a:srgbClr val="000000"/>
                </a:solidFill>
                <a:latin typeface="Bahnschrift SemiBold Condensed" panose="020B0502040204020203" pitchFamily="34" charset="0"/>
              </a:rPr>
              <a:pPr algn="l"/>
              <a:t>92</a:t>
            </a:fld>
            <a:endParaRPr lang="es-CO" sz="3600" b="1">
              <a:latin typeface="Bahnschrift SemiBold Condensed" panose="020B0502040204020203" pitchFamily="34" charset="0"/>
            </a:endParaRPr>
          </a:p>
        </xdr:txBody>
      </xdr:sp>
    </xdr:grpSp>
    <xdr:clientData/>
  </xdr:twoCellAnchor>
  <xdr:twoCellAnchor>
    <xdr:from>
      <xdr:col>8</xdr:col>
      <xdr:colOff>247650</xdr:colOff>
      <xdr:row>44</xdr:row>
      <xdr:rowOff>19050</xdr:rowOff>
    </xdr:from>
    <xdr:to>
      <xdr:col>11</xdr:col>
      <xdr:colOff>100965</xdr:colOff>
      <xdr:row>66</xdr:row>
      <xdr:rowOff>56515</xdr:rowOff>
    </xdr:to>
    <xdr:grpSp>
      <xdr:nvGrpSpPr>
        <xdr:cNvPr id="133" name="Grupo 132">
          <a:extLst>
            <a:ext uri="{FF2B5EF4-FFF2-40B4-BE49-F238E27FC236}">
              <a16:creationId xmlns:a16="http://schemas.microsoft.com/office/drawing/2014/main" id="{43D51B61-58CE-4F81-9C80-120A0A57797E}"/>
            </a:ext>
          </a:extLst>
        </xdr:cNvPr>
        <xdr:cNvGrpSpPr/>
      </xdr:nvGrpSpPr>
      <xdr:grpSpPr>
        <a:xfrm>
          <a:off x="9153378" y="8030894"/>
          <a:ext cx="3516777" cy="3943008"/>
          <a:chOff x="5275897" y="7883842"/>
          <a:chExt cx="4608644" cy="2743200"/>
        </a:xfrm>
      </xdr:grpSpPr>
      <xdr:graphicFrame macro="">
        <xdr:nvGraphicFramePr>
          <xdr:cNvPr id="134" name="Gráfico 133">
            <a:extLst>
              <a:ext uri="{FF2B5EF4-FFF2-40B4-BE49-F238E27FC236}">
                <a16:creationId xmlns:a16="http://schemas.microsoft.com/office/drawing/2014/main" id="{15729CD0-F327-CD79-FCAE-2078DFC5689E}"/>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0"/>
          </a:graphicData>
        </a:graphic>
      </xdr:graphicFrame>
      <xdr:sp macro="" textlink="">
        <xdr:nvSpPr>
          <xdr:cNvPr id="135" name="CuadroTexto 134">
            <a:extLst>
              <a:ext uri="{FF2B5EF4-FFF2-40B4-BE49-F238E27FC236}">
                <a16:creationId xmlns:a16="http://schemas.microsoft.com/office/drawing/2014/main" id="{2117EC23-FC44-031B-7B8E-874DCA232D36}"/>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36" name="CuadroTexto 135">
            <a:extLst>
              <a:ext uri="{FF2B5EF4-FFF2-40B4-BE49-F238E27FC236}">
                <a16:creationId xmlns:a16="http://schemas.microsoft.com/office/drawing/2014/main" id="{FBFE31DB-260B-2469-D466-259FFAE6A135}"/>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37" name="CuadroTexto 136">
            <a:extLst>
              <a:ext uri="{FF2B5EF4-FFF2-40B4-BE49-F238E27FC236}">
                <a16:creationId xmlns:a16="http://schemas.microsoft.com/office/drawing/2014/main" id="{49531D57-7123-D1D9-639B-2476785BE86B}"/>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38" name="CuadroTexto 137">
            <a:extLst>
              <a:ext uri="{FF2B5EF4-FFF2-40B4-BE49-F238E27FC236}">
                <a16:creationId xmlns:a16="http://schemas.microsoft.com/office/drawing/2014/main" id="{2E63DC0C-B19D-4001-C6D5-C56907A78EA3}"/>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9" name="CuadroTexto 138">
            <a:extLst>
              <a:ext uri="{FF2B5EF4-FFF2-40B4-BE49-F238E27FC236}">
                <a16:creationId xmlns:a16="http://schemas.microsoft.com/office/drawing/2014/main" id="{DE0491D1-85CD-5718-2848-A852B171078E}"/>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0" name="CuadroTexto 139">
            <a:extLst>
              <a:ext uri="{FF2B5EF4-FFF2-40B4-BE49-F238E27FC236}">
                <a16:creationId xmlns:a16="http://schemas.microsoft.com/office/drawing/2014/main" id="{F22BCA28-E506-E30C-C1BC-E9A10528C606}"/>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99">
        <xdr:nvSpPr>
          <xdr:cNvPr id="141" name="Rectángulo 140">
            <a:extLst>
              <a:ext uri="{FF2B5EF4-FFF2-40B4-BE49-F238E27FC236}">
                <a16:creationId xmlns:a16="http://schemas.microsoft.com/office/drawing/2014/main" id="{F8214BAE-AE24-D213-E983-77032F7A6637}"/>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8A3E6C-2DCC-4613-AC44-484B8DF18012}" type="TxLink">
              <a:rPr lang="en-US" sz="3600" b="0" i="0" u="none" strike="noStrike">
                <a:solidFill>
                  <a:srgbClr val="000000"/>
                </a:solidFill>
                <a:latin typeface="Bahnschrift SemiBold Condensed" panose="020B0502040204020203" pitchFamily="34" charset="0"/>
              </a:rPr>
              <a:pPr algn="l"/>
              <a:t>54</a:t>
            </a:fld>
            <a:endParaRPr lang="es-CO" sz="3600" b="1">
              <a:latin typeface="Bahnschrift SemiBold Condensed" panose="020B0502040204020203" pitchFamily="34" charset="0"/>
            </a:endParaRPr>
          </a:p>
        </xdr:txBody>
      </xdr:sp>
    </xdr:grpSp>
    <xdr:clientData/>
  </xdr:twoCellAnchor>
  <xdr:twoCellAnchor>
    <xdr:from>
      <xdr:col>11</xdr:col>
      <xdr:colOff>228600</xdr:colOff>
      <xdr:row>44</xdr:row>
      <xdr:rowOff>24765</xdr:rowOff>
    </xdr:from>
    <xdr:to>
      <xdr:col>14</xdr:col>
      <xdr:colOff>95250</xdr:colOff>
      <xdr:row>66</xdr:row>
      <xdr:rowOff>86995</xdr:rowOff>
    </xdr:to>
    <xdr:grpSp>
      <xdr:nvGrpSpPr>
        <xdr:cNvPr id="142" name="Grupo 141">
          <a:extLst>
            <a:ext uri="{FF2B5EF4-FFF2-40B4-BE49-F238E27FC236}">
              <a16:creationId xmlns:a16="http://schemas.microsoft.com/office/drawing/2014/main" id="{3B8B2E7F-05F2-49FE-8022-44676223942F}"/>
            </a:ext>
          </a:extLst>
        </xdr:cNvPr>
        <xdr:cNvGrpSpPr/>
      </xdr:nvGrpSpPr>
      <xdr:grpSpPr>
        <a:xfrm>
          <a:off x="12801600" y="8036609"/>
          <a:ext cx="3526302" cy="3965868"/>
          <a:chOff x="5275897" y="7883842"/>
          <a:chExt cx="4608644" cy="2743200"/>
        </a:xfrm>
      </xdr:grpSpPr>
      <xdr:graphicFrame macro="">
        <xdr:nvGraphicFramePr>
          <xdr:cNvPr id="143" name="Gráfico 142">
            <a:extLst>
              <a:ext uri="{FF2B5EF4-FFF2-40B4-BE49-F238E27FC236}">
                <a16:creationId xmlns:a16="http://schemas.microsoft.com/office/drawing/2014/main" id="{D157B00D-BD48-D212-6148-8199B4D65DFD}"/>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1"/>
          </a:graphicData>
        </a:graphic>
      </xdr:graphicFrame>
      <xdr:sp macro="" textlink="">
        <xdr:nvSpPr>
          <xdr:cNvPr id="144" name="CuadroTexto 143">
            <a:extLst>
              <a:ext uri="{FF2B5EF4-FFF2-40B4-BE49-F238E27FC236}">
                <a16:creationId xmlns:a16="http://schemas.microsoft.com/office/drawing/2014/main" id="{23018D28-F9BC-7754-CB32-494A38BA2555}"/>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45" name="CuadroTexto 144">
            <a:extLst>
              <a:ext uri="{FF2B5EF4-FFF2-40B4-BE49-F238E27FC236}">
                <a16:creationId xmlns:a16="http://schemas.microsoft.com/office/drawing/2014/main" id="{A9633FB7-8BEA-1639-98C4-8FCAB55FF36C}"/>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46" name="CuadroTexto 145">
            <a:extLst>
              <a:ext uri="{FF2B5EF4-FFF2-40B4-BE49-F238E27FC236}">
                <a16:creationId xmlns:a16="http://schemas.microsoft.com/office/drawing/2014/main" id="{D1BC82CC-9309-B5A1-4BFE-DD7AE0283329}"/>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47" name="CuadroTexto 146">
            <a:extLst>
              <a:ext uri="{FF2B5EF4-FFF2-40B4-BE49-F238E27FC236}">
                <a16:creationId xmlns:a16="http://schemas.microsoft.com/office/drawing/2014/main" id="{460DAC6C-DEC2-3CEE-DE8E-BA7BFC024FCD}"/>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48" name="CuadroTexto 147">
            <a:extLst>
              <a:ext uri="{FF2B5EF4-FFF2-40B4-BE49-F238E27FC236}">
                <a16:creationId xmlns:a16="http://schemas.microsoft.com/office/drawing/2014/main" id="{AD18F5F3-6004-ECFB-8E2F-187EB8E1D4CA}"/>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9" name="CuadroTexto 148">
            <a:extLst>
              <a:ext uri="{FF2B5EF4-FFF2-40B4-BE49-F238E27FC236}">
                <a16:creationId xmlns:a16="http://schemas.microsoft.com/office/drawing/2014/main" id="{C652DAFF-EDAA-1366-33E6-4E2EFFD8CCD8}"/>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113">
        <xdr:nvSpPr>
          <xdr:cNvPr id="150" name="Rectángulo 149">
            <a:extLst>
              <a:ext uri="{FF2B5EF4-FFF2-40B4-BE49-F238E27FC236}">
                <a16:creationId xmlns:a16="http://schemas.microsoft.com/office/drawing/2014/main" id="{9415DAA3-DFD3-A7B0-2F4F-D52C993D420F}"/>
              </a:ext>
            </a:extLst>
          </xdr:cNvPr>
          <xdr:cNvSpPr/>
        </xdr:nvSpPr>
        <xdr:spPr>
          <a:xfrm>
            <a:off x="7161176" y="8980581"/>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45285D-E9A2-43E4-962B-902C584A0ECC}" type="TxLink">
              <a:rPr lang="en-US" sz="3600" b="0" i="0" u="none" strike="noStrike">
                <a:solidFill>
                  <a:srgbClr val="000000"/>
                </a:solidFill>
                <a:latin typeface="Bahnschrift SemiBold Condensed" panose="020B0502040204020203" pitchFamily="34" charset="0"/>
              </a:rPr>
              <a:pPr algn="l"/>
              <a:t>51</a:t>
            </a:fld>
            <a:endParaRPr lang="es-CO" sz="3600" b="1">
              <a:latin typeface="Bahnschrift SemiBold Condensed" panose="020B0502040204020203" pitchFamily="34" charset="0"/>
            </a:endParaRPr>
          </a:p>
        </xdr:txBody>
      </xdr:sp>
    </xdr:grpSp>
    <xdr:clientData/>
  </xdr:twoCellAnchor>
  <xdr:twoCellAnchor>
    <xdr:from>
      <xdr:col>15</xdr:col>
      <xdr:colOff>84405</xdr:colOff>
      <xdr:row>0</xdr:row>
      <xdr:rowOff>53633</xdr:rowOff>
    </xdr:from>
    <xdr:to>
      <xdr:col>23</xdr:col>
      <xdr:colOff>644769</xdr:colOff>
      <xdr:row>29</xdr:row>
      <xdr:rowOff>58615</xdr:rowOff>
    </xdr:to>
    <xdr:graphicFrame macro="">
      <xdr:nvGraphicFramePr>
        <xdr:cNvPr id="151" name="Gráfico 150">
          <a:extLst>
            <a:ext uri="{FF2B5EF4-FFF2-40B4-BE49-F238E27FC236}">
              <a16:creationId xmlns:a16="http://schemas.microsoft.com/office/drawing/2014/main" id="{A63D9922-3EB2-4C98-8984-1C15609FA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107997</xdr:colOff>
      <xdr:row>30</xdr:row>
      <xdr:rowOff>2051</xdr:rowOff>
    </xdr:from>
    <xdr:to>
      <xdr:col>23</xdr:col>
      <xdr:colOff>644768</xdr:colOff>
      <xdr:row>58</xdr:row>
      <xdr:rowOff>58615</xdr:rowOff>
    </xdr:to>
    <xdr:graphicFrame macro="">
      <xdr:nvGraphicFramePr>
        <xdr:cNvPr id="152" name="Gráfico 151">
          <a:extLst>
            <a:ext uri="{FF2B5EF4-FFF2-40B4-BE49-F238E27FC236}">
              <a16:creationId xmlns:a16="http://schemas.microsoft.com/office/drawing/2014/main" id="{D15D7D4A-427C-4591-BA51-4741DD204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1181100</xdr:colOff>
      <xdr:row>35</xdr:row>
      <xdr:rowOff>12700</xdr:rowOff>
    </xdr:from>
    <xdr:to>
      <xdr:col>8</xdr:col>
      <xdr:colOff>279400</xdr:colOff>
      <xdr:row>49</xdr:row>
      <xdr:rowOff>63500</xdr:rowOff>
    </xdr:to>
    <xdr:graphicFrame macro="">
      <xdr:nvGraphicFramePr>
        <xdr:cNvPr id="2" name="Gráfico 1">
          <a:extLst>
            <a:ext uri="{FF2B5EF4-FFF2-40B4-BE49-F238E27FC236}">
              <a16:creationId xmlns:a16="http://schemas.microsoft.com/office/drawing/2014/main" id="{080420FF-5AC8-4E69-8616-2E28C0780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36</xdr:row>
      <xdr:rowOff>50800</xdr:rowOff>
    </xdr:from>
    <xdr:to>
      <xdr:col>7</xdr:col>
      <xdr:colOff>299026</xdr:colOff>
      <xdr:row>46</xdr:row>
      <xdr:rowOff>50387</xdr:rowOff>
    </xdr:to>
    <xdr:graphicFrame macro="">
      <xdr:nvGraphicFramePr>
        <xdr:cNvPr id="3" name="Gráfico 2">
          <a:extLst>
            <a:ext uri="{FF2B5EF4-FFF2-40B4-BE49-F238E27FC236}">
              <a16:creationId xmlns:a16="http://schemas.microsoft.com/office/drawing/2014/main" id="{BBD027E8-99B5-43ED-BE7F-53951A531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29</xdr:row>
      <xdr:rowOff>22760</xdr:rowOff>
    </xdr:from>
    <xdr:to>
      <xdr:col>1</xdr:col>
      <xdr:colOff>714375</xdr:colOff>
      <xdr:row>38</xdr:row>
      <xdr:rowOff>60960</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419BF2B3-F220-4343-9207-C54B64CDCCBA}"/>
            </a:ext>
          </a:extLst>
        </xdr:cNvPr>
        <xdr:cNvSpPr/>
      </xdr:nvSpPr>
      <xdr:spPr>
        <a:xfrm>
          <a:off x="66675" y="5554880"/>
          <a:ext cx="1440180" cy="168412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400">
              <a:solidFill>
                <a:schemeClr val="accent1"/>
              </a:solidFill>
              <a:latin typeface="Artifakt Element Heavy" panose="020B0B03050000020004" pitchFamily="34" charset="0"/>
              <a:ea typeface="Artifakt Element Heavy" panose="020B0B03050000020004" pitchFamily="34" charset="0"/>
            </a:rPr>
            <a:t>POLÍTICAS ÁREA COMERCIAL</a:t>
          </a:r>
        </a:p>
      </xdr:txBody>
    </xdr:sp>
    <xdr:clientData/>
  </xdr:twoCellAnchor>
  <xdr:twoCellAnchor>
    <xdr:from>
      <xdr:col>12</xdr:col>
      <xdr:colOff>1130300</xdr:colOff>
      <xdr:row>35</xdr:row>
      <xdr:rowOff>0</xdr:rowOff>
    </xdr:from>
    <xdr:to>
      <xdr:col>14</xdr:col>
      <xdr:colOff>228600</xdr:colOff>
      <xdr:row>49</xdr:row>
      <xdr:rowOff>50800</xdr:rowOff>
    </xdr:to>
    <xdr:graphicFrame macro="">
      <xdr:nvGraphicFramePr>
        <xdr:cNvPr id="5" name="Gráfico 4">
          <a:extLst>
            <a:ext uri="{FF2B5EF4-FFF2-40B4-BE49-F238E27FC236}">
              <a16:creationId xmlns:a16="http://schemas.microsoft.com/office/drawing/2014/main" id="{72865E65-0306-4BB9-8704-F1C5B9BE4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36</xdr:row>
      <xdr:rowOff>38100</xdr:rowOff>
    </xdr:from>
    <xdr:to>
      <xdr:col>13</xdr:col>
      <xdr:colOff>248226</xdr:colOff>
      <xdr:row>46</xdr:row>
      <xdr:rowOff>37687</xdr:rowOff>
    </xdr:to>
    <xdr:graphicFrame macro="">
      <xdr:nvGraphicFramePr>
        <xdr:cNvPr id="6" name="Gráfico 5">
          <a:extLst>
            <a:ext uri="{FF2B5EF4-FFF2-40B4-BE49-F238E27FC236}">
              <a16:creationId xmlns:a16="http://schemas.microsoft.com/office/drawing/2014/main" id="{9BE6BB33-8FDC-4604-B9A4-C4DA8A1CF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1168400</xdr:colOff>
      <xdr:row>17</xdr:row>
      <xdr:rowOff>76200</xdr:rowOff>
    </xdr:from>
    <xdr:to>
      <xdr:col>14</xdr:col>
      <xdr:colOff>228600</xdr:colOff>
      <xdr:row>30</xdr:row>
      <xdr:rowOff>25400</xdr:rowOff>
    </xdr:to>
    <xdr:graphicFrame macro="">
      <xdr:nvGraphicFramePr>
        <xdr:cNvPr id="7" name="Gráfico 6">
          <a:extLst>
            <a:ext uri="{FF2B5EF4-FFF2-40B4-BE49-F238E27FC236}">
              <a16:creationId xmlns:a16="http://schemas.microsoft.com/office/drawing/2014/main" id="{08006BC6-B554-40E3-9A69-9D24AA1E1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1117600</xdr:colOff>
      <xdr:row>35</xdr:row>
      <xdr:rowOff>0</xdr:rowOff>
    </xdr:from>
    <xdr:to>
      <xdr:col>11</xdr:col>
      <xdr:colOff>215900</xdr:colOff>
      <xdr:row>49</xdr:row>
      <xdr:rowOff>50800</xdr:rowOff>
    </xdr:to>
    <xdr:graphicFrame macro="">
      <xdr:nvGraphicFramePr>
        <xdr:cNvPr id="8" name="Gráfico 7">
          <a:extLst>
            <a:ext uri="{FF2B5EF4-FFF2-40B4-BE49-F238E27FC236}">
              <a16:creationId xmlns:a16="http://schemas.microsoft.com/office/drawing/2014/main" id="{BC70A0B2-F3D5-43A0-A66F-13E24E60F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330200</xdr:colOff>
      <xdr:row>36</xdr:row>
      <xdr:rowOff>38100</xdr:rowOff>
    </xdr:from>
    <xdr:to>
      <xdr:col>10</xdr:col>
      <xdr:colOff>235526</xdr:colOff>
      <xdr:row>46</xdr:row>
      <xdr:rowOff>37687</xdr:rowOff>
    </xdr:to>
    <xdr:graphicFrame macro="">
      <xdr:nvGraphicFramePr>
        <xdr:cNvPr id="9" name="Gráfico 8">
          <a:extLst>
            <a:ext uri="{FF2B5EF4-FFF2-40B4-BE49-F238E27FC236}">
              <a16:creationId xmlns:a16="http://schemas.microsoft.com/office/drawing/2014/main" id="{8E478BA7-CE8F-49DB-880F-61FAA278C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113851</xdr:colOff>
      <xdr:row>9</xdr:row>
      <xdr:rowOff>19792</xdr:rowOff>
    </xdr:from>
    <xdr:to>
      <xdr:col>4</xdr:col>
      <xdr:colOff>150586</xdr:colOff>
      <xdr:row>19</xdr:row>
      <xdr:rowOff>39585</xdr:rowOff>
    </xdr:to>
    <xdr:graphicFrame macro="">
      <xdr:nvGraphicFramePr>
        <xdr:cNvPr id="10" name="Gráfico 9">
          <a:extLst>
            <a:ext uri="{FF2B5EF4-FFF2-40B4-BE49-F238E27FC236}">
              <a16:creationId xmlns:a16="http://schemas.microsoft.com/office/drawing/2014/main" id="{D613AC82-DFE3-4C77-8A5F-7343FD19D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1215240</xdr:colOff>
      <xdr:row>6</xdr:row>
      <xdr:rowOff>104570</xdr:rowOff>
    </xdr:from>
    <xdr:to>
      <xdr:col>5</xdr:col>
      <xdr:colOff>228599</xdr:colOff>
      <xdr:row>21</xdr:row>
      <xdr:rowOff>127000</xdr:rowOff>
    </xdr:to>
    <xdr:graphicFrame macro="">
      <xdr:nvGraphicFramePr>
        <xdr:cNvPr id="11" name="Gráfico 10">
          <a:extLst>
            <a:ext uri="{FF2B5EF4-FFF2-40B4-BE49-F238E27FC236}">
              <a16:creationId xmlns:a16="http://schemas.microsoft.com/office/drawing/2014/main" id="{8A40FDD1-BD64-47CE-ACAB-9EEC18BFF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1232848</xdr:colOff>
      <xdr:row>16</xdr:row>
      <xdr:rowOff>125102</xdr:rowOff>
    </xdr:from>
    <xdr:to>
      <xdr:col>5</xdr:col>
      <xdr:colOff>330200</xdr:colOff>
      <xdr:row>31</xdr:row>
      <xdr:rowOff>63500</xdr:rowOff>
    </xdr:to>
    <xdr:graphicFrame macro="">
      <xdr:nvGraphicFramePr>
        <xdr:cNvPr id="12" name="Gráfico 11">
          <a:extLst>
            <a:ext uri="{FF2B5EF4-FFF2-40B4-BE49-F238E27FC236}">
              <a16:creationId xmlns:a16="http://schemas.microsoft.com/office/drawing/2014/main" id="{CEA369AD-4082-4D43-BBA4-98EC354ED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99297</xdr:colOff>
      <xdr:row>18</xdr:row>
      <xdr:rowOff>328</xdr:rowOff>
    </xdr:from>
    <xdr:to>
      <xdr:col>4</xdr:col>
      <xdr:colOff>184562</xdr:colOff>
      <xdr:row>28</xdr:row>
      <xdr:rowOff>9896</xdr:rowOff>
    </xdr:to>
    <xdr:graphicFrame macro="">
      <xdr:nvGraphicFramePr>
        <xdr:cNvPr id="13" name="Gráfico 12">
          <a:extLst>
            <a:ext uri="{FF2B5EF4-FFF2-40B4-BE49-F238E27FC236}">
              <a16:creationId xmlns:a16="http://schemas.microsoft.com/office/drawing/2014/main" id="{19B952A9-197B-45A1-AC62-C1CA118CC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xdr:col>
      <xdr:colOff>506056</xdr:colOff>
      <xdr:row>1</xdr:row>
      <xdr:rowOff>20168</xdr:rowOff>
    </xdr:from>
    <xdr:ext cx="1454655" cy="885826"/>
    <xdr:pic>
      <xdr:nvPicPr>
        <xdr:cNvPr id="14" name="Imagen 13">
          <a:extLst>
            <a:ext uri="{FF2B5EF4-FFF2-40B4-BE49-F238E27FC236}">
              <a16:creationId xmlns:a16="http://schemas.microsoft.com/office/drawing/2014/main" id="{C04139F0-D4AF-4F2A-91D4-C3B7DFDD6B2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30056" y="286868"/>
          <a:ext cx="1454655" cy="885826"/>
        </a:xfrm>
        <a:prstGeom prst="rect">
          <a:avLst/>
        </a:prstGeom>
      </xdr:spPr>
    </xdr:pic>
    <xdr:clientData/>
  </xdr:oneCellAnchor>
  <xdr:oneCellAnchor>
    <xdr:from>
      <xdr:col>0</xdr:col>
      <xdr:colOff>99060</xdr:colOff>
      <xdr:row>0</xdr:row>
      <xdr:rowOff>137160</xdr:rowOff>
    </xdr:from>
    <xdr:ext cx="1401072" cy="943048"/>
    <xdr:pic>
      <xdr:nvPicPr>
        <xdr:cNvPr id="15" name="Imagen 14">
          <a:extLst>
            <a:ext uri="{FF2B5EF4-FFF2-40B4-BE49-F238E27FC236}">
              <a16:creationId xmlns:a16="http://schemas.microsoft.com/office/drawing/2014/main" id="{0E427766-6807-425E-92DA-9806D746DA3D}"/>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910" r="13534"/>
        <a:stretch/>
      </xdr:blipFill>
      <xdr:spPr>
        <a:xfrm>
          <a:off x="99060" y="137160"/>
          <a:ext cx="1401072" cy="943048"/>
        </a:xfrm>
        <a:prstGeom prst="rect">
          <a:avLst/>
        </a:prstGeom>
      </xdr:spPr>
    </xdr:pic>
    <xdr:clientData/>
  </xdr:oneCellAnchor>
  <xdr:twoCellAnchor>
    <xdr:from>
      <xdr:col>0</xdr:col>
      <xdr:colOff>66675</xdr:colOff>
      <xdr:row>5</xdr:row>
      <xdr:rowOff>114200</xdr:rowOff>
    </xdr:from>
    <xdr:to>
      <xdr:col>1</xdr:col>
      <xdr:colOff>714375</xdr:colOff>
      <xdr:row>10</xdr:row>
      <xdr:rowOff>167170</xdr:rowOff>
    </xdr:to>
    <xdr:sp macro="" textlink="">
      <xdr:nvSpPr>
        <xdr:cNvPr id="16" name="Rectángulo: esquinas redondeadas 15">
          <a:hlinkClick xmlns:r="http://schemas.openxmlformats.org/officeDocument/2006/relationships" r:id="rId15"/>
          <a:extLst>
            <a:ext uri="{FF2B5EF4-FFF2-40B4-BE49-F238E27FC236}">
              <a16:creationId xmlns:a16="http://schemas.microsoft.com/office/drawing/2014/main" id="{75667712-E291-442D-AF95-53AD393DF2E4}"/>
            </a:ext>
          </a:extLst>
        </xdr:cNvPr>
        <xdr:cNvSpPr/>
      </xdr:nvSpPr>
      <xdr:spPr>
        <a:xfrm>
          <a:off x="66675" y="1241960"/>
          <a:ext cx="1440180" cy="98261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DIRECTORA COMERCIAL</a:t>
          </a:r>
        </a:p>
      </xdr:txBody>
    </xdr:sp>
    <xdr:clientData/>
  </xdr:twoCellAnchor>
  <xdr:twoCellAnchor>
    <xdr:from>
      <xdr:col>24</xdr:col>
      <xdr:colOff>66675</xdr:colOff>
      <xdr:row>5</xdr:row>
      <xdr:rowOff>125310</xdr:rowOff>
    </xdr:from>
    <xdr:to>
      <xdr:col>24</xdr:col>
      <xdr:colOff>1506063</xdr:colOff>
      <xdr:row>10</xdr:row>
      <xdr:rowOff>168012</xdr:rowOff>
    </xdr:to>
    <xdr:sp macro="" textlink="">
      <xdr:nvSpPr>
        <xdr:cNvPr id="17" name="Rectángulo: esquinas redondeadas 16">
          <a:hlinkClick xmlns:r="http://schemas.openxmlformats.org/officeDocument/2006/relationships" r:id="rId16"/>
          <a:extLst>
            <a:ext uri="{FF2B5EF4-FFF2-40B4-BE49-F238E27FC236}">
              <a16:creationId xmlns:a16="http://schemas.microsoft.com/office/drawing/2014/main" id="{0C6EB4FD-CDD9-4E70-9D0B-89ACE6F0BC57}"/>
            </a:ext>
          </a:extLst>
        </xdr:cNvPr>
        <xdr:cNvSpPr/>
      </xdr:nvSpPr>
      <xdr:spPr>
        <a:xfrm>
          <a:off x="23780115" y="1253070"/>
          <a:ext cx="1439388" cy="97234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DIRECTORA COMERCIAL</a:t>
          </a:r>
        </a:p>
      </xdr:txBody>
    </xdr:sp>
    <xdr:clientData/>
  </xdr:twoCellAnchor>
  <xdr:twoCellAnchor>
    <xdr:from>
      <xdr:col>3</xdr:col>
      <xdr:colOff>393700</xdr:colOff>
      <xdr:row>12</xdr:row>
      <xdr:rowOff>131288</xdr:rowOff>
    </xdr:from>
    <xdr:to>
      <xdr:col>3</xdr:col>
      <xdr:colOff>1266042</xdr:colOff>
      <xdr:row>16</xdr:row>
      <xdr:rowOff>98903</xdr:rowOff>
    </xdr:to>
    <xdr:sp macro="" textlink="$B$65">
      <xdr:nvSpPr>
        <xdr:cNvPr id="18" name="Rectángulo 17">
          <a:extLst>
            <a:ext uri="{FF2B5EF4-FFF2-40B4-BE49-F238E27FC236}">
              <a16:creationId xmlns:a16="http://schemas.microsoft.com/office/drawing/2014/main" id="{6EC4F400-17BA-4394-9AA3-7A609EA3A079}"/>
            </a:ext>
          </a:extLst>
        </xdr:cNvPr>
        <xdr:cNvSpPr/>
      </xdr:nvSpPr>
      <xdr:spPr>
        <a:xfrm>
          <a:off x="2420620" y="25544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535373-67D4-4052-B754-AC66BB4F54EC}"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34290</xdr:colOff>
      <xdr:row>18</xdr:row>
      <xdr:rowOff>55245</xdr:rowOff>
    </xdr:from>
    <xdr:to>
      <xdr:col>4</xdr:col>
      <xdr:colOff>1068780</xdr:colOff>
      <xdr:row>20</xdr:row>
      <xdr:rowOff>0</xdr:rowOff>
    </xdr:to>
    <xdr:sp macro="" textlink="$A$66">
      <xdr:nvSpPr>
        <xdr:cNvPr id="19" name="Rectángulo 18">
          <a:extLst>
            <a:ext uri="{FF2B5EF4-FFF2-40B4-BE49-F238E27FC236}">
              <a16:creationId xmlns:a16="http://schemas.microsoft.com/office/drawing/2014/main" id="{B589F82E-D5B7-40AF-B18F-FD19FCEF65E7}"/>
            </a:ext>
          </a:extLst>
        </xdr:cNvPr>
        <xdr:cNvSpPr/>
      </xdr:nvSpPr>
      <xdr:spPr>
        <a:xfrm>
          <a:off x="2061210" y="3575685"/>
          <a:ext cx="264231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278BB8-8729-4A4B-A8EB-9C84E7E1F12D}" type="TxLink">
            <a:rPr lang="en-US" sz="900" b="1" i="0" u="none" strike="noStrike">
              <a:solidFill>
                <a:srgbClr val="000000"/>
              </a:solidFill>
              <a:latin typeface="Aptos Narrow"/>
            </a:rPr>
            <a:pPr algn="l"/>
            <a:t>Liderazgo y Gestión del Equipo Comercial</a:t>
          </a:fld>
          <a:endParaRPr lang="es-CO" sz="1100">
            <a:solidFill>
              <a:sysClr val="windowText" lastClr="000000"/>
            </a:solidFill>
          </a:endParaRPr>
        </a:p>
      </xdr:txBody>
    </xdr:sp>
    <xdr:clientData/>
  </xdr:twoCellAnchor>
  <xdr:twoCellAnchor>
    <xdr:from>
      <xdr:col>3</xdr:col>
      <xdr:colOff>406400</xdr:colOff>
      <xdr:row>21</xdr:row>
      <xdr:rowOff>122662</xdr:rowOff>
    </xdr:from>
    <xdr:to>
      <xdr:col>3</xdr:col>
      <xdr:colOff>1242126</xdr:colOff>
      <xdr:row>25</xdr:row>
      <xdr:rowOff>95992</xdr:rowOff>
    </xdr:to>
    <xdr:sp macro="" textlink="$B$66">
      <xdr:nvSpPr>
        <xdr:cNvPr id="20" name="Rectángulo 19">
          <a:extLst>
            <a:ext uri="{FF2B5EF4-FFF2-40B4-BE49-F238E27FC236}">
              <a16:creationId xmlns:a16="http://schemas.microsoft.com/office/drawing/2014/main" id="{21591511-828C-41BF-A656-B80D1FE5298E}"/>
            </a:ext>
          </a:extLst>
        </xdr:cNvPr>
        <xdr:cNvSpPr/>
      </xdr:nvSpPr>
      <xdr:spPr>
        <a:xfrm>
          <a:off x="2433320" y="41917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315A53-CCDF-41F8-B98F-D21D689EE071}"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4</xdr:col>
      <xdr:colOff>457201</xdr:colOff>
      <xdr:row>12</xdr:row>
      <xdr:rowOff>107052</xdr:rowOff>
    </xdr:from>
    <xdr:to>
      <xdr:col>4</xdr:col>
      <xdr:colOff>1326351</xdr:colOff>
      <xdr:row>16</xdr:row>
      <xdr:rowOff>86097</xdr:rowOff>
    </xdr:to>
    <xdr:sp macro="" textlink="$B$71">
      <xdr:nvSpPr>
        <xdr:cNvPr id="21" name="Rectángulo 20">
          <a:extLst>
            <a:ext uri="{FF2B5EF4-FFF2-40B4-BE49-F238E27FC236}">
              <a16:creationId xmlns:a16="http://schemas.microsoft.com/office/drawing/2014/main" id="{69D6F426-E480-4C18-A8BD-1120DDF8E28C}"/>
            </a:ext>
          </a:extLst>
        </xdr:cNvPr>
        <xdr:cNvSpPr/>
      </xdr:nvSpPr>
      <xdr:spPr>
        <a:xfrm>
          <a:off x="4091941" y="25302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BAD03B-9DF8-433B-BC00-B1D4C2D28DCF}" type="TxLink">
            <a:rPr lang="en-US" sz="2400" b="1" i="0" u="none" strike="noStrike">
              <a:solidFill>
                <a:schemeClr val="accent2"/>
              </a:solidFill>
              <a:latin typeface="Bahnschrift SemiBold SemiConden" panose="020B0502040204020203" pitchFamily="34" charset="0"/>
            </a:rPr>
            <a:pPr algn="l"/>
            <a:t>74%</a:t>
          </a:fld>
          <a:endParaRPr lang="es-CO" sz="2400" b="1">
            <a:solidFill>
              <a:schemeClr val="accent2"/>
            </a:solidFill>
            <a:latin typeface="Bahnschrift SemiBold SemiConden" panose="020B0502040204020203" pitchFamily="34" charset="0"/>
          </a:endParaRPr>
        </a:p>
      </xdr:txBody>
    </xdr:sp>
    <xdr:clientData/>
  </xdr:twoCellAnchor>
  <xdr:twoCellAnchor>
    <xdr:from>
      <xdr:col>4</xdr:col>
      <xdr:colOff>419100</xdr:colOff>
      <xdr:row>21</xdr:row>
      <xdr:rowOff>64664</xdr:rowOff>
    </xdr:from>
    <xdr:to>
      <xdr:col>4</xdr:col>
      <xdr:colOff>1420973</xdr:colOff>
      <xdr:row>25</xdr:row>
      <xdr:rowOff>45614</xdr:rowOff>
    </xdr:to>
    <xdr:sp macro="" textlink="$B$72">
      <xdr:nvSpPr>
        <xdr:cNvPr id="22" name="Rectángulo 21">
          <a:extLst>
            <a:ext uri="{FF2B5EF4-FFF2-40B4-BE49-F238E27FC236}">
              <a16:creationId xmlns:a16="http://schemas.microsoft.com/office/drawing/2014/main" id="{ACDFA556-6548-4179-8F3D-A7E3BEE2F3BF}"/>
            </a:ext>
          </a:extLst>
        </xdr:cNvPr>
        <xdr:cNvSpPr/>
      </xdr:nvSpPr>
      <xdr:spPr>
        <a:xfrm>
          <a:off x="4053840" y="41337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658D7-C757-475F-B2B1-89153B1B31BE}" type="TxLink">
            <a:rPr lang="en-US" sz="2400" b="0" i="0" u="none" strike="noStrike">
              <a:solidFill>
                <a:schemeClr val="accent2"/>
              </a:solidFill>
              <a:latin typeface="Bahnschrift SemiBold SemiConden" panose="020B0502040204020203" pitchFamily="34" charset="0"/>
            </a:rPr>
            <a:pPr algn="l"/>
            <a:t>83%</a:t>
          </a:fld>
          <a:endParaRPr lang="es-CO" sz="4000" b="1">
            <a:solidFill>
              <a:schemeClr val="accent2"/>
            </a:solidFill>
            <a:latin typeface="Bahnschrift SemiBold SemiConden" panose="020B0502040204020203" pitchFamily="34" charset="0"/>
          </a:endParaRPr>
        </a:p>
      </xdr:txBody>
    </xdr:sp>
    <xdr:clientData/>
  </xdr:twoCellAnchor>
  <xdr:oneCellAnchor>
    <xdr:from>
      <xdr:col>15</xdr:col>
      <xdr:colOff>0</xdr:colOff>
      <xdr:row>63</xdr:row>
      <xdr:rowOff>64770</xdr:rowOff>
    </xdr:from>
    <xdr:ext cx="184731" cy="264560"/>
    <xdr:sp macro="" textlink="">
      <xdr:nvSpPr>
        <xdr:cNvPr id="23" name="CuadroTexto 22">
          <a:extLst>
            <a:ext uri="{FF2B5EF4-FFF2-40B4-BE49-F238E27FC236}">
              <a16:creationId xmlns:a16="http://schemas.microsoft.com/office/drawing/2014/main" id="{775C3D4E-2AE2-4C9D-B36D-EE70433F1ED3}"/>
            </a:ext>
          </a:extLst>
        </xdr:cNvPr>
        <xdr:cNvSpPr txBox="1"/>
      </xdr:nvSpPr>
      <xdr:spPr>
        <a:xfrm>
          <a:off x="16581120" y="1183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2</xdr:col>
      <xdr:colOff>304802</xdr:colOff>
      <xdr:row>44</xdr:row>
      <xdr:rowOff>19050</xdr:rowOff>
    </xdr:from>
    <xdr:to>
      <xdr:col>5</xdr:col>
      <xdr:colOff>133352</xdr:colOff>
      <xdr:row>66</xdr:row>
      <xdr:rowOff>56515</xdr:rowOff>
    </xdr:to>
    <xdr:grpSp>
      <xdr:nvGrpSpPr>
        <xdr:cNvPr id="24" name="Grupo 23">
          <a:extLst>
            <a:ext uri="{FF2B5EF4-FFF2-40B4-BE49-F238E27FC236}">
              <a16:creationId xmlns:a16="http://schemas.microsoft.com/office/drawing/2014/main" id="{4932769C-5748-4EE6-95D1-A9C54169A8E8}"/>
            </a:ext>
          </a:extLst>
        </xdr:cNvPr>
        <xdr:cNvGrpSpPr/>
      </xdr:nvGrpSpPr>
      <xdr:grpSpPr>
        <a:xfrm>
          <a:off x="1887417" y="8030894"/>
          <a:ext cx="3488202" cy="3943008"/>
          <a:chOff x="5275897" y="7883842"/>
          <a:chExt cx="4608644" cy="2743200"/>
        </a:xfrm>
      </xdr:grpSpPr>
      <xdr:graphicFrame macro="">
        <xdr:nvGraphicFramePr>
          <xdr:cNvPr id="25" name="Gráfico 24">
            <a:extLst>
              <a:ext uri="{FF2B5EF4-FFF2-40B4-BE49-F238E27FC236}">
                <a16:creationId xmlns:a16="http://schemas.microsoft.com/office/drawing/2014/main" id="{28BF9C11-5710-DC09-C167-B85C76D443C0}"/>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6" name="CuadroTexto 25">
            <a:extLst>
              <a:ext uri="{FF2B5EF4-FFF2-40B4-BE49-F238E27FC236}">
                <a16:creationId xmlns:a16="http://schemas.microsoft.com/office/drawing/2014/main" id="{54C48EF2-4817-1A45-58CB-0A2AACC06403}"/>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27" name="CuadroTexto 26">
            <a:extLst>
              <a:ext uri="{FF2B5EF4-FFF2-40B4-BE49-F238E27FC236}">
                <a16:creationId xmlns:a16="http://schemas.microsoft.com/office/drawing/2014/main" id="{0E4DCC52-D707-01DA-4E30-1A7D453BBE40}"/>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28" name="CuadroTexto 27">
            <a:extLst>
              <a:ext uri="{FF2B5EF4-FFF2-40B4-BE49-F238E27FC236}">
                <a16:creationId xmlns:a16="http://schemas.microsoft.com/office/drawing/2014/main" id="{1EFCD9AA-8F43-9D22-CAE9-445493FF7961}"/>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29" name="CuadroTexto 28">
            <a:extLst>
              <a:ext uri="{FF2B5EF4-FFF2-40B4-BE49-F238E27FC236}">
                <a16:creationId xmlns:a16="http://schemas.microsoft.com/office/drawing/2014/main" id="{2265F324-5E4E-7F78-4740-8C16CABD712B}"/>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30" name="CuadroTexto 29">
            <a:extLst>
              <a:ext uri="{FF2B5EF4-FFF2-40B4-BE49-F238E27FC236}">
                <a16:creationId xmlns:a16="http://schemas.microsoft.com/office/drawing/2014/main" id="{AA6D7B72-82E5-E58A-CD67-DA97E9740B89}"/>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31" name="CuadroTexto 30">
            <a:extLst>
              <a:ext uri="{FF2B5EF4-FFF2-40B4-BE49-F238E27FC236}">
                <a16:creationId xmlns:a16="http://schemas.microsoft.com/office/drawing/2014/main" id="{29C9A661-52C7-0CAA-3A4D-EE50BC78D081}"/>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71">
        <xdr:nvSpPr>
          <xdr:cNvPr id="32" name="Rectángulo 31">
            <a:extLst>
              <a:ext uri="{FF2B5EF4-FFF2-40B4-BE49-F238E27FC236}">
                <a16:creationId xmlns:a16="http://schemas.microsoft.com/office/drawing/2014/main" id="{74B23F52-4C02-16FF-3B68-77CCB97C76A6}"/>
              </a:ext>
            </a:extLst>
          </xdr:cNvPr>
          <xdr:cNvSpPr/>
        </xdr:nvSpPr>
        <xdr:spPr>
          <a:xfrm>
            <a:off x="7201272"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73C69F8-536F-4069-B709-CE0A631B55CF}" type="TxLink">
              <a:rPr lang="en-US" sz="3600" b="0" i="0" u="none" strike="noStrike">
                <a:solidFill>
                  <a:srgbClr val="000000"/>
                </a:solidFill>
                <a:latin typeface="Bahnschrift SemiBold Condensed" panose="020B0502040204020203" pitchFamily="34" charset="0"/>
              </a:rPr>
              <a:pPr algn="l"/>
              <a:t>85</a:t>
            </a:fld>
            <a:endParaRPr lang="es-CO" sz="102800" b="1">
              <a:latin typeface="Bahnschrift SemiBold Condensed" panose="020B0502040204020203" pitchFamily="34" charset="0"/>
            </a:endParaRPr>
          </a:p>
        </xdr:txBody>
      </xdr:sp>
    </xdr:grpSp>
    <xdr:clientData/>
  </xdr:twoCellAnchor>
  <xdr:twoCellAnchor>
    <xdr:from>
      <xdr:col>3</xdr:col>
      <xdr:colOff>15240</xdr:colOff>
      <xdr:row>18</xdr:row>
      <xdr:rowOff>0</xdr:rowOff>
    </xdr:from>
    <xdr:to>
      <xdr:col>5</xdr:col>
      <xdr:colOff>9525</xdr:colOff>
      <xdr:row>18</xdr:row>
      <xdr:rowOff>0</xdr:rowOff>
    </xdr:to>
    <xdr:cxnSp macro="">
      <xdr:nvCxnSpPr>
        <xdr:cNvPr id="33" name="Conector recto 32">
          <a:extLst>
            <a:ext uri="{FF2B5EF4-FFF2-40B4-BE49-F238E27FC236}">
              <a16:creationId xmlns:a16="http://schemas.microsoft.com/office/drawing/2014/main" id="{675A8959-3FEA-41F5-AB93-89D77CD93170}"/>
            </a:ext>
          </a:extLst>
        </xdr:cNvPr>
        <xdr:cNvCxnSpPr/>
      </xdr:nvCxnSpPr>
      <xdr:spPr>
        <a:xfrm>
          <a:off x="2042160" y="3520440"/>
          <a:ext cx="320992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27</xdr:row>
      <xdr:rowOff>0</xdr:rowOff>
    </xdr:from>
    <xdr:to>
      <xdr:col>5</xdr:col>
      <xdr:colOff>0</xdr:colOff>
      <xdr:row>27</xdr:row>
      <xdr:rowOff>0</xdr:rowOff>
    </xdr:to>
    <xdr:cxnSp macro="">
      <xdr:nvCxnSpPr>
        <xdr:cNvPr id="34" name="Conector recto 33">
          <a:extLst>
            <a:ext uri="{FF2B5EF4-FFF2-40B4-BE49-F238E27FC236}">
              <a16:creationId xmlns:a16="http://schemas.microsoft.com/office/drawing/2014/main" id="{6D171E74-038E-4F53-A3C2-7A29D7D6313B}"/>
            </a:ext>
          </a:extLst>
        </xdr:cNvPr>
        <xdr:cNvCxnSpPr/>
      </xdr:nvCxnSpPr>
      <xdr:spPr>
        <a:xfrm>
          <a:off x="2036445" y="5166360"/>
          <a:ext cx="320611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1905</xdr:colOff>
      <xdr:row>36</xdr:row>
      <xdr:rowOff>0</xdr:rowOff>
    </xdr:from>
    <xdr:to>
      <xdr:col>5</xdr:col>
      <xdr:colOff>0</xdr:colOff>
      <xdr:row>36</xdr:row>
      <xdr:rowOff>0</xdr:rowOff>
    </xdr:to>
    <xdr:cxnSp macro="">
      <xdr:nvCxnSpPr>
        <xdr:cNvPr id="35" name="Conector recto 34">
          <a:extLst>
            <a:ext uri="{FF2B5EF4-FFF2-40B4-BE49-F238E27FC236}">
              <a16:creationId xmlns:a16="http://schemas.microsoft.com/office/drawing/2014/main" id="{ACFE6927-5E9D-4B2E-AF92-2DECAF7E5268}"/>
            </a:ext>
          </a:extLst>
        </xdr:cNvPr>
        <xdr:cNvCxnSpPr/>
      </xdr:nvCxnSpPr>
      <xdr:spPr>
        <a:xfrm>
          <a:off x="2028825" y="6812280"/>
          <a:ext cx="321373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70697</xdr:colOff>
      <xdr:row>54</xdr:row>
      <xdr:rowOff>177165</xdr:rowOff>
    </xdr:from>
    <xdr:ext cx="1408863" cy="732906"/>
    <xdr:pic>
      <xdr:nvPicPr>
        <xdr:cNvPr id="36" name="Imagen 35">
          <a:extLst>
            <a:ext uri="{FF2B5EF4-FFF2-40B4-BE49-F238E27FC236}">
              <a16:creationId xmlns:a16="http://schemas.microsoft.com/office/drawing/2014/main" id="{BA4AA53A-3B18-4659-AEC4-ACF1DCA4D125}"/>
            </a:ext>
          </a:extLst>
        </xdr:cNvPr>
        <xdr:cNvPicPr>
          <a:picLocks noChangeAspect="1"/>
        </xdr:cNvPicPr>
      </xdr:nvPicPr>
      <xdr:blipFill>
        <a:blip xmlns:r="http://schemas.openxmlformats.org/officeDocument/2006/relationships" r:embed="rId18"/>
        <a:stretch>
          <a:fillRect/>
        </a:stretch>
      </xdr:blipFill>
      <xdr:spPr>
        <a:xfrm>
          <a:off x="70697" y="10281285"/>
          <a:ext cx="1408863" cy="732906"/>
        </a:xfrm>
        <a:prstGeom prst="rect">
          <a:avLst/>
        </a:prstGeom>
      </xdr:spPr>
    </xdr:pic>
    <xdr:clientData/>
  </xdr:oneCellAnchor>
  <xdr:oneCellAnchor>
    <xdr:from>
      <xdr:col>0</xdr:col>
      <xdr:colOff>504700</xdr:colOff>
      <xdr:row>5</xdr:row>
      <xdr:rowOff>165643</xdr:rowOff>
    </xdr:from>
    <xdr:ext cx="524494" cy="524494"/>
    <xdr:pic>
      <xdr:nvPicPr>
        <xdr:cNvPr id="37" name="Imagen 36">
          <a:extLst>
            <a:ext uri="{FF2B5EF4-FFF2-40B4-BE49-F238E27FC236}">
              <a16:creationId xmlns:a16="http://schemas.microsoft.com/office/drawing/2014/main" id="{08244AC1-8565-4212-BC44-914D87811FF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4700" y="1293403"/>
          <a:ext cx="524494" cy="524494"/>
        </a:xfrm>
        <a:prstGeom prst="rect">
          <a:avLst/>
        </a:prstGeom>
      </xdr:spPr>
    </xdr:pic>
    <xdr:clientData/>
  </xdr:oneCellAnchor>
  <xdr:oneCellAnchor>
    <xdr:from>
      <xdr:col>24</xdr:col>
      <xdr:colOff>534391</xdr:colOff>
      <xdr:row>6</xdr:row>
      <xdr:rowOff>22558</xdr:rowOff>
    </xdr:from>
    <xdr:ext cx="484907" cy="484907"/>
    <xdr:pic>
      <xdr:nvPicPr>
        <xdr:cNvPr id="38" name="Imagen 37">
          <a:extLst>
            <a:ext uri="{FF2B5EF4-FFF2-40B4-BE49-F238E27FC236}">
              <a16:creationId xmlns:a16="http://schemas.microsoft.com/office/drawing/2014/main" id="{278CEE7D-359D-46B1-B085-4908328021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7831" y="1333198"/>
          <a:ext cx="484907" cy="484907"/>
        </a:xfrm>
        <a:prstGeom prst="rect">
          <a:avLst/>
        </a:prstGeom>
      </xdr:spPr>
    </xdr:pic>
    <xdr:clientData/>
  </xdr:oneCellAnchor>
  <xdr:twoCellAnchor>
    <xdr:from>
      <xdr:col>0</xdr:col>
      <xdr:colOff>56779</xdr:colOff>
      <xdr:row>11</xdr:row>
      <xdr:rowOff>43345</xdr:rowOff>
    </xdr:from>
    <xdr:to>
      <xdr:col>1</xdr:col>
      <xdr:colOff>704479</xdr:colOff>
      <xdr:row>16</xdr:row>
      <xdr:rowOff>126003</xdr:rowOff>
    </xdr:to>
    <xdr:sp macro="" textlink="">
      <xdr:nvSpPr>
        <xdr:cNvPr id="39" name="Rectángulo: esquinas redondeadas 38">
          <a:hlinkClick xmlns:r="http://schemas.openxmlformats.org/officeDocument/2006/relationships" r:id="rId21"/>
          <a:extLst>
            <a:ext uri="{FF2B5EF4-FFF2-40B4-BE49-F238E27FC236}">
              <a16:creationId xmlns:a16="http://schemas.microsoft.com/office/drawing/2014/main" id="{797EBA20-9D4A-4573-A2A8-F8E22D6D4570}"/>
            </a:ext>
          </a:extLst>
        </xdr:cNvPr>
        <xdr:cNvSpPr/>
      </xdr:nvSpPr>
      <xdr:spPr>
        <a:xfrm>
          <a:off x="56779" y="2283625"/>
          <a:ext cx="1440180" cy="99705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LIDER SALA VENTAS</a:t>
          </a:r>
        </a:p>
      </xdr:txBody>
    </xdr:sp>
    <xdr:clientData/>
  </xdr:twoCellAnchor>
  <xdr:twoCellAnchor>
    <xdr:from>
      <xdr:col>0</xdr:col>
      <xdr:colOff>60736</xdr:colOff>
      <xdr:row>16</xdr:row>
      <xdr:rowOff>166057</xdr:rowOff>
    </xdr:from>
    <xdr:to>
      <xdr:col>1</xdr:col>
      <xdr:colOff>708436</xdr:colOff>
      <xdr:row>22</xdr:row>
      <xdr:rowOff>70584</xdr:rowOff>
    </xdr:to>
    <xdr:sp macro="" textlink="">
      <xdr:nvSpPr>
        <xdr:cNvPr id="40" name="Rectángulo: esquinas redondeadas 39">
          <a:hlinkClick xmlns:r="http://schemas.openxmlformats.org/officeDocument/2006/relationships" r:id="rId22"/>
          <a:extLst>
            <a:ext uri="{FF2B5EF4-FFF2-40B4-BE49-F238E27FC236}">
              <a16:creationId xmlns:a16="http://schemas.microsoft.com/office/drawing/2014/main" id="{0A1F65CF-615E-4F0C-BCC7-3D5EEB707F6A}"/>
            </a:ext>
          </a:extLst>
        </xdr:cNvPr>
        <xdr:cNvSpPr/>
      </xdr:nvSpPr>
      <xdr:spPr>
        <a:xfrm>
          <a:off x="60736" y="3320737"/>
          <a:ext cx="1440180" cy="1001807"/>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ASESOR COMERCIAL</a:t>
          </a:r>
        </a:p>
      </xdr:txBody>
    </xdr:sp>
    <xdr:clientData/>
  </xdr:twoCellAnchor>
  <xdr:twoCellAnchor>
    <xdr:from>
      <xdr:col>0</xdr:col>
      <xdr:colOff>44903</xdr:colOff>
      <xdr:row>22</xdr:row>
      <xdr:rowOff>120533</xdr:rowOff>
    </xdr:from>
    <xdr:to>
      <xdr:col>1</xdr:col>
      <xdr:colOff>692603</xdr:colOff>
      <xdr:row>28</xdr:row>
      <xdr:rowOff>25061</xdr:rowOff>
    </xdr:to>
    <xdr:sp macro="" textlink="">
      <xdr:nvSpPr>
        <xdr:cNvPr id="41" name="Rectángulo: esquinas redondeadas 40">
          <a:hlinkClick xmlns:r="http://schemas.openxmlformats.org/officeDocument/2006/relationships" r:id="rId23"/>
          <a:extLst>
            <a:ext uri="{FF2B5EF4-FFF2-40B4-BE49-F238E27FC236}">
              <a16:creationId xmlns:a16="http://schemas.microsoft.com/office/drawing/2014/main" id="{E0D73B38-B4B3-4B2A-BC07-ABE0B0E8DF03}"/>
            </a:ext>
          </a:extLst>
        </xdr:cNvPr>
        <xdr:cNvSpPr/>
      </xdr:nvSpPr>
      <xdr:spPr>
        <a:xfrm>
          <a:off x="44903" y="4372493"/>
          <a:ext cx="1440180" cy="1001808"/>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700">
              <a:solidFill>
                <a:schemeClr val="accent1"/>
              </a:solidFill>
              <a:latin typeface="Artifakt Element Heavy" panose="020B0B03050000020004" pitchFamily="34" charset="0"/>
              <a:ea typeface="Artifakt Element Heavy" panose="020B0B03050000020004" pitchFamily="34" charset="0"/>
            </a:rPr>
            <a:t>MANUAL DE FUNCIONES </a:t>
          </a:r>
          <a:r>
            <a:rPr lang="es-CO" sz="600">
              <a:solidFill>
                <a:schemeClr val="accent1"/>
              </a:solidFill>
              <a:latin typeface="Artifakt Element Heavy" panose="020B0B03050000020004" pitchFamily="34" charset="0"/>
              <a:ea typeface="Artifakt Element Heavy" panose="020B0B03050000020004" pitchFamily="34" charset="0"/>
            </a:rPr>
            <a:t>ASESOR COMERCIAL ADMON</a:t>
          </a:r>
          <a:endParaRPr lang="es-CO" sz="700">
            <a:solidFill>
              <a:schemeClr val="accent1"/>
            </a:solidFill>
            <a:latin typeface="Artifakt Element Heavy" panose="020B0B03050000020004" pitchFamily="34" charset="0"/>
            <a:ea typeface="Artifakt Element Heavy" panose="020B0B03050000020004" pitchFamily="34" charset="0"/>
          </a:endParaRPr>
        </a:p>
      </xdr:txBody>
    </xdr:sp>
    <xdr:clientData/>
  </xdr:twoCellAnchor>
  <xdr:oneCellAnchor>
    <xdr:from>
      <xdr:col>0</xdr:col>
      <xdr:colOff>508659</xdr:colOff>
      <xdr:row>11</xdr:row>
      <xdr:rowOff>80537</xdr:rowOff>
    </xdr:from>
    <xdr:ext cx="524494" cy="524494"/>
    <xdr:pic>
      <xdr:nvPicPr>
        <xdr:cNvPr id="42" name="Imagen 41">
          <a:extLst>
            <a:ext uri="{FF2B5EF4-FFF2-40B4-BE49-F238E27FC236}">
              <a16:creationId xmlns:a16="http://schemas.microsoft.com/office/drawing/2014/main" id="{4EAB6B70-AFE2-49E7-A31F-A949EBDB299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8659" y="2320817"/>
          <a:ext cx="524494" cy="524494"/>
        </a:xfrm>
        <a:prstGeom prst="rect">
          <a:avLst/>
        </a:prstGeom>
      </xdr:spPr>
    </xdr:pic>
    <xdr:clientData/>
  </xdr:oneCellAnchor>
  <xdr:oneCellAnchor>
    <xdr:from>
      <xdr:col>0</xdr:col>
      <xdr:colOff>502721</xdr:colOff>
      <xdr:row>17</xdr:row>
      <xdr:rowOff>15223</xdr:rowOff>
    </xdr:from>
    <xdr:ext cx="524494" cy="524494"/>
    <xdr:pic>
      <xdr:nvPicPr>
        <xdr:cNvPr id="43" name="Imagen 42">
          <a:extLst>
            <a:ext uri="{FF2B5EF4-FFF2-40B4-BE49-F238E27FC236}">
              <a16:creationId xmlns:a16="http://schemas.microsoft.com/office/drawing/2014/main" id="{9EFC9837-59D0-4739-8EB4-E709B1D72C3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2721" y="3352783"/>
          <a:ext cx="524494" cy="524494"/>
        </a:xfrm>
        <a:prstGeom prst="rect">
          <a:avLst/>
        </a:prstGeom>
      </xdr:spPr>
    </xdr:pic>
    <xdr:clientData/>
  </xdr:oneCellAnchor>
  <xdr:oneCellAnchor>
    <xdr:from>
      <xdr:col>0</xdr:col>
      <xdr:colOff>506679</xdr:colOff>
      <xdr:row>22</xdr:row>
      <xdr:rowOff>157726</xdr:rowOff>
    </xdr:from>
    <xdr:ext cx="524494" cy="524494"/>
    <xdr:pic>
      <xdr:nvPicPr>
        <xdr:cNvPr id="44" name="Imagen 43">
          <a:extLst>
            <a:ext uri="{FF2B5EF4-FFF2-40B4-BE49-F238E27FC236}">
              <a16:creationId xmlns:a16="http://schemas.microsoft.com/office/drawing/2014/main" id="{5537866B-099B-405C-9D9C-5F7CCDCD51C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06679" y="4409686"/>
          <a:ext cx="524494" cy="524494"/>
        </a:xfrm>
        <a:prstGeom prst="rect">
          <a:avLst/>
        </a:prstGeom>
      </xdr:spPr>
    </xdr:pic>
    <xdr:clientData/>
  </xdr:oneCellAnchor>
  <xdr:twoCellAnchor>
    <xdr:from>
      <xdr:col>24</xdr:col>
      <xdr:colOff>60738</xdr:colOff>
      <xdr:row>11</xdr:row>
      <xdr:rowOff>50099</xdr:rowOff>
    </xdr:from>
    <xdr:to>
      <xdr:col>24</xdr:col>
      <xdr:colOff>1500126</xdr:colOff>
      <xdr:row>16</xdr:row>
      <xdr:rowOff>122489</xdr:rowOff>
    </xdr:to>
    <xdr:sp macro="" textlink="">
      <xdr:nvSpPr>
        <xdr:cNvPr id="45" name="Rectángulo: esquinas redondeadas 44">
          <a:hlinkClick xmlns:r="http://schemas.openxmlformats.org/officeDocument/2006/relationships" r:id="rId24"/>
          <a:extLst>
            <a:ext uri="{FF2B5EF4-FFF2-40B4-BE49-F238E27FC236}">
              <a16:creationId xmlns:a16="http://schemas.microsoft.com/office/drawing/2014/main" id="{19FCA964-8F9F-4CF0-B2A7-CB2FDAA249B0}"/>
            </a:ext>
          </a:extLst>
        </xdr:cNvPr>
        <xdr:cNvSpPr/>
      </xdr:nvSpPr>
      <xdr:spPr>
        <a:xfrm>
          <a:off x="23774178" y="2290379"/>
          <a:ext cx="1439388" cy="98679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LIDER SALA DE VENTAS</a:t>
          </a:r>
        </a:p>
      </xdr:txBody>
    </xdr:sp>
    <xdr:clientData/>
  </xdr:twoCellAnchor>
  <xdr:oneCellAnchor>
    <xdr:from>
      <xdr:col>24</xdr:col>
      <xdr:colOff>528454</xdr:colOff>
      <xdr:row>11</xdr:row>
      <xdr:rowOff>135373</xdr:rowOff>
    </xdr:from>
    <xdr:ext cx="484907" cy="484907"/>
    <xdr:pic>
      <xdr:nvPicPr>
        <xdr:cNvPr id="46" name="Imagen 45">
          <a:extLst>
            <a:ext uri="{FF2B5EF4-FFF2-40B4-BE49-F238E27FC236}">
              <a16:creationId xmlns:a16="http://schemas.microsoft.com/office/drawing/2014/main" id="{74D021DE-798F-4D4D-8232-EE09FD1AB81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1894" y="2375653"/>
          <a:ext cx="484907" cy="484907"/>
        </a:xfrm>
        <a:prstGeom prst="rect">
          <a:avLst/>
        </a:prstGeom>
      </xdr:spPr>
    </xdr:pic>
    <xdr:clientData/>
  </xdr:oneCellAnchor>
  <xdr:twoCellAnchor>
    <xdr:from>
      <xdr:col>24</xdr:col>
      <xdr:colOff>64698</xdr:colOff>
      <xdr:row>16</xdr:row>
      <xdr:rowOff>172811</xdr:rowOff>
    </xdr:from>
    <xdr:to>
      <xdr:col>24</xdr:col>
      <xdr:colOff>1504086</xdr:colOff>
      <xdr:row>22</xdr:row>
      <xdr:rowOff>67070</xdr:rowOff>
    </xdr:to>
    <xdr:sp macro="" textlink="">
      <xdr:nvSpPr>
        <xdr:cNvPr id="47" name="Rectángulo: esquinas redondeadas 46">
          <a:hlinkClick xmlns:r="http://schemas.openxmlformats.org/officeDocument/2006/relationships" r:id="rId25"/>
          <a:extLst>
            <a:ext uri="{FF2B5EF4-FFF2-40B4-BE49-F238E27FC236}">
              <a16:creationId xmlns:a16="http://schemas.microsoft.com/office/drawing/2014/main" id="{5A12084E-0765-45A5-B619-68FAE10D9D55}"/>
            </a:ext>
          </a:extLst>
        </xdr:cNvPr>
        <xdr:cNvSpPr/>
      </xdr:nvSpPr>
      <xdr:spPr>
        <a:xfrm>
          <a:off x="23778138" y="3327491"/>
          <a:ext cx="1439388" cy="99153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700">
              <a:solidFill>
                <a:schemeClr val="accent1"/>
              </a:solidFill>
              <a:latin typeface="Artifakt Element Heavy" panose="020B0B03050000020004" pitchFamily="34" charset="0"/>
              <a:ea typeface="Artifakt Element Heavy" panose="020B0B03050000020004" pitchFamily="34" charset="0"/>
            </a:rPr>
            <a:t>ASESOR COMERCIAL</a:t>
          </a:r>
        </a:p>
      </xdr:txBody>
    </xdr:sp>
    <xdr:clientData/>
  </xdr:twoCellAnchor>
  <xdr:oneCellAnchor>
    <xdr:from>
      <xdr:col>24</xdr:col>
      <xdr:colOff>532414</xdr:colOff>
      <xdr:row>17</xdr:row>
      <xdr:rowOff>79955</xdr:rowOff>
    </xdr:from>
    <xdr:ext cx="484907" cy="484907"/>
    <xdr:pic>
      <xdr:nvPicPr>
        <xdr:cNvPr id="48" name="Imagen 47">
          <a:extLst>
            <a:ext uri="{FF2B5EF4-FFF2-40B4-BE49-F238E27FC236}">
              <a16:creationId xmlns:a16="http://schemas.microsoft.com/office/drawing/2014/main" id="{6A1903E5-66B7-4D89-9E47-16D58E79EF8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45854" y="3417515"/>
          <a:ext cx="484907" cy="484907"/>
        </a:xfrm>
        <a:prstGeom prst="rect">
          <a:avLst/>
        </a:prstGeom>
      </xdr:spPr>
    </xdr:pic>
    <xdr:clientData/>
  </xdr:oneCellAnchor>
  <xdr:twoCellAnchor>
    <xdr:from>
      <xdr:col>24</xdr:col>
      <xdr:colOff>58760</xdr:colOff>
      <xdr:row>22</xdr:row>
      <xdr:rowOff>117392</xdr:rowOff>
    </xdr:from>
    <xdr:to>
      <xdr:col>24</xdr:col>
      <xdr:colOff>1498148</xdr:colOff>
      <xdr:row>28</xdr:row>
      <xdr:rowOff>11652</xdr:rowOff>
    </xdr:to>
    <xdr:sp macro="" textlink="">
      <xdr:nvSpPr>
        <xdr:cNvPr id="49" name="Rectángulo: esquinas redondeadas 48">
          <a:hlinkClick xmlns:r="http://schemas.openxmlformats.org/officeDocument/2006/relationships" r:id="rId26"/>
          <a:extLst>
            <a:ext uri="{FF2B5EF4-FFF2-40B4-BE49-F238E27FC236}">
              <a16:creationId xmlns:a16="http://schemas.microsoft.com/office/drawing/2014/main" id="{A0ACF64F-9955-4D40-8B84-6522F491370F}"/>
            </a:ext>
          </a:extLst>
        </xdr:cNvPr>
        <xdr:cNvSpPr/>
      </xdr:nvSpPr>
      <xdr:spPr>
        <a:xfrm>
          <a:off x="23772200" y="4369352"/>
          <a:ext cx="1439388" cy="99154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900">
              <a:solidFill>
                <a:schemeClr val="accent1"/>
              </a:solidFill>
              <a:latin typeface="Artifakt Element Heavy" panose="020B0B03050000020004" pitchFamily="34" charset="0"/>
              <a:ea typeface="Artifakt Element Heavy" panose="020B0B03050000020004" pitchFamily="34" charset="0"/>
            </a:rPr>
            <a:t>KPI´S </a:t>
          </a:r>
        </a:p>
        <a:p>
          <a:pPr algn="ctr"/>
          <a:r>
            <a:rPr lang="es-CO" sz="900">
              <a:solidFill>
                <a:schemeClr val="accent1"/>
              </a:solidFill>
              <a:latin typeface="Artifakt Element Heavy" panose="020B0B03050000020004" pitchFamily="34" charset="0"/>
              <a:ea typeface="Artifakt Element Heavy" panose="020B0B03050000020004" pitchFamily="34" charset="0"/>
            </a:rPr>
            <a:t>ASESOR COMERCIAL ADMON</a:t>
          </a:r>
        </a:p>
      </xdr:txBody>
    </xdr:sp>
    <xdr:clientData/>
  </xdr:twoCellAnchor>
  <xdr:oneCellAnchor>
    <xdr:from>
      <xdr:col>24</xdr:col>
      <xdr:colOff>526476</xdr:colOff>
      <xdr:row>23</xdr:row>
      <xdr:rowOff>24536</xdr:rowOff>
    </xdr:from>
    <xdr:ext cx="484907" cy="484907"/>
    <xdr:pic>
      <xdr:nvPicPr>
        <xdr:cNvPr id="50" name="Imagen 49">
          <a:extLst>
            <a:ext uri="{FF2B5EF4-FFF2-40B4-BE49-F238E27FC236}">
              <a16:creationId xmlns:a16="http://schemas.microsoft.com/office/drawing/2014/main" id="{0757CC08-6C6D-4C42-AA97-31DADE12F9B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239916" y="4459376"/>
          <a:ext cx="484907" cy="484907"/>
        </a:xfrm>
        <a:prstGeom prst="rect">
          <a:avLst/>
        </a:prstGeom>
      </xdr:spPr>
    </xdr:pic>
    <xdr:clientData/>
  </xdr:oneCellAnchor>
  <xdr:twoCellAnchor>
    <xdr:from>
      <xdr:col>3</xdr:col>
      <xdr:colOff>57149</xdr:colOff>
      <xdr:row>9</xdr:row>
      <xdr:rowOff>20956</xdr:rowOff>
    </xdr:from>
    <xdr:to>
      <xdr:col>4</xdr:col>
      <xdr:colOff>1227116</xdr:colOff>
      <xdr:row>10</xdr:row>
      <xdr:rowOff>98962</xdr:rowOff>
    </xdr:to>
    <xdr:sp macro="" textlink="$A$65">
      <xdr:nvSpPr>
        <xdr:cNvPr id="51" name="Rectángulo 50">
          <a:extLst>
            <a:ext uri="{FF2B5EF4-FFF2-40B4-BE49-F238E27FC236}">
              <a16:creationId xmlns:a16="http://schemas.microsoft.com/office/drawing/2014/main" id="{9F9B1E9D-EC71-49EF-B4DE-B962CAF3E333}"/>
            </a:ext>
          </a:extLst>
        </xdr:cNvPr>
        <xdr:cNvSpPr/>
      </xdr:nvSpPr>
      <xdr:spPr>
        <a:xfrm>
          <a:off x="2084069" y="1895476"/>
          <a:ext cx="277778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3D07D8-2C8A-4E10-82FE-573E7CD5990F}" type="TxLink">
            <a:rPr lang="en-US" sz="900" b="1" i="0" u="none" strike="noStrike">
              <a:solidFill>
                <a:srgbClr val="000000"/>
              </a:solidFill>
              <a:latin typeface="Aptos Narrow"/>
            </a:rPr>
            <a:pPr algn="l"/>
            <a:t>Estrategia y Planificación Comercial</a:t>
          </a:fld>
          <a:endParaRPr lang="es-CO" sz="1100">
            <a:solidFill>
              <a:sysClr val="windowText" lastClr="000000"/>
            </a:solidFill>
          </a:endParaRPr>
        </a:p>
      </xdr:txBody>
    </xdr:sp>
    <xdr:clientData/>
  </xdr:twoCellAnchor>
  <xdr:twoCellAnchor>
    <xdr:from>
      <xdr:col>3</xdr:col>
      <xdr:colOff>1206500</xdr:colOff>
      <xdr:row>26</xdr:row>
      <xdr:rowOff>127001</xdr:rowOff>
    </xdr:from>
    <xdr:to>
      <xdr:col>5</xdr:col>
      <xdr:colOff>266700</xdr:colOff>
      <xdr:row>39</xdr:row>
      <xdr:rowOff>76201</xdr:rowOff>
    </xdr:to>
    <xdr:graphicFrame macro="">
      <xdr:nvGraphicFramePr>
        <xdr:cNvPr id="52" name="Gráfico 51">
          <a:extLst>
            <a:ext uri="{FF2B5EF4-FFF2-40B4-BE49-F238E27FC236}">
              <a16:creationId xmlns:a16="http://schemas.microsoft.com/office/drawing/2014/main" id="{627F6831-16F5-4EFD-9FA8-9A73AD8B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482600</xdr:colOff>
      <xdr:row>30</xdr:row>
      <xdr:rowOff>133301</xdr:rowOff>
    </xdr:from>
    <xdr:to>
      <xdr:col>4</xdr:col>
      <xdr:colOff>1415077</xdr:colOff>
      <xdr:row>34</xdr:row>
      <xdr:rowOff>121871</xdr:rowOff>
    </xdr:to>
    <xdr:sp macro="" textlink="$B$73">
      <xdr:nvSpPr>
        <xdr:cNvPr id="53" name="Rectángulo 52">
          <a:extLst>
            <a:ext uri="{FF2B5EF4-FFF2-40B4-BE49-F238E27FC236}">
              <a16:creationId xmlns:a16="http://schemas.microsoft.com/office/drawing/2014/main" id="{F948103C-B2C0-4833-9A82-F91B2408BFFC}"/>
            </a:ext>
          </a:extLst>
        </xdr:cNvPr>
        <xdr:cNvSpPr/>
      </xdr:nvSpPr>
      <xdr:spPr>
        <a:xfrm>
          <a:off x="4117340" y="58483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12F86-146D-46A1-819C-080CBABE43EE}" type="TxLink">
            <a:rPr lang="en-US" sz="2400" b="0" i="0" u="none" strike="noStrike">
              <a:solidFill>
                <a:schemeClr val="accent2"/>
              </a:solidFill>
              <a:latin typeface="Bahnschrift SemiBold SemiConden" panose="020B0502040204020203" pitchFamily="34" charset="0"/>
            </a:rPr>
            <a:pPr algn="l"/>
            <a:t>94%</a:t>
          </a:fld>
          <a:endParaRPr lang="es-CO" sz="7200" b="1">
            <a:solidFill>
              <a:schemeClr val="accent2"/>
            </a:solidFill>
            <a:latin typeface="Bahnschrift SemiBold SemiConden" panose="020B0502040204020203" pitchFamily="34" charset="0"/>
          </a:endParaRPr>
        </a:p>
      </xdr:txBody>
    </xdr:sp>
    <xdr:clientData/>
  </xdr:twoCellAnchor>
  <xdr:twoCellAnchor>
    <xdr:from>
      <xdr:col>2</xdr:col>
      <xdr:colOff>9898</xdr:colOff>
      <xdr:row>27</xdr:row>
      <xdr:rowOff>62593</xdr:rowOff>
    </xdr:from>
    <xdr:to>
      <xdr:col>4</xdr:col>
      <xdr:colOff>258124</xdr:colOff>
      <xdr:row>37</xdr:row>
      <xdr:rowOff>49480</xdr:rowOff>
    </xdr:to>
    <xdr:graphicFrame macro="">
      <xdr:nvGraphicFramePr>
        <xdr:cNvPr id="54" name="Gráfico 53">
          <a:extLst>
            <a:ext uri="{FF2B5EF4-FFF2-40B4-BE49-F238E27FC236}">
              <a16:creationId xmlns:a16="http://schemas.microsoft.com/office/drawing/2014/main" id="{588D7A30-6AF8-4E98-8945-AA535065A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12064</xdr:colOff>
      <xdr:row>27</xdr:row>
      <xdr:rowOff>78105</xdr:rowOff>
    </xdr:from>
    <xdr:to>
      <xdr:col>4</xdr:col>
      <xdr:colOff>1085767</xdr:colOff>
      <xdr:row>29</xdr:row>
      <xdr:rowOff>0</xdr:rowOff>
    </xdr:to>
    <xdr:sp macro="" textlink="$A$67">
      <xdr:nvSpPr>
        <xdr:cNvPr id="55" name="Rectángulo 54">
          <a:extLst>
            <a:ext uri="{FF2B5EF4-FFF2-40B4-BE49-F238E27FC236}">
              <a16:creationId xmlns:a16="http://schemas.microsoft.com/office/drawing/2014/main" id="{2A4DD0F0-5E8C-4097-830B-FE1E3675ABAD}"/>
            </a:ext>
          </a:extLst>
        </xdr:cNvPr>
        <xdr:cNvSpPr/>
      </xdr:nvSpPr>
      <xdr:spPr>
        <a:xfrm>
          <a:off x="2038984" y="5244465"/>
          <a:ext cx="268152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8E57EB-F09B-4A66-A074-95FAF6C5C1F3}"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3</xdr:col>
      <xdr:colOff>419100</xdr:colOff>
      <xdr:row>30</xdr:row>
      <xdr:rowOff>172712</xdr:rowOff>
    </xdr:from>
    <xdr:to>
      <xdr:col>3</xdr:col>
      <xdr:colOff>1359066</xdr:colOff>
      <xdr:row>34</xdr:row>
      <xdr:rowOff>150182</xdr:rowOff>
    </xdr:to>
    <xdr:sp macro="" textlink="$B$67">
      <xdr:nvSpPr>
        <xdr:cNvPr id="56" name="Rectángulo 55">
          <a:extLst>
            <a:ext uri="{FF2B5EF4-FFF2-40B4-BE49-F238E27FC236}">
              <a16:creationId xmlns:a16="http://schemas.microsoft.com/office/drawing/2014/main" id="{26350A83-B701-4865-A8B4-CDD8422103AC}"/>
            </a:ext>
          </a:extLst>
        </xdr:cNvPr>
        <xdr:cNvSpPr/>
      </xdr:nvSpPr>
      <xdr:spPr>
        <a:xfrm>
          <a:off x="2446020" y="58877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A531075-0DF5-47F5-9E0C-35FB255065FF}" type="TxLink">
            <a:rPr lang="en-US" sz="2400" b="0" i="0" u="none" strike="noStrike">
              <a:solidFill>
                <a:srgbClr val="5DAEFF"/>
              </a:solidFill>
              <a:latin typeface="Bahnschrift SemiBold SemiConden" panose="020B0502040204020203" pitchFamily="34" charset="0"/>
            </a:rPr>
            <a:pPr algn="l"/>
            <a:t>30%</a:t>
          </a:fld>
          <a:endParaRPr lang="es-CO" sz="2400">
            <a:solidFill>
              <a:srgbClr val="5DAEFF"/>
            </a:solidFill>
            <a:latin typeface="Bahnschrift SemiBold SemiConden" panose="020B0502040204020203" pitchFamily="34" charset="0"/>
          </a:endParaRPr>
        </a:p>
      </xdr:txBody>
    </xdr:sp>
    <xdr:clientData/>
  </xdr:twoCellAnchor>
  <xdr:twoCellAnchor>
    <xdr:from>
      <xdr:col>3</xdr:col>
      <xdr:colOff>46355</xdr:colOff>
      <xdr:row>36</xdr:row>
      <xdr:rowOff>77470</xdr:rowOff>
    </xdr:from>
    <xdr:to>
      <xdr:col>4</xdr:col>
      <xdr:colOff>401320</xdr:colOff>
      <xdr:row>38</xdr:row>
      <xdr:rowOff>12700</xdr:rowOff>
    </xdr:to>
    <xdr:sp macro="" textlink="$A$68">
      <xdr:nvSpPr>
        <xdr:cNvPr id="57" name="Rectángulo 56">
          <a:extLst>
            <a:ext uri="{FF2B5EF4-FFF2-40B4-BE49-F238E27FC236}">
              <a16:creationId xmlns:a16="http://schemas.microsoft.com/office/drawing/2014/main" id="{A95660DE-933B-4E6D-9F68-71E57C1B08B4}"/>
            </a:ext>
          </a:extLst>
        </xdr:cNvPr>
        <xdr:cNvSpPr/>
      </xdr:nvSpPr>
      <xdr:spPr>
        <a:xfrm>
          <a:off x="2073275" y="6889750"/>
          <a:ext cx="196278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54BDE8-124D-4AF6-B77A-C0F17417990D}" type="TxLink">
            <a:rPr lang="en-US" sz="900" b="1" i="0" u="none" strike="noStrike">
              <a:solidFill>
                <a:srgbClr val="000000"/>
              </a:solidFill>
              <a:latin typeface="Aptos Narrow"/>
            </a:rPr>
            <a:pPr algn="l"/>
            <a:t>Gestión Documental y Procesos Legales/Internos</a:t>
          </a:fld>
          <a:endParaRPr lang="es-CO" sz="1100">
            <a:solidFill>
              <a:sysClr val="windowText" lastClr="000000"/>
            </a:solidFill>
          </a:endParaRPr>
        </a:p>
      </xdr:txBody>
    </xdr:sp>
    <xdr:clientData/>
  </xdr:twoCellAnchor>
  <xdr:twoCellAnchor>
    <xdr:from>
      <xdr:col>2</xdr:col>
      <xdr:colOff>38100</xdr:colOff>
      <xdr:row>36</xdr:row>
      <xdr:rowOff>63500</xdr:rowOff>
    </xdr:from>
    <xdr:to>
      <xdr:col>4</xdr:col>
      <xdr:colOff>286326</xdr:colOff>
      <xdr:row>46</xdr:row>
      <xdr:rowOff>63087</xdr:rowOff>
    </xdr:to>
    <xdr:graphicFrame macro="">
      <xdr:nvGraphicFramePr>
        <xdr:cNvPr id="58" name="Gráfico 57">
          <a:extLst>
            <a:ext uri="{FF2B5EF4-FFF2-40B4-BE49-F238E27FC236}">
              <a16:creationId xmlns:a16="http://schemas.microsoft.com/office/drawing/2014/main" id="{2E917417-1F6A-4618-B37B-EF20406D2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xdr:col>
      <xdr:colOff>431800</xdr:colOff>
      <xdr:row>40</xdr:row>
      <xdr:rowOff>33919</xdr:rowOff>
    </xdr:from>
    <xdr:to>
      <xdr:col>3</xdr:col>
      <xdr:colOff>1374568</xdr:colOff>
      <xdr:row>44</xdr:row>
      <xdr:rowOff>11389</xdr:rowOff>
    </xdr:to>
    <xdr:sp macro="" textlink="$B$68">
      <xdr:nvSpPr>
        <xdr:cNvPr id="59" name="Rectángulo 58">
          <a:extLst>
            <a:ext uri="{FF2B5EF4-FFF2-40B4-BE49-F238E27FC236}">
              <a16:creationId xmlns:a16="http://schemas.microsoft.com/office/drawing/2014/main" id="{4DF3A8DD-8634-43E3-AD24-519D9DBD85E1}"/>
            </a:ext>
          </a:extLst>
        </xdr:cNvPr>
        <xdr:cNvSpPr/>
      </xdr:nvSpPr>
      <xdr:spPr>
        <a:xfrm>
          <a:off x="2458720" y="7577719"/>
          <a:ext cx="942768"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397614-A3C7-4E47-969D-F2E581A381A7}" type="TxLink">
            <a:rPr lang="en-US" sz="2400" b="0" i="0" u="none" strike="noStrike">
              <a:solidFill>
                <a:schemeClr val="tx2">
                  <a:lumMod val="50000"/>
                  <a:lumOff val="50000"/>
                </a:schemeClr>
              </a:solidFill>
              <a:latin typeface="Bahnschrift SemiBold SemiConden" panose="020B0502040204020203" pitchFamily="34" charset="0"/>
            </a:rPr>
            <a:pPr algn="l"/>
            <a:t>10%</a:t>
          </a:fld>
          <a:endParaRPr lang="es-CO" sz="4800">
            <a:solidFill>
              <a:schemeClr val="tx2">
                <a:lumMod val="50000"/>
                <a:lumOff val="50000"/>
              </a:schemeClr>
            </a:solidFill>
            <a:latin typeface="Bahnschrift SemiBold SemiConden" panose="020B0502040204020203" pitchFamily="34" charset="0"/>
          </a:endParaRPr>
        </a:p>
      </xdr:txBody>
    </xdr:sp>
    <xdr:clientData/>
  </xdr:twoCellAnchor>
  <xdr:twoCellAnchor>
    <xdr:from>
      <xdr:col>3</xdr:col>
      <xdr:colOff>1168400</xdr:colOff>
      <xdr:row>35</xdr:row>
      <xdr:rowOff>25400</xdr:rowOff>
    </xdr:from>
    <xdr:to>
      <xdr:col>5</xdr:col>
      <xdr:colOff>266700</xdr:colOff>
      <xdr:row>49</xdr:row>
      <xdr:rowOff>76200</xdr:rowOff>
    </xdr:to>
    <xdr:graphicFrame macro="">
      <xdr:nvGraphicFramePr>
        <xdr:cNvPr id="60" name="Gráfico 59">
          <a:extLst>
            <a:ext uri="{FF2B5EF4-FFF2-40B4-BE49-F238E27FC236}">
              <a16:creationId xmlns:a16="http://schemas.microsoft.com/office/drawing/2014/main" id="{054D1CA0-81FF-4EE8-B5EE-7FE859DD4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431800</xdr:colOff>
      <xdr:row>39</xdr:row>
      <xdr:rowOff>126206</xdr:rowOff>
    </xdr:from>
    <xdr:to>
      <xdr:col>4</xdr:col>
      <xdr:colOff>1287219</xdr:colOff>
      <xdr:row>43</xdr:row>
      <xdr:rowOff>114776</xdr:rowOff>
    </xdr:to>
    <xdr:sp macro="" textlink="$B$74">
      <xdr:nvSpPr>
        <xdr:cNvPr id="61" name="Rectángulo 60">
          <a:extLst>
            <a:ext uri="{FF2B5EF4-FFF2-40B4-BE49-F238E27FC236}">
              <a16:creationId xmlns:a16="http://schemas.microsoft.com/office/drawing/2014/main" id="{1E65C8F3-F8ED-4C51-A7BD-0A25B74C9F9F}"/>
            </a:ext>
          </a:extLst>
        </xdr:cNvPr>
        <xdr:cNvSpPr/>
      </xdr:nvSpPr>
      <xdr:spPr>
        <a:xfrm>
          <a:off x="4066540" y="74871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CF9677-B3B5-4374-B430-B5B9F02553B2}" type="TxLink">
            <a:rPr lang="en-US" sz="2400" b="0" i="0" u="none" strike="noStrike">
              <a:solidFill>
                <a:schemeClr val="accent2"/>
              </a:solidFill>
              <a:latin typeface="Bahnschrift SemiBold SemiConden" panose="020B0502040204020203" pitchFamily="34" charset="0"/>
            </a:rPr>
            <a:pPr algn="l"/>
            <a:t>94%</a:t>
          </a:fld>
          <a:endParaRPr lang="es-CO" sz="16600" b="1">
            <a:solidFill>
              <a:schemeClr val="accent2"/>
            </a:solidFill>
            <a:latin typeface="Bahnschrift SemiBold SemiConden" panose="020B0502040204020203" pitchFamily="34" charset="0"/>
          </a:endParaRPr>
        </a:p>
      </xdr:txBody>
    </xdr:sp>
    <xdr:clientData/>
  </xdr:twoCellAnchor>
  <xdr:twoCellAnchor>
    <xdr:from>
      <xdr:col>5</xdr:col>
      <xdr:colOff>278951</xdr:colOff>
      <xdr:row>8</xdr:row>
      <xdr:rowOff>184892</xdr:rowOff>
    </xdr:from>
    <xdr:to>
      <xdr:col>7</xdr:col>
      <xdr:colOff>315686</xdr:colOff>
      <xdr:row>19</xdr:row>
      <xdr:rowOff>14185</xdr:rowOff>
    </xdr:to>
    <xdr:graphicFrame macro="">
      <xdr:nvGraphicFramePr>
        <xdr:cNvPr id="62" name="Gráfico 61">
          <a:extLst>
            <a:ext uri="{FF2B5EF4-FFF2-40B4-BE49-F238E27FC236}">
              <a16:creationId xmlns:a16="http://schemas.microsoft.com/office/drawing/2014/main" id="{347E4F60-6868-4BA2-821A-C35A4A618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1215240</xdr:colOff>
      <xdr:row>6</xdr:row>
      <xdr:rowOff>104570</xdr:rowOff>
    </xdr:from>
    <xdr:to>
      <xdr:col>8</xdr:col>
      <xdr:colOff>228599</xdr:colOff>
      <xdr:row>21</xdr:row>
      <xdr:rowOff>127000</xdr:rowOff>
    </xdr:to>
    <xdr:graphicFrame macro="">
      <xdr:nvGraphicFramePr>
        <xdr:cNvPr id="63" name="Gráfico 62">
          <a:extLst>
            <a:ext uri="{FF2B5EF4-FFF2-40B4-BE49-F238E27FC236}">
              <a16:creationId xmlns:a16="http://schemas.microsoft.com/office/drawing/2014/main" id="{DF442A76-8E72-4513-BDC8-CD7BE33A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xdr:col>
      <xdr:colOff>1232848</xdr:colOff>
      <xdr:row>16</xdr:row>
      <xdr:rowOff>125102</xdr:rowOff>
    </xdr:from>
    <xdr:to>
      <xdr:col>8</xdr:col>
      <xdr:colOff>330200</xdr:colOff>
      <xdr:row>31</xdr:row>
      <xdr:rowOff>63500</xdr:rowOff>
    </xdr:to>
    <xdr:graphicFrame macro="">
      <xdr:nvGraphicFramePr>
        <xdr:cNvPr id="64" name="Gráfico 63">
          <a:extLst>
            <a:ext uri="{FF2B5EF4-FFF2-40B4-BE49-F238E27FC236}">
              <a16:creationId xmlns:a16="http://schemas.microsoft.com/office/drawing/2014/main" id="{8BD2A5D2-171D-4103-A626-E5CDFBF1E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xdr:col>
      <xdr:colOff>264397</xdr:colOff>
      <xdr:row>17</xdr:row>
      <xdr:rowOff>152728</xdr:rowOff>
    </xdr:from>
    <xdr:to>
      <xdr:col>7</xdr:col>
      <xdr:colOff>349662</xdr:colOff>
      <xdr:row>27</xdr:row>
      <xdr:rowOff>162296</xdr:rowOff>
    </xdr:to>
    <xdr:graphicFrame macro="">
      <xdr:nvGraphicFramePr>
        <xdr:cNvPr id="65" name="Gráfico 64">
          <a:extLst>
            <a:ext uri="{FF2B5EF4-FFF2-40B4-BE49-F238E27FC236}">
              <a16:creationId xmlns:a16="http://schemas.microsoft.com/office/drawing/2014/main" id="{40BC778C-EB3D-4834-BC94-1C5EC4088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xdr:col>
      <xdr:colOff>596900</xdr:colOff>
      <xdr:row>12</xdr:row>
      <xdr:rowOff>93188</xdr:rowOff>
    </xdr:from>
    <xdr:to>
      <xdr:col>6</xdr:col>
      <xdr:colOff>1469242</xdr:colOff>
      <xdr:row>16</xdr:row>
      <xdr:rowOff>60803</xdr:rowOff>
    </xdr:to>
    <xdr:sp macro="" textlink="$B$79">
      <xdr:nvSpPr>
        <xdr:cNvPr id="66" name="Rectángulo 65">
          <a:extLst>
            <a:ext uri="{FF2B5EF4-FFF2-40B4-BE49-F238E27FC236}">
              <a16:creationId xmlns:a16="http://schemas.microsoft.com/office/drawing/2014/main" id="{489260EC-E7FE-46ED-9752-E756E805E535}"/>
            </a:ext>
          </a:extLst>
        </xdr:cNvPr>
        <xdr:cNvSpPr/>
      </xdr:nvSpPr>
      <xdr:spPr>
        <a:xfrm>
          <a:off x="6250940" y="25163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6BCCF-D0AA-4E12-A142-E04E7285F328}"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34290</xdr:colOff>
      <xdr:row>18</xdr:row>
      <xdr:rowOff>55245</xdr:rowOff>
    </xdr:from>
    <xdr:to>
      <xdr:col>7</xdr:col>
      <xdr:colOff>1068780</xdr:colOff>
      <xdr:row>20</xdr:row>
      <xdr:rowOff>0</xdr:rowOff>
    </xdr:to>
    <xdr:sp macro="" textlink="$A$80">
      <xdr:nvSpPr>
        <xdr:cNvPr id="67" name="Rectángulo 66">
          <a:extLst>
            <a:ext uri="{FF2B5EF4-FFF2-40B4-BE49-F238E27FC236}">
              <a16:creationId xmlns:a16="http://schemas.microsoft.com/office/drawing/2014/main" id="{0AD7E774-E20C-4DB6-A1FD-2052370FB990}"/>
            </a:ext>
          </a:extLst>
        </xdr:cNvPr>
        <xdr:cNvSpPr/>
      </xdr:nvSpPr>
      <xdr:spPr>
        <a:xfrm>
          <a:off x="568833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17D805-10F0-443C-8F68-0FB57E349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6</xdr:col>
      <xdr:colOff>596900</xdr:colOff>
      <xdr:row>21</xdr:row>
      <xdr:rowOff>84562</xdr:rowOff>
    </xdr:from>
    <xdr:to>
      <xdr:col>6</xdr:col>
      <xdr:colOff>1432626</xdr:colOff>
      <xdr:row>25</xdr:row>
      <xdr:rowOff>57892</xdr:rowOff>
    </xdr:to>
    <xdr:sp macro="" textlink="$B$80">
      <xdr:nvSpPr>
        <xdr:cNvPr id="68" name="Rectángulo 67">
          <a:extLst>
            <a:ext uri="{FF2B5EF4-FFF2-40B4-BE49-F238E27FC236}">
              <a16:creationId xmlns:a16="http://schemas.microsoft.com/office/drawing/2014/main" id="{44237736-C171-4673-BBD5-8B9D8C9DEC00}"/>
            </a:ext>
          </a:extLst>
        </xdr:cNvPr>
        <xdr:cNvSpPr/>
      </xdr:nvSpPr>
      <xdr:spPr>
        <a:xfrm>
          <a:off x="6250940" y="41536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2A036D-9C6E-4E79-A643-0D978971BDA2}"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508001</xdr:colOff>
      <xdr:row>12</xdr:row>
      <xdr:rowOff>107052</xdr:rowOff>
    </xdr:from>
    <xdr:to>
      <xdr:col>7</xdr:col>
      <xdr:colOff>1377151</xdr:colOff>
      <xdr:row>16</xdr:row>
      <xdr:rowOff>86097</xdr:rowOff>
    </xdr:to>
    <xdr:sp macro="" textlink="$B$85">
      <xdr:nvSpPr>
        <xdr:cNvPr id="69" name="Rectángulo 68">
          <a:extLst>
            <a:ext uri="{FF2B5EF4-FFF2-40B4-BE49-F238E27FC236}">
              <a16:creationId xmlns:a16="http://schemas.microsoft.com/office/drawing/2014/main" id="{C743F746-CAB0-44AE-AA1D-FC3E4C6B0656}"/>
            </a:ext>
          </a:extLst>
        </xdr:cNvPr>
        <xdr:cNvSpPr/>
      </xdr:nvSpPr>
      <xdr:spPr>
        <a:xfrm>
          <a:off x="7777481" y="25302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164A49-02F3-4C92-B32B-7DFAD6F12063}" type="TxLink">
            <a:rPr lang="en-US" sz="2400" b="0" i="0" u="none" strike="noStrike">
              <a:solidFill>
                <a:schemeClr val="accent2"/>
              </a:solidFill>
              <a:latin typeface="Bahnschrift SemiBold Condensed" panose="020B0502040204020203" pitchFamily="34" charset="0"/>
            </a:rPr>
            <a:pPr algn="l"/>
            <a:t>93%</a:t>
          </a:fld>
          <a:endParaRPr lang="es-CO" sz="2400" b="1">
            <a:solidFill>
              <a:schemeClr val="accent2"/>
            </a:solidFill>
            <a:latin typeface="Bahnschrift SemiBold Condensed" panose="020B0502040204020203" pitchFamily="34" charset="0"/>
          </a:endParaRPr>
        </a:p>
      </xdr:txBody>
    </xdr:sp>
    <xdr:clientData/>
  </xdr:twoCellAnchor>
  <xdr:twoCellAnchor>
    <xdr:from>
      <xdr:col>7</xdr:col>
      <xdr:colOff>469900</xdr:colOff>
      <xdr:row>21</xdr:row>
      <xdr:rowOff>64664</xdr:rowOff>
    </xdr:from>
    <xdr:to>
      <xdr:col>7</xdr:col>
      <xdr:colOff>1471773</xdr:colOff>
      <xdr:row>25</xdr:row>
      <xdr:rowOff>45614</xdr:rowOff>
    </xdr:to>
    <xdr:sp macro="" textlink="$B$86">
      <xdr:nvSpPr>
        <xdr:cNvPr id="70" name="Rectángulo 69">
          <a:extLst>
            <a:ext uri="{FF2B5EF4-FFF2-40B4-BE49-F238E27FC236}">
              <a16:creationId xmlns:a16="http://schemas.microsoft.com/office/drawing/2014/main" id="{2A455664-AD2A-45D3-8544-CD048A86694E}"/>
            </a:ext>
          </a:extLst>
        </xdr:cNvPr>
        <xdr:cNvSpPr/>
      </xdr:nvSpPr>
      <xdr:spPr>
        <a:xfrm>
          <a:off x="7739380" y="41337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A7C717-D3BA-4729-B3C3-5B856689DDD1}" type="TxLink">
            <a:rPr lang="en-US" sz="2400" b="0" i="0" u="none" strike="noStrike">
              <a:solidFill>
                <a:schemeClr val="accent2"/>
              </a:solidFill>
              <a:latin typeface="Bahnschrift SemiBold Condensed" panose="020B0502040204020203" pitchFamily="34" charset="0"/>
            </a:rPr>
            <a:pPr algn="l"/>
            <a:t>92%</a:t>
          </a:fld>
          <a:endParaRPr lang="es-CO" sz="2400" b="1">
            <a:solidFill>
              <a:schemeClr val="accent2"/>
            </a:solidFill>
            <a:latin typeface="Bahnschrift SemiBold Condensed" panose="020B0502040204020203" pitchFamily="34" charset="0"/>
          </a:endParaRPr>
        </a:p>
      </xdr:txBody>
    </xdr:sp>
    <xdr:clientData/>
  </xdr:twoCellAnchor>
  <xdr:twoCellAnchor>
    <xdr:from>
      <xdr:col>6</xdr:col>
      <xdr:colOff>15240</xdr:colOff>
      <xdr:row>18</xdr:row>
      <xdr:rowOff>0</xdr:rowOff>
    </xdr:from>
    <xdr:to>
      <xdr:col>8</xdr:col>
      <xdr:colOff>9525</xdr:colOff>
      <xdr:row>18</xdr:row>
      <xdr:rowOff>0</xdr:rowOff>
    </xdr:to>
    <xdr:cxnSp macro="">
      <xdr:nvCxnSpPr>
        <xdr:cNvPr id="71" name="Conector recto 70">
          <a:extLst>
            <a:ext uri="{FF2B5EF4-FFF2-40B4-BE49-F238E27FC236}">
              <a16:creationId xmlns:a16="http://schemas.microsoft.com/office/drawing/2014/main" id="{14CC60F1-D0B9-44DC-BE4D-F04F31B8E9AD}"/>
            </a:ext>
          </a:extLst>
        </xdr:cNvPr>
        <xdr:cNvCxnSpPr/>
      </xdr:nvCxnSpPr>
      <xdr:spPr>
        <a:xfrm>
          <a:off x="566928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27</xdr:row>
      <xdr:rowOff>0</xdr:rowOff>
    </xdr:from>
    <xdr:to>
      <xdr:col>8</xdr:col>
      <xdr:colOff>0</xdr:colOff>
      <xdr:row>27</xdr:row>
      <xdr:rowOff>0</xdr:rowOff>
    </xdr:to>
    <xdr:cxnSp macro="">
      <xdr:nvCxnSpPr>
        <xdr:cNvPr id="72" name="Conector recto 71">
          <a:extLst>
            <a:ext uri="{FF2B5EF4-FFF2-40B4-BE49-F238E27FC236}">
              <a16:creationId xmlns:a16="http://schemas.microsoft.com/office/drawing/2014/main" id="{A3011729-06B8-42FC-B8F7-603E18837AB9}"/>
            </a:ext>
          </a:extLst>
        </xdr:cNvPr>
        <xdr:cNvCxnSpPr/>
      </xdr:nvCxnSpPr>
      <xdr:spPr>
        <a:xfrm>
          <a:off x="566356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xdr:colOff>
      <xdr:row>36</xdr:row>
      <xdr:rowOff>0</xdr:rowOff>
    </xdr:from>
    <xdr:to>
      <xdr:col>8</xdr:col>
      <xdr:colOff>0</xdr:colOff>
      <xdr:row>36</xdr:row>
      <xdr:rowOff>0</xdr:rowOff>
    </xdr:to>
    <xdr:cxnSp macro="">
      <xdr:nvCxnSpPr>
        <xdr:cNvPr id="73" name="Conector recto 72">
          <a:extLst>
            <a:ext uri="{FF2B5EF4-FFF2-40B4-BE49-F238E27FC236}">
              <a16:creationId xmlns:a16="http://schemas.microsoft.com/office/drawing/2014/main" id="{639C65F0-607C-49C7-8914-CB735F125B8C}"/>
            </a:ext>
          </a:extLst>
        </xdr:cNvPr>
        <xdr:cNvCxnSpPr/>
      </xdr:nvCxnSpPr>
      <xdr:spPr>
        <a:xfrm>
          <a:off x="565594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57149</xdr:colOff>
      <xdr:row>9</xdr:row>
      <xdr:rowOff>20956</xdr:rowOff>
    </xdr:from>
    <xdr:to>
      <xdr:col>7</xdr:col>
      <xdr:colOff>1227116</xdr:colOff>
      <xdr:row>10</xdr:row>
      <xdr:rowOff>98962</xdr:rowOff>
    </xdr:to>
    <xdr:sp macro="" textlink="$A$79">
      <xdr:nvSpPr>
        <xdr:cNvPr id="74" name="Rectángulo 73">
          <a:extLst>
            <a:ext uri="{FF2B5EF4-FFF2-40B4-BE49-F238E27FC236}">
              <a16:creationId xmlns:a16="http://schemas.microsoft.com/office/drawing/2014/main" id="{C8A09670-A20D-457D-A33E-1C6CBB22B99A}"/>
            </a:ext>
          </a:extLst>
        </xdr:cNvPr>
        <xdr:cNvSpPr/>
      </xdr:nvSpPr>
      <xdr:spPr>
        <a:xfrm>
          <a:off x="571118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1EE6F-6A54-4B7B-A189-E53EB6002616}"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6</xdr:col>
      <xdr:colOff>1206500</xdr:colOff>
      <xdr:row>26</xdr:row>
      <xdr:rowOff>127001</xdr:rowOff>
    </xdr:from>
    <xdr:to>
      <xdr:col>8</xdr:col>
      <xdr:colOff>266700</xdr:colOff>
      <xdr:row>39</xdr:row>
      <xdr:rowOff>76201</xdr:rowOff>
    </xdr:to>
    <xdr:graphicFrame macro="">
      <xdr:nvGraphicFramePr>
        <xdr:cNvPr id="75" name="Gráfico 74">
          <a:extLst>
            <a:ext uri="{FF2B5EF4-FFF2-40B4-BE49-F238E27FC236}">
              <a16:creationId xmlns:a16="http://schemas.microsoft.com/office/drawing/2014/main" id="{21EFAE1F-BBA7-4392-A75B-00D244127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482600</xdr:colOff>
      <xdr:row>30</xdr:row>
      <xdr:rowOff>133301</xdr:rowOff>
    </xdr:from>
    <xdr:to>
      <xdr:col>7</xdr:col>
      <xdr:colOff>1415077</xdr:colOff>
      <xdr:row>34</xdr:row>
      <xdr:rowOff>121871</xdr:rowOff>
    </xdr:to>
    <xdr:sp macro="" textlink="$B$87">
      <xdr:nvSpPr>
        <xdr:cNvPr id="76" name="Rectángulo 75">
          <a:extLst>
            <a:ext uri="{FF2B5EF4-FFF2-40B4-BE49-F238E27FC236}">
              <a16:creationId xmlns:a16="http://schemas.microsoft.com/office/drawing/2014/main" id="{302C4B17-2A9E-4F78-A1BC-5054711DC350}"/>
            </a:ext>
          </a:extLst>
        </xdr:cNvPr>
        <xdr:cNvSpPr/>
      </xdr:nvSpPr>
      <xdr:spPr>
        <a:xfrm>
          <a:off x="7752080" y="58483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BDFB86-966E-449E-BDC5-239E0FC32BE7}" type="TxLink">
            <a:rPr lang="en-US" sz="2400" b="0" i="0" u="none" strike="noStrike">
              <a:solidFill>
                <a:schemeClr val="accent2"/>
              </a:solidFill>
              <a:latin typeface="Bahnschrift SemiBold Condensed" panose="020B0502040204020203" pitchFamily="34" charset="0"/>
            </a:rPr>
            <a:pPr algn="l"/>
            <a:t>100%</a:t>
          </a:fld>
          <a:endParaRPr lang="es-CO" sz="2400" b="1">
            <a:solidFill>
              <a:schemeClr val="accent2"/>
            </a:solidFill>
            <a:latin typeface="Bahnschrift SemiBold Condensed" panose="020B0502040204020203" pitchFamily="34" charset="0"/>
          </a:endParaRPr>
        </a:p>
      </xdr:txBody>
    </xdr:sp>
    <xdr:clientData/>
  </xdr:twoCellAnchor>
  <xdr:twoCellAnchor>
    <xdr:from>
      <xdr:col>5</xdr:col>
      <xdr:colOff>174998</xdr:colOff>
      <xdr:row>27</xdr:row>
      <xdr:rowOff>37193</xdr:rowOff>
    </xdr:from>
    <xdr:to>
      <xdr:col>7</xdr:col>
      <xdr:colOff>423224</xdr:colOff>
      <xdr:row>37</xdr:row>
      <xdr:rowOff>24080</xdr:rowOff>
    </xdr:to>
    <xdr:graphicFrame macro="">
      <xdr:nvGraphicFramePr>
        <xdr:cNvPr id="77" name="Gráfico 76">
          <a:extLst>
            <a:ext uri="{FF2B5EF4-FFF2-40B4-BE49-F238E27FC236}">
              <a16:creationId xmlns:a16="http://schemas.microsoft.com/office/drawing/2014/main" id="{822FF5AC-9B5A-481F-8E89-BEC744EDD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xdr:col>
      <xdr:colOff>12064</xdr:colOff>
      <xdr:row>27</xdr:row>
      <xdr:rowOff>78105</xdr:rowOff>
    </xdr:from>
    <xdr:to>
      <xdr:col>7</xdr:col>
      <xdr:colOff>1085767</xdr:colOff>
      <xdr:row>29</xdr:row>
      <xdr:rowOff>0</xdr:rowOff>
    </xdr:to>
    <xdr:sp macro="" textlink="$A$81">
      <xdr:nvSpPr>
        <xdr:cNvPr id="78" name="Rectángulo 77">
          <a:extLst>
            <a:ext uri="{FF2B5EF4-FFF2-40B4-BE49-F238E27FC236}">
              <a16:creationId xmlns:a16="http://schemas.microsoft.com/office/drawing/2014/main" id="{B11DC010-D48D-4DF7-9CAB-E26A94EB4787}"/>
            </a:ext>
          </a:extLst>
        </xdr:cNvPr>
        <xdr:cNvSpPr/>
      </xdr:nvSpPr>
      <xdr:spPr>
        <a:xfrm>
          <a:off x="5666104" y="5244465"/>
          <a:ext cx="268914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A5438E-EC18-4990-9213-56745D4C6EB4}"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6</xdr:col>
      <xdr:colOff>622300</xdr:colOff>
      <xdr:row>30</xdr:row>
      <xdr:rowOff>134612</xdr:rowOff>
    </xdr:from>
    <xdr:to>
      <xdr:col>6</xdr:col>
      <xdr:colOff>1562266</xdr:colOff>
      <xdr:row>34</xdr:row>
      <xdr:rowOff>112082</xdr:rowOff>
    </xdr:to>
    <xdr:sp macro="" textlink="$B$81">
      <xdr:nvSpPr>
        <xdr:cNvPr id="79" name="Rectángulo 78">
          <a:extLst>
            <a:ext uri="{FF2B5EF4-FFF2-40B4-BE49-F238E27FC236}">
              <a16:creationId xmlns:a16="http://schemas.microsoft.com/office/drawing/2014/main" id="{C53CA2D3-B30C-4CDD-A7DE-07057AAD6495}"/>
            </a:ext>
          </a:extLst>
        </xdr:cNvPr>
        <xdr:cNvSpPr/>
      </xdr:nvSpPr>
      <xdr:spPr>
        <a:xfrm>
          <a:off x="6276340" y="58496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95023-431B-43D4-BF99-CD7BF615958B}"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6</xdr:col>
      <xdr:colOff>46355</xdr:colOff>
      <xdr:row>36</xdr:row>
      <xdr:rowOff>77470</xdr:rowOff>
    </xdr:from>
    <xdr:to>
      <xdr:col>7</xdr:col>
      <xdr:colOff>401320</xdr:colOff>
      <xdr:row>38</xdr:row>
      <xdr:rowOff>12700</xdr:rowOff>
    </xdr:to>
    <xdr:sp macro="" textlink="$A$82">
      <xdr:nvSpPr>
        <xdr:cNvPr id="80" name="Rectángulo 79">
          <a:extLst>
            <a:ext uri="{FF2B5EF4-FFF2-40B4-BE49-F238E27FC236}">
              <a16:creationId xmlns:a16="http://schemas.microsoft.com/office/drawing/2014/main" id="{0C1C5DFB-27A7-4F8E-B832-08ECCC70C9A1}"/>
            </a:ext>
          </a:extLst>
        </xdr:cNvPr>
        <xdr:cNvSpPr/>
      </xdr:nvSpPr>
      <xdr:spPr>
        <a:xfrm>
          <a:off x="5700395" y="6889750"/>
          <a:ext cx="197040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DBF6AA-E184-4443-8F92-62BAF0EEFBB1}"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6</xdr:col>
      <xdr:colOff>647700</xdr:colOff>
      <xdr:row>39</xdr:row>
      <xdr:rowOff>173619</xdr:rowOff>
    </xdr:from>
    <xdr:to>
      <xdr:col>6</xdr:col>
      <xdr:colOff>1590468</xdr:colOff>
      <xdr:row>43</xdr:row>
      <xdr:rowOff>151089</xdr:rowOff>
    </xdr:to>
    <xdr:sp macro="" textlink="$B$82">
      <xdr:nvSpPr>
        <xdr:cNvPr id="81" name="Rectángulo 80">
          <a:extLst>
            <a:ext uri="{FF2B5EF4-FFF2-40B4-BE49-F238E27FC236}">
              <a16:creationId xmlns:a16="http://schemas.microsoft.com/office/drawing/2014/main" id="{F13B4581-725C-4BCC-A0F3-898378B8183C}"/>
            </a:ext>
          </a:extLst>
        </xdr:cNvPr>
        <xdr:cNvSpPr/>
      </xdr:nvSpPr>
      <xdr:spPr>
        <a:xfrm>
          <a:off x="6301740" y="7534539"/>
          <a:ext cx="942768"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5D155C-DC7A-43AF-A755-DB7C4A1603E6}"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7</xdr:col>
      <xdr:colOff>508000</xdr:colOff>
      <xdr:row>39</xdr:row>
      <xdr:rowOff>126206</xdr:rowOff>
    </xdr:from>
    <xdr:to>
      <xdr:col>7</xdr:col>
      <xdr:colOff>1363419</xdr:colOff>
      <xdr:row>43</xdr:row>
      <xdr:rowOff>114776</xdr:rowOff>
    </xdr:to>
    <xdr:sp macro="" textlink="$B$88">
      <xdr:nvSpPr>
        <xdr:cNvPr id="82" name="Rectángulo 81">
          <a:extLst>
            <a:ext uri="{FF2B5EF4-FFF2-40B4-BE49-F238E27FC236}">
              <a16:creationId xmlns:a16="http://schemas.microsoft.com/office/drawing/2014/main" id="{3D0E6239-0167-424D-9398-165F8887A5AF}"/>
            </a:ext>
          </a:extLst>
        </xdr:cNvPr>
        <xdr:cNvSpPr/>
      </xdr:nvSpPr>
      <xdr:spPr>
        <a:xfrm>
          <a:off x="7777480" y="74871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432BF6-9D50-402A-A629-A32CF816319F}"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278951</xdr:colOff>
      <xdr:row>8</xdr:row>
      <xdr:rowOff>184892</xdr:rowOff>
    </xdr:from>
    <xdr:to>
      <xdr:col>10</xdr:col>
      <xdr:colOff>315686</xdr:colOff>
      <xdr:row>19</xdr:row>
      <xdr:rowOff>14185</xdr:rowOff>
    </xdr:to>
    <xdr:graphicFrame macro="">
      <xdr:nvGraphicFramePr>
        <xdr:cNvPr id="83" name="Gráfico 82">
          <a:extLst>
            <a:ext uri="{FF2B5EF4-FFF2-40B4-BE49-F238E27FC236}">
              <a16:creationId xmlns:a16="http://schemas.microsoft.com/office/drawing/2014/main" id="{394615AA-3289-4766-A2AF-C0141443B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9</xdr:col>
      <xdr:colOff>1215240</xdr:colOff>
      <xdr:row>6</xdr:row>
      <xdr:rowOff>104570</xdr:rowOff>
    </xdr:from>
    <xdr:to>
      <xdr:col>11</xdr:col>
      <xdr:colOff>228599</xdr:colOff>
      <xdr:row>21</xdr:row>
      <xdr:rowOff>127000</xdr:rowOff>
    </xdr:to>
    <xdr:graphicFrame macro="">
      <xdr:nvGraphicFramePr>
        <xdr:cNvPr id="84" name="Gráfico 83">
          <a:extLst>
            <a:ext uri="{FF2B5EF4-FFF2-40B4-BE49-F238E27FC236}">
              <a16:creationId xmlns:a16="http://schemas.microsoft.com/office/drawing/2014/main" id="{07D56531-E4A3-4CF1-A933-649C2FC3B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9</xdr:col>
      <xdr:colOff>1232848</xdr:colOff>
      <xdr:row>16</xdr:row>
      <xdr:rowOff>125102</xdr:rowOff>
    </xdr:from>
    <xdr:to>
      <xdr:col>11</xdr:col>
      <xdr:colOff>330200</xdr:colOff>
      <xdr:row>31</xdr:row>
      <xdr:rowOff>63500</xdr:rowOff>
    </xdr:to>
    <xdr:graphicFrame macro="">
      <xdr:nvGraphicFramePr>
        <xdr:cNvPr id="85" name="Gráfico 84">
          <a:extLst>
            <a:ext uri="{FF2B5EF4-FFF2-40B4-BE49-F238E27FC236}">
              <a16:creationId xmlns:a16="http://schemas.microsoft.com/office/drawing/2014/main" id="{A7AE2B7E-BF7D-45C6-B38E-7072870F2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264397</xdr:colOff>
      <xdr:row>17</xdr:row>
      <xdr:rowOff>152728</xdr:rowOff>
    </xdr:from>
    <xdr:to>
      <xdr:col>10</xdr:col>
      <xdr:colOff>349662</xdr:colOff>
      <xdr:row>27</xdr:row>
      <xdr:rowOff>162296</xdr:rowOff>
    </xdr:to>
    <xdr:graphicFrame macro="">
      <xdr:nvGraphicFramePr>
        <xdr:cNvPr id="86" name="Gráfico 85">
          <a:extLst>
            <a:ext uri="{FF2B5EF4-FFF2-40B4-BE49-F238E27FC236}">
              <a16:creationId xmlns:a16="http://schemas.microsoft.com/office/drawing/2014/main" id="{0C51C559-5E33-4747-AF3F-1AEE39903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9</xdr:col>
      <xdr:colOff>558800</xdr:colOff>
      <xdr:row>12</xdr:row>
      <xdr:rowOff>105888</xdr:rowOff>
    </xdr:from>
    <xdr:to>
      <xdr:col>9</xdr:col>
      <xdr:colOff>1431142</xdr:colOff>
      <xdr:row>16</xdr:row>
      <xdr:rowOff>73503</xdr:rowOff>
    </xdr:to>
    <xdr:sp macro="" textlink="$B$93">
      <xdr:nvSpPr>
        <xdr:cNvPr id="87" name="Rectángulo 86">
          <a:extLst>
            <a:ext uri="{FF2B5EF4-FFF2-40B4-BE49-F238E27FC236}">
              <a16:creationId xmlns:a16="http://schemas.microsoft.com/office/drawing/2014/main" id="{896C03E7-6BBD-4AB0-A119-F31ADEE6BBBC}"/>
            </a:ext>
          </a:extLst>
        </xdr:cNvPr>
        <xdr:cNvSpPr/>
      </xdr:nvSpPr>
      <xdr:spPr>
        <a:xfrm>
          <a:off x="9855200" y="25290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BBA8C0-2E14-4D16-92AB-8D90ED5788C3}" type="TxLink">
            <a:rPr lang="en-US" sz="2400" b="0" i="0" u="none" strike="noStrike">
              <a:solidFill>
                <a:schemeClr val="tx2">
                  <a:lumMod val="50000"/>
                  <a:lumOff val="50000"/>
                </a:schemeClr>
              </a:solidFill>
              <a:latin typeface="Bahnschrift SemiBold Condensed" panose="020B0502040204020203" pitchFamily="34" charset="0"/>
            </a:rPr>
            <a:pPr algn="l"/>
            <a:t>70%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34290</xdr:colOff>
      <xdr:row>18</xdr:row>
      <xdr:rowOff>55245</xdr:rowOff>
    </xdr:from>
    <xdr:to>
      <xdr:col>10</xdr:col>
      <xdr:colOff>1068780</xdr:colOff>
      <xdr:row>20</xdr:row>
      <xdr:rowOff>0</xdr:rowOff>
    </xdr:to>
    <xdr:sp macro="" textlink="$A$94">
      <xdr:nvSpPr>
        <xdr:cNvPr id="88" name="Rectángulo 87">
          <a:extLst>
            <a:ext uri="{FF2B5EF4-FFF2-40B4-BE49-F238E27FC236}">
              <a16:creationId xmlns:a16="http://schemas.microsoft.com/office/drawing/2014/main" id="{0F57C512-51E7-46B5-A1AE-046308637068}"/>
            </a:ext>
          </a:extLst>
        </xdr:cNvPr>
        <xdr:cNvSpPr/>
      </xdr:nvSpPr>
      <xdr:spPr>
        <a:xfrm>
          <a:off x="933069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98879F-4A37-4BC9-B19C-17E17EC5F519}"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9</xdr:col>
      <xdr:colOff>571500</xdr:colOff>
      <xdr:row>21</xdr:row>
      <xdr:rowOff>97262</xdr:rowOff>
    </xdr:from>
    <xdr:to>
      <xdr:col>9</xdr:col>
      <xdr:colOff>1407226</xdr:colOff>
      <xdr:row>25</xdr:row>
      <xdr:rowOff>70592</xdr:rowOff>
    </xdr:to>
    <xdr:sp macro="" textlink="$B$94">
      <xdr:nvSpPr>
        <xdr:cNvPr id="89" name="Rectángulo 88">
          <a:extLst>
            <a:ext uri="{FF2B5EF4-FFF2-40B4-BE49-F238E27FC236}">
              <a16:creationId xmlns:a16="http://schemas.microsoft.com/office/drawing/2014/main" id="{8D54B7D1-2B23-42AB-8774-A03D6BFEDC09}"/>
            </a:ext>
          </a:extLst>
        </xdr:cNvPr>
        <xdr:cNvSpPr/>
      </xdr:nvSpPr>
      <xdr:spPr>
        <a:xfrm>
          <a:off x="9867900" y="41663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F3FFE1-D581-47EB-9959-42160BB39F7D}" type="TxLink">
            <a:rPr lang="en-US" sz="2400" b="0" i="0" u="none" strike="noStrike">
              <a:solidFill>
                <a:schemeClr val="tx2">
                  <a:lumMod val="50000"/>
                  <a:lumOff val="50000"/>
                </a:schemeClr>
              </a:solidFill>
              <a:latin typeface="Bahnschrift SemiBold Condensed" panose="020B0502040204020203" pitchFamily="34" charset="0"/>
            </a:rPr>
            <a:pPr algn="l"/>
            <a:t>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10</xdr:col>
      <xdr:colOff>543561</xdr:colOff>
      <xdr:row>12</xdr:row>
      <xdr:rowOff>96892</xdr:rowOff>
    </xdr:from>
    <xdr:to>
      <xdr:col>10</xdr:col>
      <xdr:colOff>1412711</xdr:colOff>
      <xdr:row>16</xdr:row>
      <xdr:rowOff>75937</xdr:rowOff>
    </xdr:to>
    <xdr:sp macro="" textlink="$B$99">
      <xdr:nvSpPr>
        <xdr:cNvPr id="90" name="Rectángulo 89">
          <a:extLst>
            <a:ext uri="{FF2B5EF4-FFF2-40B4-BE49-F238E27FC236}">
              <a16:creationId xmlns:a16="http://schemas.microsoft.com/office/drawing/2014/main" id="{EA5850D9-33CD-4021-8B85-C8EE7A5BDF2A}"/>
            </a:ext>
          </a:extLst>
        </xdr:cNvPr>
        <xdr:cNvSpPr/>
      </xdr:nvSpPr>
      <xdr:spPr>
        <a:xfrm>
          <a:off x="11455401" y="252005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F6FAFB-0228-43BB-B7D9-6FACB8C4D6E8}" type="TxLink">
            <a:rPr lang="en-US" sz="2400" b="0" i="0" u="none" strike="noStrike">
              <a:solidFill>
                <a:schemeClr val="accent2"/>
              </a:solidFill>
              <a:latin typeface="Bahnschrift SemiBold Condensed" panose="020B0502040204020203" pitchFamily="34" charset="0"/>
            </a:rPr>
            <a:pPr algn="l"/>
            <a:t>90%</a:t>
          </a:fld>
          <a:endParaRPr lang="es-CO" sz="2400" b="1">
            <a:solidFill>
              <a:schemeClr val="accent2"/>
            </a:solidFill>
            <a:latin typeface="Bahnschrift SemiBold Condensed" panose="020B0502040204020203" pitchFamily="34" charset="0"/>
          </a:endParaRPr>
        </a:p>
      </xdr:txBody>
    </xdr:sp>
    <xdr:clientData/>
  </xdr:twoCellAnchor>
  <xdr:twoCellAnchor>
    <xdr:from>
      <xdr:col>10</xdr:col>
      <xdr:colOff>505460</xdr:colOff>
      <xdr:row>21</xdr:row>
      <xdr:rowOff>39264</xdr:rowOff>
    </xdr:from>
    <xdr:to>
      <xdr:col>10</xdr:col>
      <xdr:colOff>1507333</xdr:colOff>
      <xdr:row>25</xdr:row>
      <xdr:rowOff>20214</xdr:rowOff>
    </xdr:to>
    <xdr:sp macro="" textlink="$B$100">
      <xdr:nvSpPr>
        <xdr:cNvPr id="91" name="Rectángulo 90">
          <a:extLst>
            <a:ext uri="{FF2B5EF4-FFF2-40B4-BE49-F238E27FC236}">
              <a16:creationId xmlns:a16="http://schemas.microsoft.com/office/drawing/2014/main" id="{32C82018-1BA9-4C8E-A07A-9BFF507D51B0}"/>
            </a:ext>
          </a:extLst>
        </xdr:cNvPr>
        <xdr:cNvSpPr/>
      </xdr:nvSpPr>
      <xdr:spPr>
        <a:xfrm>
          <a:off x="11417300" y="41083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C19981-5E1E-43A2-9ADC-B0DAD7DC0A9F}" type="TxLink">
            <a:rPr lang="en-US" sz="2400" b="0" i="0" u="none" strike="noStrike">
              <a:solidFill>
                <a:schemeClr val="accent2"/>
              </a:solidFill>
              <a:latin typeface="Bahnschrift SemiBold Condensed" panose="020B0502040204020203" pitchFamily="34" charset="0"/>
            </a:rPr>
            <a:pPr algn="l"/>
            <a:t>91%</a:t>
          </a:fld>
          <a:endParaRPr lang="es-CO" sz="2400" b="1">
            <a:solidFill>
              <a:schemeClr val="accent2"/>
            </a:solidFill>
            <a:latin typeface="Bahnschrift SemiBold Condensed" panose="020B0502040204020203" pitchFamily="34" charset="0"/>
          </a:endParaRPr>
        </a:p>
      </xdr:txBody>
    </xdr:sp>
    <xdr:clientData/>
  </xdr:twoCellAnchor>
  <xdr:twoCellAnchor>
    <xdr:from>
      <xdr:col>9</xdr:col>
      <xdr:colOff>15240</xdr:colOff>
      <xdr:row>18</xdr:row>
      <xdr:rowOff>0</xdr:rowOff>
    </xdr:from>
    <xdr:to>
      <xdr:col>11</xdr:col>
      <xdr:colOff>9525</xdr:colOff>
      <xdr:row>18</xdr:row>
      <xdr:rowOff>0</xdr:rowOff>
    </xdr:to>
    <xdr:cxnSp macro="">
      <xdr:nvCxnSpPr>
        <xdr:cNvPr id="92" name="Conector recto 91">
          <a:extLst>
            <a:ext uri="{FF2B5EF4-FFF2-40B4-BE49-F238E27FC236}">
              <a16:creationId xmlns:a16="http://schemas.microsoft.com/office/drawing/2014/main" id="{2977FA8D-EDCE-4D99-8DAC-C3678CCD0658}"/>
            </a:ext>
          </a:extLst>
        </xdr:cNvPr>
        <xdr:cNvCxnSpPr/>
      </xdr:nvCxnSpPr>
      <xdr:spPr>
        <a:xfrm>
          <a:off x="931164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xdr:colOff>
      <xdr:row>27</xdr:row>
      <xdr:rowOff>0</xdr:rowOff>
    </xdr:from>
    <xdr:to>
      <xdr:col>11</xdr:col>
      <xdr:colOff>0</xdr:colOff>
      <xdr:row>27</xdr:row>
      <xdr:rowOff>0</xdr:rowOff>
    </xdr:to>
    <xdr:cxnSp macro="">
      <xdr:nvCxnSpPr>
        <xdr:cNvPr id="93" name="Conector recto 92">
          <a:extLst>
            <a:ext uri="{FF2B5EF4-FFF2-40B4-BE49-F238E27FC236}">
              <a16:creationId xmlns:a16="http://schemas.microsoft.com/office/drawing/2014/main" id="{4C2D112D-1341-4BAC-8634-851E2CB84D68}"/>
            </a:ext>
          </a:extLst>
        </xdr:cNvPr>
        <xdr:cNvCxnSpPr/>
      </xdr:nvCxnSpPr>
      <xdr:spPr>
        <a:xfrm>
          <a:off x="930592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xdr:colOff>
      <xdr:row>36</xdr:row>
      <xdr:rowOff>0</xdr:rowOff>
    </xdr:from>
    <xdr:to>
      <xdr:col>11</xdr:col>
      <xdr:colOff>0</xdr:colOff>
      <xdr:row>36</xdr:row>
      <xdr:rowOff>0</xdr:rowOff>
    </xdr:to>
    <xdr:cxnSp macro="">
      <xdr:nvCxnSpPr>
        <xdr:cNvPr id="94" name="Conector recto 93">
          <a:extLst>
            <a:ext uri="{FF2B5EF4-FFF2-40B4-BE49-F238E27FC236}">
              <a16:creationId xmlns:a16="http://schemas.microsoft.com/office/drawing/2014/main" id="{ACD2C3E4-1DEB-49CB-8311-F563A54FA4FB}"/>
            </a:ext>
          </a:extLst>
        </xdr:cNvPr>
        <xdr:cNvCxnSpPr/>
      </xdr:nvCxnSpPr>
      <xdr:spPr>
        <a:xfrm>
          <a:off x="929830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57149</xdr:colOff>
      <xdr:row>9</xdr:row>
      <xdr:rowOff>20956</xdr:rowOff>
    </xdr:from>
    <xdr:to>
      <xdr:col>10</xdr:col>
      <xdr:colOff>1227116</xdr:colOff>
      <xdr:row>10</xdr:row>
      <xdr:rowOff>98962</xdr:rowOff>
    </xdr:to>
    <xdr:sp macro="" textlink="$A$93">
      <xdr:nvSpPr>
        <xdr:cNvPr id="95" name="Rectángulo 94">
          <a:extLst>
            <a:ext uri="{FF2B5EF4-FFF2-40B4-BE49-F238E27FC236}">
              <a16:creationId xmlns:a16="http://schemas.microsoft.com/office/drawing/2014/main" id="{5C45EEB6-0C78-41FE-84FF-A6B3299DEC72}"/>
            </a:ext>
          </a:extLst>
        </xdr:cNvPr>
        <xdr:cNvSpPr/>
      </xdr:nvSpPr>
      <xdr:spPr>
        <a:xfrm>
          <a:off x="935354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D977AE-043E-4B3B-AFCF-8E8260E95B09}"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9</xdr:col>
      <xdr:colOff>1206500</xdr:colOff>
      <xdr:row>26</xdr:row>
      <xdr:rowOff>127001</xdr:rowOff>
    </xdr:from>
    <xdr:to>
      <xdr:col>11</xdr:col>
      <xdr:colOff>266700</xdr:colOff>
      <xdr:row>39</xdr:row>
      <xdr:rowOff>76201</xdr:rowOff>
    </xdr:to>
    <xdr:graphicFrame macro="">
      <xdr:nvGraphicFramePr>
        <xdr:cNvPr id="96" name="Gráfico 95">
          <a:extLst>
            <a:ext uri="{FF2B5EF4-FFF2-40B4-BE49-F238E27FC236}">
              <a16:creationId xmlns:a16="http://schemas.microsoft.com/office/drawing/2014/main" id="{841566F8-2C5E-41AD-B80F-00A400A7D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447040</xdr:colOff>
      <xdr:row>30</xdr:row>
      <xdr:rowOff>107901</xdr:rowOff>
    </xdr:from>
    <xdr:to>
      <xdr:col>10</xdr:col>
      <xdr:colOff>1379517</xdr:colOff>
      <xdr:row>34</xdr:row>
      <xdr:rowOff>96471</xdr:rowOff>
    </xdr:to>
    <xdr:sp macro="" textlink="$B$101">
      <xdr:nvSpPr>
        <xdr:cNvPr id="97" name="Rectángulo 96">
          <a:extLst>
            <a:ext uri="{FF2B5EF4-FFF2-40B4-BE49-F238E27FC236}">
              <a16:creationId xmlns:a16="http://schemas.microsoft.com/office/drawing/2014/main" id="{E01A6335-E4AC-4759-A1F2-C93A83CE6CB9}"/>
            </a:ext>
          </a:extLst>
        </xdr:cNvPr>
        <xdr:cNvSpPr/>
      </xdr:nvSpPr>
      <xdr:spPr>
        <a:xfrm>
          <a:off x="11358880" y="58229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89741D-677C-474C-AB64-40F26A29BCF0}" type="TxLink">
            <a:rPr lang="en-US" sz="2400" b="0" i="0" u="none" strike="noStrike">
              <a:solidFill>
                <a:schemeClr val="accent2"/>
              </a:solidFill>
              <a:latin typeface="Bahnschrift SemiBold Condensed" panose="020B0502040204020203" pitchFamily="34" charset="0"/>
            </a:rPr>
            <a:pPr algn="l"/>
            <a:t>85%</a:t>
          </a:fld>
          <a:endParaRPr lang="es-CO" sz="2400" b="1">
            <a:solidFill>
              <a:schemeClr val="accent2"/>
            </a:solidFill>
            <a:latin typeface="Bahnschrift SemiBold Condensed" panose="020B0502040204020203" pitchFamily="34" charset="0"/>
          </a:endParaRPr>
        </a:p>
      </xdr:txBody>
    </xdr:sp>
    <xdr:clientData/>
  </xdr:twoCellAnchor>
  <xdr:twoCellAnchor>
    <xdr:from>
      <xdr:col>8</xdr:col>
      <xdr:colOff>174998</xdr:colOff>
      <xdr:row>27</xdr:row>
      <xdr:rowOff>37193</xdr:rowOff>
    </xdr:from>
    <xdr:to>
      <xdr:col>10</xdr:col>
      <xdr:colOff>423224</xdr:colOff>
      <xdr:row>37</xdr:row>
      <xdr:rowOff>24080</xdr:rowOff>
    </xdr:to>
    <xdr:graphicFrame macro="">
      <xdr:nvGraphicFramePr>
        <xdr:cNvPr id="98" name="Gráfico 97">
          <a:extLst>
            <a:ext uri="{FF2B5EF4-FFF2-40B4-BE49-F238E27FC236}">
              <a16:creationId xmlns:a16="http://schemas.microsoft.com/office/drawing/2014/main" id="{DCAC6195-6004-49F2-832C-FC600F350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12064</xdr:colOff>
      <xdr:row>27</xdr:row>
      <xdr:rowOff>78105</xdr:rowOff>
    </xdr:from>
    <xdr:to>
      <xdr:col>10</xdr:col>
      <xdr:colOff>1397000</xdr:colOff>
      <xdr:row>29</xdr:row>
      <xdr:rowOff>0</xdr:rowOff>
    </xdr:to>
    <xdr:sp macro="" textlink="$A$95">
      <xdr:nvSpPr>
        <xdr:cNvPr id="99" name="Rectángulo 98">
          <a:extLst>
            <a:ext uri="{FF2B5EF4-FFF2-40B4-BE49-F238E27FC236}">
              <a16:creationId xmlns:a16="http://schemas.microsoft.com/office/drawing/2014/main" id="{9F334CB7-DBD1-455F-B9C7-FB88C32A600C}"/>
            </a:ext>
          </a:extLst>
        </xdr:cNvPr>
        <xdr:cNvSpPr/>
      </xdr:nvSpPr>
      <xdr:spPr>
        <a:xfrm>
          <a:off x="9308464" y="5244465"/>
          <a:ext cx="3000376"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48BCF8-7E4F-42CC-AFFE-B542E774EA8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9</xdr:col>
      <xdr:colOff>584200</xdr:colOff>
      <xdr:row>30</xdr:row>
      <xdr:rowOff>147312</xdr:rowOff>
    </xdr:from>
    <xdr:to>
      <xdr:col>9</xdr:col>
      <xdr:colOff>1524166</xdr:colOff>
      <xdr:row>34</xdr:row>
      <xdr:rowOff>124782</xdr:rowOff>
    </xdr:to>
    <xdr:sp macro="" textlink="$B$95">
      <xdr:nvSpPr>
        <xdr:cNvPr id="100" name="Rectángulo 99">
          <a:extLst>
            <a:ext uri="{FF2B5EF4-FFF2-40B4-BE49-F238E27FC236}">
              <a16:creationId xmlns:a16="http://schemas.microsoft.com/office/drawing/2014/main" id="{EF904691-B10D-44F0-9C55-3058ACBA15A0}"/>
            </a:ext>
          </a:extLst>
        </xdr:cNvPr>
        <xdr:cNvSpPr/>
      </xdr:nvSpPr>
      <xdr:spPr>
        <a:xfrm>
          <a:off x="9880600" y="58623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0BD397-F171-4695-87F7-8EADEFE05782}" type="TxLink">
            <a:rPr lang="en-US" sz="2400" b="0" i="0" u="none" strike="noStrike">
              <a:solidFill>
                <a:schemeClr val="tx2">
                  <a:lumMod val="50000"/>
                  <a:lumOff val="50000"/>
                </a:schemeClr>
              </a:solidFill>
              <a:latin typeface="Bahnschrift SemiBold Condensed" panose="020B0502040204020203" pitchFamily="34" charset="0"/>
            </a:rPr>
            <a:pPr algn="l"/>
            <a:t>25%</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9</xdr:col>
      <xdr:colOff>46355</xdr:colOff>
      <xdr:row>36</xdr:row>
      <xdr:rowOff>77470</xdr:rowOff>
    </xdr:from>
    <xdr:to>
      <xdr:col>10</xdr:col>
      <xdr:colOff>1016000</xdr:colOff>
      <xdr:row>38</xdr:row>
      <xdr:rowOff>0</xdr:rowOff>
    </xdr:to>
    <xdr:sp macro="" textlink="$A$96">
      <xdr:nvSpPr>
        <xdr:cNvPr id="101" name="Rectángulo 100">
          <a:extLst>
            <a:ext uri="{FF2B5EF4-FFF2-40B4-BE49-F238E27FC236}">
              <a16:creationId xmlns:a16="http://schemas.microsoft.com/office/drawing/2014/main" id="{065DAB8D-0AAD-4735-B597-C47DFA8AC89D}"/>
            </a:ext>
          </a:extLst>
        </xdr:cNvPr>
        <xdr:cNvSpPr/>
      </xdr:nvSpPr>
      <xdr:spPr>
        <a:xfrm>
          <a:off x="9342755" y="6889750"/>
          <a:ext cx="2585085" cy="28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D69B4-D428-41FA-8479-64A896BA7D5B}"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9</xdr:col>
      <xdr:colOff>596900</xdr:colOff>
      <xdr:row>40</xdr:row>
      <xdr:rowOff>8519</xdr:rowOff>
    </xdr:from>
    <xdr:to>
      <xdr:col>9</xdr:col>
      <xdr:colOff>1539668</xdr:colOff>
      <xdr:row>43</xdr:row>
      <xdr:rowOff>163789</xdr:rowOff>
    </xdr:to>
    <xdr:sp macro="" textlink="$B$96">
      <xdr:nvSpPr>
        <xdr:cNvPr id="102" name="Rectángulo 101">
          <a:extLst>
            <a:ext uri="{FF2B5EF4-FFF2-40B4-BE49-F238E27FC236}">
              <a16:creationId xmlns:a16="http://schemas.microsoft.com/office/drawing/2014/main" id="{93B99EE6-838B-49F4-995B-44CB04D75D3A}"/>
            </a:ext>
          </a:extLst>
        </xdr:cNvPr>
        <xdr:cNvSpPr/>
      </xdr:nvSpPr>
      <xdr:spPr>
        <a:xfrm>
          <a:off x="9893300" y="7552319"/>
          <a:ext cx="942768" cy="703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62D859-2E2D-4CDF-9451-4353414B6E4A}"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11</xdr:col>
      <xdr:colOff>278951</xdr:colOff>
      <xdr:row>8</xdr:row>
      <xdr:rowOff>184892</xdr:rowOff>
    </xdr:from>
    <xdr:to>
      <xdr:col>13</xdr:col>
      <xdr:colOff>315686</xdr:colOff>
      <xdr:row>19</xdr:row>
      <xdr:rowOff>14185</xdr:rowOff>
    </xdr:to>
    <xdr:graphicFrame macro="">
      <xdr:nvGraphicFramePr>
        <xdr:cNvPr id="103" name="Gráfico 102">
          <a:extLst>
            <a:ext uri="{FF2B5EF4-FFF2-40B4-BE49-F238E27FC236}">
              <a16:creationId xmlns:a16="http://schemas.microsoft.com/office/drawing/2014/main" id="{00932687-FF3B-4FAA-B896-4C7DBC9B8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xdr:col>
      <xdr:colOff>1215240</xdr:colOff>
      <xdr:row>6</xdr:row>
      <xdr:rowOff>104570</xdr:rowOff>
    </xdr:from>
    <xdr:to>
      <xdr:col>14</xdr:col>
      <xdr:colOff>228599</xdr:colOff>
      <xdr:row>21</xdr:row>
      <xdr:rowOff>127000</xdr:rowOff>
    </xdr:to>
    <xdr:graphicFrame macro="">
      <xdr:nvGraphicFramePr>
        <xdr:cNvPr id="104" name="Gráfico 103">
          <a:extLst>
            <a:ext uri="{FF2B5EF4-FFF2-40B4-BE49-F238E27FC236}">
              <a16:creationId xmlns:a16="http://schemas.microsoft.com/office/drawing/2014/main" id="{00BFC625-40B7-4377-9CBF-60E3B2336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11</xdr:col>
      <xdr:colOff>264397</xdr:colOff>
      <xdr:row>17</xdr:row>
      <xdr:rowOff>152728</xdr:rowOff>
    </xdr:from>
    <xdr:to>
      <xdr:col>13</xdr:col>
      <xdr:colOff>349662</xdr:colOff>
      <xdr:row>27</xdr:row>
      <xdr:rowOff>162296</xdr:rowOff>
    </xdr:to>
    <xdr:graphicFrame macro="">
      <xdr:nvGraphicFramePr>
        <xdr:cNvPr id="105" name="Gráfico 104">
          <a:extLst>
            <a:ext uri="{FF2B5EF4-FFF2-40B4-BE49-F238E27FC236}">
              <a16:creationId xmlns:a16="http://schemas.microsoft.com/office/drawing/2014/main" id="{A7B4A9AE-8ED5-4784-AD6E-684789095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12</xdr:col>
      <xdr:colOff>558800</xdr:colOff>
      <xdr:row>12</xdr:row>
      <xdr:rowOff>105888</xdr:rowOff>
    </xdr:from>
    <xdr:to>
      <xdr:col>12</xdr:col>
      <xdr:colOff>1431142</xdr:colOff>
      <xdr:row>16</xdr:row>
      <xdr:rowOff>73503</xdr:rowOff>
    </xdr:to>
    <xdr:sp macro="" textlink="$B$107">
      <xdr:nvSpPr>
        <xdr:cNvPr id="106" name="Rectángulo 105">
          <a:extLst>
            <a:ext uri="{FF2B5EF4-FFF2-40B4-BE49-F238E27FC236}">
              <a16:creationId xmlns:a16="http://schemas.microsoft.com/office/drawing/2014/main" id="{E65BCD36-E3C7-4181-AFCE-9B46983D6909}"/>
            </a:ext>
          </a:extLst>
        </xdr:cNvPr>
        <xdr:cNvSpPr/>
      </xdr:nvSpPr>
      <xdr:spPr>
        <a:xfrm>
          <a:off x="13497560" y="2529048"/>
          <a:ext cx="872342" cy="699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088497-F44D-4DDC-83C4-DABE43C8782E}" type="TxLink">
            <a:rPr lang="en-US" sz="2400" b="0" i="0" u="none" strike="noStrike">
              <a:solidFill>
                <a:schemeClr val="tx2">
                  <a:lumMod val="50000"/>
                  <a:lumOff val="50000"/>
                </a:schemeClr>
              </a:solidFill>
              <a:latin typeface="Bahnschrift SemiBold Condensed" panose="020B0502040204020203" pitchFamily="34" charset="0"/>
            </a:rPr>
            <a:pPr algn="l"/>
            <a:t>60%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34290</xdr:colOff>
      <xdr:row>18</xdr:row>
      <xdr:rowOff>55245</xdr:rowOff>
    </xdr:from>
    <xdr:to>
      <xdr:col>13</xdr:col>
      <xdr:colOff>1068780</xdr:colOff>
      <xdr:row>20</xdr:row>
      <xdr:rowOff>0</xdr:rowOff>
    </xdr:to>
    <xdr:sp macro="" textlink="$A$108">
      <xdr:nvSpPr>
        <xdr:cNvPr id="107" name="Rectángulo 106">
          <a:extLst>
            <a:ext uri="{FF2B5EF4-FFF2-40B4-BE49-F238E27FC236}">
              <a16:creationId xmlns:a16="http://schemas.microsoft.com/office/drawing/2014/main" id="{B96BED71-1969-466C-99E5-B079E1D22906}"/>
            </a:ext>
          </a:extLst>
        </xdr:cNvPr>
        <xdr:cNvSpPr/>
      </xdr:nvSpPr>
      <xdr:spPr>
        <a:xfrm>
          <a:off x="12973050" y="3575685"/>
          <a:ext cx="2649930" cy="310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6A95C0-514B-4790-A797-E266CA28C456}" type="TxLink">
            <a:rPr lang="en-US" sz="900" b="1" i="0" u="none" strike="noStrike">
              <a:solidFill>
                <a:srgbClr val="000000"/>
              </a:solidFill>
              <a:latin typeface="Aptos Narrow"/>
            </a:rPr>
            <a:pPr algn="l"/>
            <a:t>Relaciones y Servicio</a:t>
          </a:fld>
          <a:endParaRPr lang="es-CO" sz="1100">
            <a:solidFill>
              <a:sysClr val="windowText" lastClr="000000"/>
            </a:solidFill>
          </a:endParaRPr>
        </a:p>
      </xdr:txBody>
    </xdr:sp>
    <xdr:clientData/>
  </xdr:twoCellAnchor>
  <xdr:twoCellAnchor>
    <xdr:from>
      <xdr:col>12</xdr:col>
      <xdr:colOff>571500</xdr:colOff>
      <xdr:row>21</xdr:row>
      <xdr:rowOff>97262</xdr:rowOff>
    </xdr:from>
    <xdr:to>
      <xdr:col>12</xdr:col>
      <xdr:colOff>1407226</xdr:colOff>
      <xdr:row>25</xdr:row>
      <xdr:rowOff>70592</xdr:rowOff>
    </xdr:to>
    <xdr:sp macro="" textlink="$B$108">
      <xdr:nvSpPr>
        <xdr:cNvPr id="108" name="Rectángulo 107">
          <a:extLst>
            <a:ext uri="{FF2B5EF4-FFF2-40B4-BE49-F238E27FC236}">
              <a16:creationId xmlns:a16="http://schemas.microsoft.com/office/drawing/2014/main" id="{C4B3C887-9B08-4B1E-AF7E-65FEE1F8E124}"/>
            </a:ext>
          </a:extLst>
        </xdr:cNvPr>
        <xdr:cNvSpPr/>
      </xdr:nvSpPr>
      <xdr:spPr>
        <a:xfrm>
          <a:off x="13510260" y="4166342"/>
          <a:ext cx="835726"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FC3769-FBE7-4678-AB37-171373CED98C}" type="TxLink">
            <a:rPr lang="en-US" sz="2400" b="0" i="0" u="none" strike="noStrike">
              <a:solidFill>
                <a:schemeClr val="tx2">
                  <a:lumMod val="50000"/>
                  <a:lumOff val="50000"/>
                </a:schemeClr>
              </a:solidFill>
              <a:latin typeface="Bahnschrift SemiBold Condensed" panose="020B0502040204020203" pitchFamily="34" charset="0"/>
            </a:rPr>
            <a:pPr algn="l"/>
            <a:t>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482601</xdr:colOff>
      <xdr:row>12</xdr:row>
      <xdr:rowOff>81652</xdr:rowOff>
    </xdr:from>
    <xdr:to>
      <xdr:col>13</xdr:col>
      <xdr:colOff>1351751</xdr:colOff>
      <xdr:row>16</xdr:row>
      <xdr:rowOff>60697</xdr:rowOff>
    </xdr:to>
    <xdr:sp macro="" textlink="$B$113">
      <xdr:nvSpPr>
        <xdr:cNvPr id="109" name="Rectángulo 108">
          <a:extLst>
            <a:ext uri="{FF2B5EF4-FFF2-40B4-BE49-F238E27FC236}">
              <a16:creationId xmlns:a16="http://schemas.microsoft.com/office/drawing/2014/main" id="{1FEE3B0A-2E69-4EFB-B80E-D23F13DC0156}"/>
            </a:ext>
          </a:extLst>
        </xdr:cNvPr>
        <xdr:cNvSpPr/>
      </xdr:nvSpPr>
      <xdr:spPr>
        <a:xfrm>
          <a:off x="15036801" y="2504812"/>
          <a:ext cx="869150" cy="710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09825-EC47-430E-A869-684AC437E120}" type="TxLink">
            <a:rPr lang="en-US" sz="2400" b="0" i="0" u="none" strike="noStrike">
              <a:solidFill>
                <a:schemeClr val="accent2"/>
              </a:solidFill>
              <a:latin typeface="Bahnschrift SemiBold Condensed" panose="020B0502040204020203" pitchFamily="34" charset="0"/>
            </a:rPr>
            <a:pPr algn="l"/>
            <a:t>93%</a:t>
          </a:fld>
          <a:endParaRPr lang="es-CO" sz="2400" b="1">
            <a:solidFill>
              <a:schemeClr val="accent2"/>
            </a:solidFill>
            <a:latin typeface="Bahnschrift SemiBold Condensed" panose="020B0502040204020203" pitchFamily="34" charset="0"/>
          </a:endParaRPr>
        </a:p>
      </xdr:txBody>
    </xdr:sp>
    <xdr:clientData/>
  </xdr:twoCellAnchor>
  <xdr:twoCellAnchor>
    <xdr:from>
      <xdr:col>13</xdr:col>
      <xdr:colOff>444500</xdr:colOff>
      <xdr:row>21</xdr:row>
      <xdr:rowOff>39264</xdr:rowOff>
    </xdr:from>
    <xdr:to>
      <xdr:col>13</xdr:col>
      <xdr:colOff>1446373</xdr:colOff>
      <xdr:row>25</xdr:row>
      <xdr:rowOff>20214</xdr:rowOff>
    </xdr:to>
    <xdr:sp macro="" textlink="$B$114">
      <xdr:nvSpPr>
        <xdr:cNvPr id="110" name="Rectángulo 109">
          <a:extLst>
            <a:ext uri="{FF2B5EF4-FFF2-40B4-BE49-F238E27FC236}">
              <a16:creationId xmlns:a16="http://schemas.microsoft.com/office/drawing/2014/main" id="{09599FB3-5FE5-4E40-A1E7-90EFABE11C60}"/>
            </a:ext>
          </a:extLst>
        </xdr:cNvPr>
        <xdr:cNvSpPr/>
      </xdr:nvSpPr>
      <xdr:spPr>
        <a:xfrm>
          <a:off x="14998700" y="4108344"/>
          <a:ext cx="1001873" cy="71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D7DA45-F8F1-4D82-B0C4-5D8E515CEDE2}" type="TxLink">
            <a:rPr lang="en-US" sz="2400" b="0" i="0" u="none" strike="noStrike">
              <a:solidFill>
                <a:schemeClr val="accent2"/>
              </a:solidFill>
              <a:latin typeface="Bahnschrift SemiBold Condensed" panose="020B0502040204020203" pitchFamily="34" charset="0"/>
            </a:rPr>
            <a:pPr algn="l"/>
            <a:t>0%</a:t>
          </a:fld>
          <a:endParaRPr lang="es-CO" sz="2400" b="1">
            <a:solidFill>
              <a:schemeClr val="accent2"/>
            </a:solidFill>
            <a:latin typeface="Bahnschrift SemiBold Condensed" panose="020B0502040204020203" pitchFamily="34" charset="0"/>
          </a:endParaRPr>
        </a:p>
      </xdr:txBody>
    </xdr:sp>
    <xdr:clientData/>
  </xdr:twoCellAnchor>
  <xdr:twoCellAnchor>
    <xdr:from>
      <xdr:col>12</xdr:col>
      <xdr:colOff>15240</xdr:colOff>
      <xdr:row>18</xdr:row>
      <xdr:rowOff>0</xdr:rowOff>
    </xdr:from>
    <xdr:to>
      <xdr:col>14</xdr:col>
      <xdr:colOff>9525</xdr:colOff>
      <xdr:row>18</xdr:row>
      <xdr:rowOff>0</xdr:rowOff>
    </xdr:to>
    <xdr:cxnSp macro="">
      <xdr:nvCxnSpPr>
        <xdr:cNvPr id="111" name="Conector recto 110">
          <a:extLst>
            <a:ext uri="{FF2B5EF4-FFF2-40B4-BE49-F238E27FC236}">
              <a16:creationId xmlns:a16="http://schemas.microsoft.com/office/drawing/2014/main" id="{411FE669-105B-4818-ACA1-98595F8B650E}"/>
            </a:ext>
          </a:extLst>
        </xdr:cNvPr>
        <xdr:cNvCxnSpPr/>
      </xdr:nvCxnSpPr>
      <xdr:spPr>
        <a:xfrm>
          <a:off x="12954000" y="3520440"/>
          <a:ext cx="322516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9525</xdr:colOff>
      <xdr:row>27</xdr:row>
      <xdr:rowOff>0</xdr:rowOff>
    </xdr:from>
    <xdr:to>
      <xdr:col>14</xdr:col>
      <xdr:colOff>0</xdr:colOff>
      <xdr:row>27</xdr:row>
      <xdr:rowOff>0</xdr:rowOff>
    </xdr:to>
    <xdr:cxnSp macro="">
      <xdr:nvCxnSpPr>
        <xdr:cNvPr id="112" name="Conector recto 111">
          <a:extLst>
            <a:ext uri="{FF2B5EF4-FFF2-40B4-BE49-F238E27FC236}">
              <a16:creationId xmlns:a16="http://schemas.microsoft.com/office/drawing/2014/main" id="{5215F289-56FA-435B-B43A-9AE68F11C193}"/>
            </a:ext>
          </a:extLst>
        </xdr:cNvPr>
        <xdr:cNvCxnSpPr/>
      </xdr:nvCxnSpPr>
      <xdr:spPr>
        <a:xfrm>
          <a:off x="12948285" y="5166360"/>
          <a:ext cx="322135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1905</xdr:colOff>
      <xdr:row>36</xdr:row>
      <xdr:rowOff>0</xdr:rowOff>
    </xdr:from>
    <xdr:to>
      <xdr:col>14</xdr:col>
      <xdr:colOff>0</xdr:colOff>
      <xdr:row>36</xdr:row>
      <xdr:rowOff>0</xdr:rowOff>
    </xdr:to>
    <xdr:cxnSp macro="">
      <xdr:nvCxnSpPr>
        <xdr:cNvPr id="113" name="Conector recto 112">
          <a:extLst>
            <a:ext uri="{FF2B5EF4-FFF2-40B4-BE49-F238E27FC236}">
              <a16:creationId xmlns:a16="http://schemas.microsoft.com/office/drawing/2014/main" id="{DAAEC3A3-CE38-45FE-9C5B-9E43EA5DEDE3}"/>
            </a:ext>
          </a:extLst>
        </xdr:cNvPr>
        <xdr:cNvCxnSpPr/>
      </xdr:nvCxnSpPr>
      <xdr:spPr>
        <a:xfrm>
          <a:off x="12940665" y="6812280"/>
          <a:ext cx="3228975" cy="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57149</xdr:colOff>
      <xdr:row>9</xdr:row>
      <xdr:rowOff>20956</xdr:rowOff>
    </xdr:from>
    <xdr:to>
      <xdr:col>13</xdr:col>
      <xdr:colOff>1227116</xdr:colOff>
      <xdr:row>10</xdr:row>
      <xdr:rowOff>98962</xdr:rowOff>
    </xdr:to>
    <xdr:sp macro="" textlink="$A$107">
      <xdr:nvSpPr>
        <xdr:cNvPr id="114" name="Rectángulo 113">
          <a:extLst>
            <a:ext uri="{FF2B5EF4-FFF2-40B4-BE49-F238E27FC236}">
              <a16:creationId xmlns:a16="http://schemas.microsoft.com/office/drawing/2014/main" id="{84A427AD-9895-4E50-84A6-FD8A58B19F83}"/>
            </a:ext>
          </a:extLst>
        </xdr:cNvPr>
        <xdr:cNvSpPr/>
      </xdr:nvSpPr>
      <xdr:spPr>
        <a:xfrm>
          <a:off x="12995909" y="1895476"/>
          <a:ext cx="2785407" cy="260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210B08E-DC29-4DB8-8ED0-863E5A72C388}" type="TxLink">
            <a:rPr lang="en-US" sz="900" b="1" i="0" u="none" strike="noStrike">
              <a:solidFill>
                <a:srgbClr val="000000"/>
              </a:solidFill>
              <a:latin typeface="Aptos Narrow"/>
            </a:rPr>
            <a:pPr algn="l"/>
            <a:t>Gestión de Clientes y Leads</a:t>
          </a:fld>
          <a:endParaRPr lang="es-CO" sz="1100">
            <a:solidFill>
              <a:sysClr val="windowText" lastClr="000000"/>
            </a:solidFill>
          </a:endParaRPr>
        </a:p>
      </xdr:txBody>
    </xdr:sp>
    <xdr:clientData/>
  </xdr:twoCellAnchor>
  <xdr:twoCellAnchor>
    <xdr:from>
      <xdr:col>12</xdr:col>
      <xdr:colOff>1206500</xdr:colOff>
      <xdr:row>26</xdr:row>
      <xdr:rowOff>127001</xdr:rowOff>
    </xdr:from>
    <xdr:to>
      <xdr:col>14</xdr:col>
      <xdr:colOff>266700</xdr:colOff>
      <xdr:row>39</xdr:row>
      <xdr:rowOff>76201</xdr:rowOff>
    </xdr:to>
    <xdr:graphicFrame macro="">
      <xdr:nvGraphicFramePr>
        <xdr:cNvPr id="115" name="Gráfico 114">
          <a:extLst>
            <a:ext uri="{FF2B5EF4-FFF2-40B4-BE49-F238E27FC236}">
              <a16:creationId xmlns:a16="http://schemas.microsoft.com/office/drawing/2014/main" id="{8326507D-E85F-40FC-87F5-AB25F303C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13</xdr:col>
      <xdr:colOff>508000</xdr:colOff>
      <xdr:row>30</xdr:row>
      <xdr:rowOff>107901</xdr:rowOff>
    </xdr:from>
    <xdr:to>
      <xdr:col>13</xdr:col>
      <xdr:colOff>1440477</xdr:colOff>
      <xdr:row>34</xdr:row>
      <xdr:rowOff>96471</xdr:rowOff>
    </xdr:to>
    <xdr:sp macro="" textlink="$B$115">
      <xdr:nvSpPr>
        <xdr:cNvPr id="116" name="Rectángulo 115">
          <a:extLst>
            <a:ext uri="{FF2B5EF4-FFF2-40B4-BE49-F238E27FC236}">
              <a16:creationId xmlns:a16="http://schemas.microsoft.com/office/drawing/2014/main" id="{5BBBCDBF-7D0D-4767-B0F8-9521385CD952}"/>
            </a:ext>
          </a:extLst>
        </xdr:cNvPr>
        <xdr:cNvSpPr/>
      </xdr:nvSpPr>
      <xdr:spPr>
        <a:xfrm>
          <a:off x="15062200" y="5822901"/>
          <a:ext cx="932477"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6A86C2-20A2-4236-991C-2612CFB2A4F8}" type="TxLink">
            <a:rPr lang="en-US" sz="2400" b="0" i="0" u="none" strike="noStrike">
              <a:solidFill>
                <a:schemeClr val="accent2"/>
              </a:solidFill>
              <a:latin typeface="Bahnschrift SemiBold Condensed" panose="020B0502040204020203" pitchFamily="34" charset="0"/>
            </a:rPr>
            <a:pPr algn="l"/>
            <a:t>60%</a:t>
          </a:fld>
          <a:endParaRPr lang="es-CO" sz="2400" b="1">
            <a:solidFill>
              <a:schemeClr val="accent2"/>
            </a:solidFill>
            <a:latin typeface="Bahnschrift SemiBold Condensed" panose="020B0502040204020203" pitchFamily="34" charset="0"/>
          </a:endParaRPr>
        </a:p>
      </xdr:txBody>
    </xdr:sp>
    <xdr:clientData/>
  </xdr:twoCellAnchor>
  <xdr:twoCellAnchor>
    <xdr:from>
      <xdr:col>11</xdr:col>
      <xdr:colOff>174998</xdr:colOff>
      <xdr:row>27</xdr:row>
      <xdr:rowOff>37193</xdr:rowOff>
    </xdr:from>
    <xdr:to>
      <xdr:col>13</xdr:col>
      <xdr:colOff>423224</xdr:colOff>
      <xdr:row>37</xdr:row>
      <xdr:rowOff>24080</xdr:rowOff>
    </xdr:to>
    <xdr:graphicFrame macro="">
      <xdr:nvGraphicFramePr>
        <xdr:cNvPr id="117" name="Gráfico 116">
          <a:extLst>
            <a:ext uri="{FF2B5EF4-FFF2-40B4-BE49-F238E27FC236}">
              <a16:creationId xmlns:a16="http://schemas.microsoft.com/office/drawing/2014/main" id="{B2701B75-BC3C-4E79-8A6E-29EE11E84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12</xdr:col>
      <xdr:colOff>12064</xdr:colOff>
      <xdr:row>27</xdr:row>
      <xdr:rowOff>78105</xdr:rowOff>
    </xdr:from>
    <xdr:to>
      <xdr:col>13</xdr:col>
      <xdr:colOff>1085767</xdr:colOff>
      <xdr:row>29</xdr:row>
      <xdr:rowOff>0</xdr:rowOff>
    </xdr:to>
    <xdr:sp macro="" textlink="$A$109">
      <xdr:nvSpPr>
        <xdr:cNvPr id="118" name="Rectángulo 117">
          <a:extLst>
            <a:ext uri="{FF2B5EF4-FFF2-40B4-BE49-F238E27FC236}">
              <a16:creationId xmlns:a16="http://schemas.microsoft.com/office/drawing/2014/main" id="{EFC21710-60C8-4BA4-AE0C-01C32B31C4EE}"/>
            </a:ext>
          </a:extLst>
        </xdr:cNvPr>
        <xdr:cNvSpPr/>
      </xdr:nvSpPr>
      <xdr:spPr>
        <a:xfrm>
          <a:off x="12950824" y="5244465"/>
          <a:ext cx="2689143" cy="287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762506-7F0F-428F-B52C-A3BDDB34AF09}" type="TxLink">
            <a:rPr lang="en-US" sz="900" b="1" i="0" u="none" strike="noStrike">
              <a:solidFill>
                <a:srgbClr val="000000"/>
              </a:solidFill>
              <a:latin typeface="Aptos Narrow"/>
            </a:rPr>
            <a:pPr algn="l"/>
            <a:t>Gestión Operativa y Control de Ventas</a:t>
          </a:fld>
          <a:endParaRPr lang="es-CO" sz="1100">
            <a:solidFill>
              <a:sysClr val="windowText" lastClr="000000"/>
            </a:solidFill>
          </a:endParaRPr>
        </a:p>
      </xdr:txBody>
    </xdr:sp>
    <xdr:clientData/>
  </xdr:twoCellAnchor>
  <xdr:twoCellAnchor>
    <xdr:from>
      <xdr:col>12</xdr:col>
      <xdr:colOff>584200</xdr:colOff>
      <xdr:row>30</xdr:row>
      <xdr:rowOff>147312</xdr:rowOff>
    </xdr:from>
    <xdr:to>
      <xdr:col>12</xdr:col>
      <xdr:colOff>1524166</xdr:colOff>
      <xdr:row>34</xdr:row>
      <xdr:rowOff>124782</xdr:rowOff>
    </xdr:to>
    <xdr:sp macro="" textlink="$B$109">
      <xdr:nvSpPr>
        <xdr:cNvPr id="119" name="Rectángulo 118">
          <a:extLst>
            <a:ext uri="{FF2B5EF4-FFF2-40B4-BE49-F238E27FC236}">
              <a16:creationId xmlns:a16="http://schemas.microsoft.com/office/drawing/2014/main" id="{270C77D8-5280-423D-982B-E514D08A788C}"/>
            </a:ext>
          </a:extLst>
        </xdr:cNvPr>
        <xdr:cNvSpPr/>
      </xdr:nvSpPr>
      <xdr:spPr>
        <a:xfrm>
          <a:off x="13522960" y="5862312"/>
          <a:ext cx="939966" cy="708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4D1FEF-3904-48DA-B25F-F713612F0A75}" type="TxLink">
            <a:rPr lang="en-US" sz="2400" b="0" i="0" u="none" strike="noStrike">
              <a:solidFill>
                <a:schemeClr val="tx2">
                  <a:lumMod val="50000"/>
                  <a:lumOff val="50000"/>
                </a:schemeClr>
              </a:solidFill>
              <a:latin typeface="Bahnschrift SemiBold Condensed" panose="020B0502040204020203" pitchFamily="34" charset="0"/>
            </a:rPr>
            <a:pPr algn="l"/>
            <a:t>40%</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12</xdr:col>
      <xdr:colOff>46355</xdr:colOff>
      <xdr:row>36</xdr:row>
      <xdr:rowOff>77470</xdr:rowOff>
    </xdr:from>
    <xdr:to>
      <xdr:col>13</xdr:col>
      <xdr:colOff>401320</xdr:colOff>
      <xdr:row>38</xdr:row>
      <xdr:rowOff>12700</xdr:rowOff>
    </xdr:to>
    <xdr:sp macro="" textlink="$A$110">
      <xdr:nvSpPr>
        <xdr:cNvPr id="120" name="Rectángulo 119">
          <a:extLst>
            <a:ext uri="{FF2B5EF4-FFF2-40B4-BE49-F238E27FC236}">
              <a16:creationId xmlns:a16="http://schemas.microsoft.com/office/drawing/2014/main" id="{21881846-84FD-4764-B225-8503DD8583B5}"/>
            </a:ext>
          </a:extLst>
        </xdr:cNvPr>
        <xdr:cNvSpPr/>
      </xdr:nvSpPr>
      <xdr:spPr>
        <a:xfrm>
          <a:off x="12985115" y="6889750"/>
          <a:ext cx="1970405" cy="3009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262D34-F84A-4F50-AE94-5055B298555E}" type="TxLink">
            <a:rPr lang="en-US" sz="900" b="1" i="0" u="none" strike="noStrike">
              <a:solidFill>
                <a:srgbClr val="000000"/>
              </a:solidFill>
              <a:latin typeface="Aptos Narrow"/>
            </a:rPr>
            <a:pPr algn="l"/>
            <a:t> </a:t>
          </a:fld>
          <a:endParaRPr lang="es-CO" sz="1100">
            <a:solidFill>
              <a:sysClr val="windowText" lastClr="000000"/>
            </a:solidFill>
          </a:endParaRPr>
        </a:p>
      </xdr:txBody>
    </xdr:sp>
    <xdr:clientData/>
  </xdr:twoCellAnchor>
  <xdr:twoCellAnchor>
    <xdr:from>
      <xdr:col>12</xdr:col>
      <xdr:colOff>596900</xdr:colOff>
      <xdr:row>40</xdr:row>
      <xdr:rowOff>8519</xdr:rowOff>
    </xdr:from>
    <xdr:to>
      <xdr:col>12</xdr:col>
      <xdr:colOff>1539668</xdr:colOff>
      <xdr:row>43</xdr:row>
      <xdr:rowOff>163789</xdr:rowOff>
    </xdr:to>
    <xdr:sp macro="" textlink="$B$110">
      <xdr:nvSpPr>
        <xdr:cNvPr id="121" name="Rectángulo 120">
          <a:extLst>
            <a:ext uri="{FF2B5EF4-FFF2-40B4-BE49-F238E27FC236}">
              <a16:creationId xmlns:a16="http://schemas.microsoft.com/office/drawing/2014/main" id="{304484FE-5BE7-4581-B425-5E4AA89C2D7F}"/>
            </a:ext>
          </a:extLst>
        </xdr:cNvPr>
        <xdr:cNvSpPr/>
      </xdr:nvSpPr>
      <xdr:spPr>
        <a:xfrm>
          <a:off x="13535660" y="7552319"/>
          <a:ext cx="942768" cy="703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F819A-F1B7-4DB6-A5DB-7B89EC642AF1}" type="TxLink">
            <a:rPr lang="en-US" sz="2400" b="0" i="0" u="none" strike="noStrike">
              <a:solidFill>
                <a:schemeClr val="tx2">
                  <a:lumMod val="50000"/>
                  <a:lumOff val="50000"/>
                </a:schemeClr>
              </a:solidFill>
              <a:latin typeface="Bahnschrift SemiBold Condensed" panose="020B0502040204020203" pitchFamily="34" charset="0"/>
            </a:rPr>
            <a:pPr algn="l"/>
            <a:t> </a:t>
          </a:fld>
          <a:endParaRPr lang="es-CO" sz="2400">
            <a:solidFill>
              <a:schemeClr val="tx2">
                <a:lumMod val="50000"/>
                <a:lumOff val="50000"/>
              </a:schemeClr>
            </a:solidFill>
            <a:latin typeface="Bahnschrift SemiBold Condensed" panose="020B0502040204020203" pitchFamily="34" charset="0"/>
          </a:endParaRPr>
        </a:p>
      </xdr:txBody>
    </xdr:sp>
    <xdr:clientData/>
  </xdr:twoCellAnchor>
  <xdr:twoCellAnchor>
    <xdr:from>
      <xdr:col>13</xdr:col>
      <xdr:colOff>457200</xdr:colOff>
      <xdr:row>39</xdr:row>
      <xdr:rowOff>100806</xdr:rowOff>
    </xdr:from>
    <xdr:to>
      <xdr:col>13</xdr:col>
      <xdr:colOff>1312619</xdr:colOff>
      <xdr:row>43</xdr:row>
      <xdr:rowOff>89376</xdr:rowOff>
    </xdr:to>
    <xdr:sp macro="" textlink="$B$116">
      <xdr:nvSpPr>
        <xdr:cNvPr id="122" name="Rectángulo 121">
          <a:extLst>
            <a:ext uri="{FF2B5EF4-FFF2-40B4-BE49-F238E27FC236}">
              <a16:creationId xmlns:a16="http://schemas.microsoft.com/office/drawing/2014/main" id="{23D8FC71-52EA-468A-A854-A58C09047466}"/>
            </a:ext>
          </a:extLst>
        </xdr:cNvPr>
        <xdr:cNvSpPr/>
      </xdr:nvSpPr>
      <xdr:spPr>
        <a:xfrm>
          <a:off x="15011400" y="7461726"/>
          <a:ext cx="855419" cy="7200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543804-8942-49F6-97FC-7F994BF8F3BB}" type="TxLink">
            <a:rPr lang="en-US" sz="2400" b="0" i="0" u="none" strike="noStrike">
              <a:solidFill>
                <a:schemeClr val="accent2"/>
              </a:solidFill>
              <a:latin typeface="Bahnschrift SemiBold Condensed" panose="020B0502040204020203" pitchFamily="34" charset="0"/>
            </a:rPr>
            <a:pPr algn="l"/>
            <a:t> </a:t>
          </a:fld>
          <a:endParaRPr lang="es-CO" sz="2400" b="1">
            <a:solidFill>
              <a:schemeClr val="accent2"/>
            </a:solidFill>
            <a:latin typeface="Bahnschrift SemiBold Condensed" panose="020B0502040204020203" pitchFamily="34" charset="0"/>
          </a:endParaRPr>
        </a:p>
      </xdr:txBody>
    </xdr:sp>
    <xdr:clientData/>
  </xdr:twoCellAnchor>
  <xdr:twoCellAnchor>
    <xdr:from>
      <xdr:col>14</xdr:col>
      <xdr:colOff>174998</xdr:colOff>
      <xdr:row>27</xdr:row>
      <xdr:rowOff>37193</xdr:rowOff>
    </xdr:from>
    <xdr:to>
      <xdr:col>15</xdr:col>
      <xdr:colOff>0</xdr:colOff>
      <xdr:row>37</xdr:row>
      <xdr:rowOff>24080</xdr:rowOff>
    </xdr:to>
    <xdr:graphicFrame macro="">
      <xdr:nvGraphicFramePr>
        <xdr:cNvPr id="123" name="Gráfico 122">
          <a:extLst>
            <a:ext uri="{FF2B5EF4-FFF2-40B4-BE49-F238E27FC236}">
              <a16:creationId xmlns:a16="http://schemas.microsoft.com/office/drawing/2014/main" id="{7C4FF147-9A05-4C7C-ACC0-DF6F85794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228600</xdr:colOff>
      <xdr:row>44</xdr:row>
      <xdr:rowOff>53340</xdr:rowOff>
    </xdr:from>
    <xdr:to>
      <xdr:col>8</xdr:col>
      <xdr:colOff>95250</xdr:colOff>
      <xdr:row>66</xdr:row>
      <xdr:rowOff>92710</xdr:rowOff>
    </xdr:to>
    <xdr:grpSp>
      <xdr:nvGrpSpPr>
        <xdr:cNvPr id="124" name="Grupo 123">
          <a:extLst>
            <a:ext uri="{FF2B5EF4-FFF2-40B4-BE49-F238E27FC236}">
              <a16:creationId xmlns:a16="http://schemas.microsoft.com/office/drawing/2014/main" id="{F37CFC5F-3BB9-415D-9A65-94CAE84F2C5D}"/>
            </a:ext>
          </a:extLst>
        </xdr:cNvPr>
        <xdr:cNvGrpSpPr/>
      </xdr:nvGrpSpPr>
      <xdr:grpSpPr>
        <a:xfrm>
          <a:off x="5474677" y="8072804"/>
          <a:ext cx="3526301" cy="3937293"/>
          <a:chOff x="5275897" y="7883842"/>
          <a:chExt cx="4608644" cy="2743200"/>
        </a:xfrm>
      </xdr:grpSpPr>
      <xdr:graphicFrame macro="">
        <xdr:nvGraphicFramePr>
          <xdr:cNvPr id="125" name="Gráfico 124">
            <a:extLst>
              <a:ext uri="{FF2B5EF4-FFF2-40B4-BE49-F238E27FC236}">
                <a16:creationId xmlns:a16="http://schemas.microsoft.com/office/drawing/2014/main" id="{2E0C9492-BF67-8D4F-0998-06C2E1749ACD}"/>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126" name="CuadroTexto 125">
            <a:extLst>
              <a:ext uri="{FF2B5EF4-FFF2-40B4-BE49-F238E27FC236}">
                <a16:creationId xmlns:a16="http://schemas.microsoft.com/office/drawing/2014/main" id="{429708D8-45B2-E4D5-F07F-EA2AC348B4A2}"/>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27" name="CuadroTexto 126">
            <a:extLst>
              <a:ext uri="{FF2B5EF4-FFF2-40B4-BE49-F238E27FC236}">
                <a16:creationId xmlns:a16="http://schemas.microsoft.com/office/drawing/2014/main" id="{D37B593D-9E8C-B677-AE9D-ECF684A5D636}"/>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28" name="CuadroTexto 127">
            <a:extLst>
              <a:ext uri="{FF2B5EF4-FFF2-40B4-BE49-F238E27FC236}">
                <a16:creationId xmlns:a16="http://schemas.microsoft.com/office/drawing/2014/main" id="{7E4EA4CB-6E13-717A-CB65-7BAA999D90B5}"/>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29" name="CuadroTexto 128">
            <a:extLst>
              <a:ext uri="{FF2B5EF4-FFF2-40B4-BE49-F238E27FC236}">
                <a16:creationId xmlns:a16="http://schemas.microsoft.com/office/drawing/2014/main" id="{9C25F6D8-EE14-EEA5-31A8-AAB572D067C8}"/>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0" name="CuadroTexto 129">
            <a:extLst>
              <a:ext uri="{FF2B5EF4-FFF2-40B4-BE49-F238E27FC236}">
                <a16:creationId xmlns:a16="http://schemas.microsoft.com/office/drawing/2014/main" id="{9E388B98-C191-37D2-58C7-805C2CDD1B45}"/>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31" name="CuadroTexto 130">
            <a:extLst>
              <a:ext uri="{FF2B5EF4-FFF2-40B4-BE49-F238E27FC236}">
                <a16:creationId xmlns:a16="http://schemas.microsoft.com/office/drawing/2014/main" id="{E220811C-49B7-E404-2CB6-684917864183}"/>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85">
        <xdr:nvSpPr>
          <xdr:cNvPr id="132" name="Rectángulo 131">
            <a:extLst>
              <a:ext uri="{FF2B5EF4-FFF2-40B4-BE49-F238E27FC236}">
                <a16:creationId xmlns:a16="http://schemas.microsoft.com/office/drawing/2014/main" id="{8A6A11B9-6716-6C7F-A7B0-F87C0143B1FA}"/>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946B11-6170-4F29-9CF5-943E94421FCA}" type="TxLink">
              <a:rPr lang="en-US" sz="3600" b="0" i="0" u="none" strike="noStrike">
                <a:solidFill>
                  <a:srgbClr val="000000"/>
                </a:solidFill>
                <a:latin typeface="Bahnschrift SemiBold Condensed" panose="020B0502040204020203" pitchFamily="34" charset="0"/>
              </a:rPr>
              <a:pPr algn="l"/>
              <a:t>94</a:t>
            </a:fld>
            <a:endParaRPr lang="es-CO" sz="3600" b="1">
              <a:latin typeface="Bahnschrift SemiBold Condensed" panose="020B0502040204020203" pitchFamily="34" charset="0"/>
            </a:endParaRPr>
          </a:p>
        </xdr:txBody>
      </xdr:sp>
    </xdr:grpSp>
    <xdr:clientData/>
  </xdr:twoCellAnchor>
  <xdr:twoCellAnchor>
    <xdr:from>
      <xdr:col>8</xdr:col>
      <xdr:colOff>247650</xdr:colOff>
      <xdr:row>44</xdr:row>
      <xdr:rowOff>19050</xdr:rowOff>
    </xdr:from>
    <xdr:to>
      <xdr:col>11</xdr:col>
      <xdr:colOff>100965</xdr:colOff>
      <xdr:row>66</xdr:row>
      <xdr:rowOff>56515</xdr:rowOff>
    </xdr:to>
    <xdr:grpSp>
      <xdr:nvGrpSpPr>
        <xdr:cNvPr id="133" name="Grupo 132">
          <a:extLst>
            <a:ext uri="{FF2B5EF4-FFF2-40B4-BE49-F238E27FC236}">
              <a16:creationId xmlns:a16="http://schemas.microsoft.com/office/drawing/2014/main" id="{F810C62B-2BDB-401A-B02C-CC6BB54BA9DC}"/>
            </a:ext>
          </a:extLst>
        </xdr:cNvPr>
        <xdr:cNvGrpSpPr/>
      </xdr:nvGrpSpPr>
      <xdr:grpSpPr>
        <a:xfrm>
          <a:off x="9153378" y="8030894"/>
          <a:ext cx="3516777" cy="3943008"/>
          <a:chOff x="5275897" y="7883842"/>
          <a:chExt cx="4608644" cy="2743200"/>
        </a:xfrm>
      </xdr:grpSpPr>
      <xdr:graphicFrame macro="">
        <xdr:nvGraphicFramePr>
          <xdr:cNvPr id="134" name="Gráfico 133">
            <a:extLst>
              <a:ext uri="{FF2B5EF4-FFF2-40B4-BE49-F238E27FC236}">
                <a16:creationId xmlns:a16="http://schemas.microsoft.com/office/drawing/2014/main" id="{7E7232D9-1970-B1AE-CD4F-1461009C53E2}"/>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0"/>
          </a:graphicData>
        </a:graphic>
      </xdr:graphicFrame>
      <xdr:sp macro="" textlink="">
        <xdr:nvSpPr>
          <xdr:cNvPr id="135" name="CuadroTexto 134">
            <a:extLst>
              <a:ext uri="{FF2B5EF4-FFF2-40B4-BE49-F238E27FC236}">
                <a16:creationId xmlns:a16="http://schemas.microsoft.com/office/drawing/2014/main" id="{659775D8-9BF3-F90D-CAD7-F2A922761D7B}"/>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36" name="CuadroTexto 135">
            <a:extLst>
              <a:ext uri="{FF2B5EF4-FFF2-40B4-BE49-F238E27FC236}">
                <a16:creationId xmlns:a16="http://schemas.microsoft.com/office/drawing/2014/main" id="{9B73AB19-DE6C-D720-C06B-D163012D6F2E}"/>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37" name="CuadroTexto 136">
            <a:extLst>
              <a:ext uri="{FF2B5EF4-FFF2-40B4-BE49-F238E27FC236}">
                <a16:creationId xmlns:a16="http://schemas.microsoft.com/office/drawing/2014/main" id="{C7ADDCDE-C8D1-F680-FB37-3F513F9256A4}"/>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38" name="CuadroTexto 137">
            <a:extLst>
              <a:ext uri="{FF2B5EF4-FFF2-40B4-BE49-F238E27FC236}">
                <a16:creationId xmlns:a16="http://schemas.microsoft.com/office/drawing/2014/main" id="{B8B6D790-D33E-F0A7-D644-849D20724799}"/>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39" name="CuadroTexto 138">
            <a:extLst>
              <a:ext uri="{FF2B5EF4-FFF2-40B4-BE49-F238E27FC236}">
                <a16:creationId xmlns:a16="http://schemas.microsoft.com/office/drawing/2014/main" id="{64164A90-9B7B-0EF8-4F3E-58407D5497F8}"/>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0" name="CuadroTexto 139">
            <a:extLst>
              <a:ext uri="{FF2B5EF4-FFF2-40B4-BE49-F238E27FC236}">
                <a16:creationId xmlns:a16="http://schemas.microsoft.com/office/drawing/2014/main" id="{EE58C62B-2567-B4D3-5519-431115C6463C}"/>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99">
        <xdr:nvSpPr>
          <xdr:cNvPr id="141" name="Rectángulo 140">
            <a:extLst>
              <a:ext uri="{FF2B5EF4-FFF2-40B4-BE49-F238E27FC236}">
                <a16:creationId xmlns:a16="http://schemas.microsoft.com/office/drawing/2014/main" id="{229F2414-CAFC-D4FC-E4BB-DC6FC2F26E7A}"/>
              </a:ext>
            </a:extLst>
          </xdr:cNvPr>
          <xdr:cNvSpPr/>
        </xdr:nvSpPr>
        <xdr:spPr>
          <a:xfrm>
            <a:off x="7201251" y="9001027"/>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8A3E6C-2DCC-4613-AC44-484B8DF18012}" type="TxLink">
              <a:rPr lang="en-US" sz="3600" b="0" i="0" u="none" strike="noStrike">
                <a:solidFill>
                  <a:srgbClr val="000000"/>
                </a:solidFill>
                <a:latin typeface="Bahnschrift SemiBold Condensed" panose="020B0502040204020203" pitchFamily="34" charset="0"/>
              </a:rPr>
              <a:pPr algn="l"/>
              <a:t>89</a:t>
            </a:fld>
            <a:endParaRPr lang="es-CO" sz="3600" b="1">
              <a:latin typeface="Bahnschrift SemiBold Condensed" panose="020B0502040204020203" pitchFamily="34" charset="0"/>
            </a:endParaRPr>
          </a:p>
        </xdr:txBody>
      </xdr:sp>
    </xdr:grpSp>
    <xdr:clientData/>
  </xdr:twoCellAnchor>
  <xdr:twoCellAnchor>
    <xdr:from>
      <xdr:col>11</xdr:col>
      <xdr:colOff>228600</xdr:colOff>
      <xdr:row>44</xdr:row>
      <xdr:rowOff>24765</xdr:rowOff>
    </xdr:from>
    <xdr:to>
      <xdr:col>14</xdr:col>
      <xdr:colOff>95250</xdr:colOff>
      <xdr:row>66</xdr:row>
      <xdr:rowOff>86995</xdr:rowOff>
    </xdr:to>
    <xdr:grpSp>
      <xdr:nvGrpSpPr>
        <xdr:cNvPr id="142" name="Grupo 141">
          <a:extLst>
            <a:ext uri="{FF2B5EF4-FFF2-40B4-BE49-F238E27FC236}">
              <a16:creationId xmlns:a16="http://schemas.microsoft.com/office/drawing/2014/main" id="{C6F93CA3-FE5C-4D4F-AC0E-27A7746C7A30}"/>
            </a:ext>
          </a:extLst>
        </xdr:cNvPr>
        <xdr:cNvGrpSpPr/>
      </xdr:nvGrpSpPr>
      <xdr:grpSpPr>
        <a:xfrm>
          <a:off x="12801600" y="8036609"/>
          <a:ext cx="3526302" cy="3965868"/>
          <a:chOff x="5275897" y="7883842"/>
          <a:chExt cx="4608644" cy="2743200"/>
        </a:xfrm>
      </xdr:grpSpPr>
      <xdr:graphicFrame macro="">
        <xdr:nvGraphicFramePr>
          <xdr:cNvPr id="143" name="Gráfico 142">
            <a:extLst>
              <a:ext uri="{FF2B5EF4-FFF2-40B4-BE49-F238E27FC236}">
                <a16:creationId xmlns:a16="http://schemas.microsoft.com/office/drawing/2014/main" id="{959A8853-A65E-CAD5-3E39-7E9A3FCEEB8D}"/>
              </a:ext>
            </a:extLst>
          </xdr:cNvPr>
          <xdr:cNvGraphicFramePr/>
        </xdr:nvGraphicFramePr>
        <xdr:xfrm>
          <a:off x="5275897" y="7883842"/>
          <a:ext cx="4528495" cy="2743200"/>
        </xdr:xfrm>
        <a:graphic>
          <a:graphicData uri="http://schemas.openxmlformats.org/drawingml/2006/chart">
            <c:chart xmlns:c="http://schemas.openxmlformats.org/drawingml/2006/chart" xmlns:r="http://schemas.openxmlformats.org/officeDocument/2006/relationships" r:id="rId51"/>
          </a:graphicData>
        </a:graphic>
      </xdr:graphicFrame>
      <xdr:sp macro="" textlink="">
        <xdr:nvSpPr>
          <xdr:cNvPr id="144" name="CuadroTexto 143">
            <a:extLst>
              <a:ext uri="{FF2B5EF4-FFF2-40B4-BE49-F238E27FC236}">
                <a16:creationId xmlns:a16="http://schemas.microsoft.com/office/drawing/2014/main" id="{12DAE6A5-B94B-8D5F-AD54-D128A575361D}"/>
              </a:ext>
            </a:extLst>
          </xdr:cNvPr>
          <xdr:cNvSpPr txBox="1"/>
        </xdr:nvSpPr>
        <xdr:spPr>
          <a:xfrm>
            <a:off x="5740906" y="8708063"/>
            <a:ext cx="757284" cy="259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20</a:t>
            </a:r>
          </a:p>
        </xdr:txBody>
      </xdr:sp>
      <xdr:sp macro="" textlink="">
        <xdr:nvSpPr>
          <xdr:cNvPr id="145" name="CuadroTexto 144">
            <a:extLst>
              <a:ext uri="{FF2B5EF4-FFF2-40B4-BE49-F238E27FC236}">
                <a16:creationId xmlns:a16="http://schemas.microsoft.com/office/drawing/2014/main" id="{02F40BD5-D9D6-5602-BA96-48CC2FBD9BD8}"/>
              </a:ext>
            </a:extLst>
          </xdr:cNvPr>
          <xdr:cNvSpPr txBox="1"/>
        </xdr:nvSpPr>
        <xdr:spPr>
          <a:xfrm>
            <a:off x="6697226" y="8342914"/>
            <a:ext cx="464386" cy="22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40</a:t>
            </a:r>
          </a:p>
        </xdr:txBody>
      </xdr:sp>
      <xdr:sp macro="" textlink="">
        <xdr:nvSpPr>
          <xdr:cNvPr id="146" name="CuadroTexto 145">
            <a:extLst>
              <a:ext uri="{FF2B5EF4-FFF2-40B4-BE49-F238E27FC236}">
                <a16:creationId xmlns:a16="http://schemas.microsoft.com/office/drawing/2014/main" id="{9F727D65-1660-93B8-0F2E-B7C0746B3606}"/>
              </a:ext>
            </a:extLst>
          </xdr:cNvPr>
          <xdr:cNvSpPr txBox="1"/>
        </xdr:nvSpPr>
        <xdr:spPr>
          <a:xfrm>
            <a:off x="7956663" y="8354658"/>
            <a:ext cx="450934" cy="230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60</a:t>
            </a:r>
          </a:p>
        </xdr:txBody>
      </xdr:sp>
      <xdr:sp macro="" textlink="">
        <xdr:nvSpPr>
          <xdr:cNvPr id="147" name="CuadroTexto 146">
            <a:extLst>
              <a:ext uri="{FF2B5EF4-FFF2-40B4-BE49-F238E27FC236}">
                <a16:creationId xmlns:a16="http://schemas.microsoft.com/office/drawing/2014/main" id="{AA6BB9FB-3E86-40B7-0C90-0CE1C3A71322}"/>
              </a:ext>
            </a:extLst>
          </xdr:cNvPr>
          <xdr:cNvSpPr txBox="1"/>
        </xdr:nvSpPr>
        <xdr:spPr>
          <a:xfrm>
            <a:off x="8937179" y="8697883"/>
            <a:ext cx="586687" cy="208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80</a:t>
            </a:r>
          </a:p>
        </xdr:txBody>
      </xdr:sp>
      <xdr:sp macro="" textlink="">
        <xdr:nvSpPr>
          <xdr:cNvPr id="148" name="CuadroTexto 147">
            <a:extLst>
              <a:ext uri="{FF2B5EF4-FFF2-40B4-BE49-F238E27FC236}">
                <a16:creationId xmlns:a16="http://schemas.microsoft.com/office/drawing/2014/main" id="{C3280428-5916-6F82-8125-3D35CF683517}"/>
              </a:ext>
            </a:extLst>
          </xdr:cNvPr>
          <xdr:cNvSpPr txBox="1"/>
        </xdr:nvSpPr>
        <xdr:spPr>
          <a:xfrm>
            <a:off x="9285570" y="9230828"/>
            <a:ext cx="598971" cy="227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100</a:t>
            </a:r>
          </a:p>
        </xdr:txBody>
      </xdr:sp>
      <xdr:sp macro="" textlink="">
        <xdr:nvSpPr>
          <xdr:cNvPr id="149" name="CuadroTexto 148">
            <a:extLst>
              <a:ext uri="{FF2B5EF4-FFF2-40B4-BE49-F238E27FC236}">
                <a16:creationId xmlns:a16="http://schemas.microsoft.com/office/drawing/2014/main" id="{AC11A56E-1CEB-1234-3B55-0CEA0884D22D}"/>
              </a:ext>
            </a:extLst>
          </xdr:cNvPr>
          <xdr:cNvSpPr txBox="1"/>
        </xdr:nvSpPr>
        <xdr:spPr>
          <a:xfrm>
            <a:off x="5493215" y="9242607"/>
            <a:ext cx="237282" cy="21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100" b="1"/>
              <a:t>0</a:t>
            </a:r>
          </a:p>
        </xdr:txBody>
      </xdr:sp>
      <xdr:sp macro="" textlink="$F$113">
        <xdr:nvSpPr>
          <xdr:cNvPr id="150" name="Rectángulo 149">
            <a:extLst>
              <a:ext uri="{FF2B5EF4-FFF2-40B4-BE49-F238E27FC236}">
                <a16:creationId xmlns:a16="http://schemas.microsoft.com/office/drawing/2014/main" id="{E414AB83-8831-74BA-82D1-A71047DCB59F}"/>
              </a:ext>
            </a:extLst>
          </xdr:cNvPr>
          <xdr:cNvSpPr/>
        </xdr:nvSpPr>
        <xdr:spPr>
          <a:xfrm>
            <a:off x="7161176" y="8980581"/>
            <a:ext cx="1000130" cy="416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45285D-E9A2-43E4-962B-902C584A0ECC}" type="TxLink">
              <a:rPr lang="en-US" sz="3600" b="0" i="0" u="none" strike="noStrike">
                <a:solidFill>
                  <a:srgbClr val="000000"/>
                </a:solidFill>
                <a:latin typeface="Bahnschrift SemiBold Condensed" panose="020B0502040204020203" pitchFamily="34" charset="0"/>
              </a:rPr>
              <a:pPr algn="l"/>
              <a:t>80</a:t>
            </a:fld>
            <a:endParaRPr lang="es-CO" sz="3600" b="1">
              <a:latin typeface="Bahnschrift SemiBold Condensed" panose="020B0502040204020203" pitchFamily="34" charset="0"/>
            </a:endParaRPr>
          </a:p>
        </xdr:txBody>
      </xdr:sp>
    </xdr:grpSp>
    <xdr:clientData/>
  </xdr:twoCellAnchor>
  <xdr:twoCellAnchor>
    <xdr:from>
      <xdr:col>15</xdr:col>
      <xdr:colOff>84405</xdr:colOff>
      <xdr:row>0</xdr:row>
      <xdr:rowOff>53633</xdr:rowOff>
    </xdr:from>
    <xdr:to>
      <xdr:col>23</xdr:col>
      <xdr:colOff>644769</xdr:colOff>
      <xdr:row>29</xdr:row>
      <xdr:rowOff>58615</xdr:rowOff>
    </xdr:to>
    <xdr:graphicFrame macro="">
      <xdr:nvGraphicFramePr>
        <xdr:cNvPr id="151" name="Gráfico 150">
          <a:extLst>
            <a:ext uri="{FF2B5EF4-FFF2-40B4-BE49-F238E27FC236}">
              <a16:creationId xmlns:a16="http://schemas.microsoft.com/office/drawing/2014/main" id="{C010CDFE-E4AD-4ADE-8E59-AAED2C45F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107997</xdr:colOff>
      <xdr:row>30</xdr:row>
      <xdr:rowOff>2051</xdr:rowOff>
    </xdr:from>
    <xdr:to>
      <xdr:col>23</xdr:col>
      <xdr:colOff>644768</xdr:colOff>
      <xdr:row>58</xdr:row>
      <xdr:rowOff>58615</xdr:rowOff>
    </xdr:to>
    <xdr:graphicFrame macro="">
      <xdr:nvGraphicFramePr>
        <xdr:cNvPr id="152" name="Gráfico 151">
          <a:extLst>
            <a:ext uri="{FF2B5EF4-FFF2-40B4-BE49-F238E27FC236}">
              <a16:creationId xmlns:a16="http://schemas.microsoft.com/office/drawing/2014/main" id="{F69552F8-22B9-4342-B219-C5555803A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331694</xdr:colOff>
      <xdr:row>105</xdr:row>
      <xdr:rowOff>143435</xdr:rowOff>
    </xdr:from>
    <xdr:to>
      <xdr:col>1</xdr:col>
      <xdr:colOff>474345</xdr:colOff>
      <xdr:row>110</xdr:row>
      <xdr:rowOff>121359</xdr:rowOff>
    </xdr:to>
    <xdr:sp macro="" textlink="">
      <xdr:nvSpPr>
        <xdr:cNvPr id="2" name="Elipse 1">
          <a:hlinkClick xmlns:r="http://schemas.openxmlformats.org/officeDocument/2006/relationships" r:id="rId1"/>
          <a:extLst>
            <a:ext uri="{FF2B5EF4-FFF2-40B4-BE49-F238E27FC236}">
              <a16:creationId xmlns:a16="http://schemas.microsoft.com/office/drawing/2014/main" id="{C240733F-9233-4C6D-8995-EFBEF42CCCA3}"/>
            </a:ext>
          </a:extLst>
        </xdr:cNvPr>
        <xdr:cNvSpPr/>
      </xdr:nvSpPr>
      <xdr:spPr>
        <a:xfrm>
          <a:off x="331694" y="13859435"/>
          <a:ext cx="935131" cy="892324"/>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311817</xdr:colOff>
      <xdr:row>86</xdr:row>
      <xdr:rowOff>177474</xdr:rowOff>
    </xdr:from>
    <xdr:to>
      <xdr:col>1</xdr:col>
      <xdr:colOff>460183</xdr:colOff>
      <xdr:row>91</xdr:row>
      <xdr:rowOff>177179</xdr:rowOff>
    </xdr:to>
    <xdr:sp macro="" textlink="">
      <xdr:nvSpPr>
        <xdr:cNvPr id="2" name="Elipse 1">
          <a:hlinkClick xmlns:r="http://schemas.openxmlformats.org/officeDocument/2006/relationships" r:id="rId1"/>
          <a:extLst>
            <a:ext uri="{FF2B5EF4-FFF2-40B4-BE49-F238E27FC236}">
              <a16:creationId xmlns:a16="http://schemas.microsoft.com/office/drawing/2014/main" id="{C1449252-5F02-42B3-956D-82850A74B931}"/>
            </a:ext>
          </a:extLst>
        </xdr:cNvPr>
        <xdr:cNvSpPr/>
      </xdr:nvSpPr>
      <xdr:spPr>
        <a:xfrm>
          <a:off x="311817" y="22480351"/>
          <a:ext cx="939121" cy="89829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94708</xdr:colOff>
      <xdr:row>85</xdr:row>
      <xdr:rowOff>23403</xdr:rowOff>
    </xdr:from>
    <xdr:to>
      <xdr:col>0</xdr:col>
      <xdr:colOff>1002576</xdr:colOff>
      <xdr:row>89</xdr:row>
      <xdr:rowOff>173625</xdr:rowOff>
    </xdr:to>
    <xdr:sp macro="" textlink="">
      <xdr:nvSpPr>
        <xdr:cNvPr id="3" name="Elipse 2">
          <a:hlinkClick xmlns:r="http://schemas.openxmlformats.org/officeDocument/2006/relationships" r:id="rId1"/>
          <a:extLst>
            <a:ext uri="{FF2B5EF4-FFF2-40B4-BE49-F238E27FC236}">
              <a16:creationId xmlns:a16="http://schemas.microsoft.com/office/drawing/2014/main" id="{345CFB7A-1FF7-4D85-9D57-8BAE8BE45ADC}"/>
            </a:ext>
          </a:extLst>
        </xdr:cNvPr>
        <xdr:cNvSpPr/>
      </xdr:nvSpPr>
      <xdr:spPr>
        <a:xfrm>
          <a:off x="94708" y="38259474"/>
          <a:ext cx="907868" cy="857794"/>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twoCellAnchor editAs="oneCell">
    <xdr:from>
      <xdr:col>5</xdr:col>
      <xdr:colOff>74568</xdr:colOff>
      <xdr:row>18</xdr:row>
      <xdr:rowOff>219165</xdr:rowOff>
    </xdr:from>
    <xdr:to>
      <xdr:col>5</xdr:col>
      <xdr:colOff>3026501</xdr:colOff>
      <xdr:row>19</xdr:row>
      <xdr:rowOff>245515</xdr:rowOff>
    </xdr:to>
    <xdr:pic>
      <xdr:nvPicPr>
        <xdr:cNvPr id="2" name="Imagen 1">
          <a:extLst>
            <a:ext uri="{FF2B5EF4-FFF2-40B4-BE49-F238E27FC236}">
              <a16:creationId xmlns:a16="http://schemas.microsoft.com/office/drawing/2014/main" id="{9E8029D9-F936-64D7-36CC-6C8E89E00501}"/>
            </a:ext>
          </a:extLst>
        </xdr:cNvPr>
        <xdr:cNvPicPr>
          <a:picLocks noChangeAspect="1"/>
        </xdr:cNvPicPr>
      </xdr:nvPicPr>
      <xdr:blipFill>
        <a:blip xmlns:r="http://schemas.openxmlformats.org/officeDocument/2006/relationships" r:embed="rId2"/>
        <a:stretch>
          <a:fillRect/>
        </a:stretch>
      </xdr:blipFill>
      <xdr:spPr>
        <a:xfrm>
          <a:off x="9109711" y="17554665"/>
          <a:ext cx="2946218" cy="407350"/>
        </a:xfrm>
        <a:prstGeom prst="rect">
          <a:avLst/>
        </a:prstGeom>
      </xdr:spPr>
    </xdr:pic>
    <xdr:clientData/>
  </xdr:twoCellAnchor>
  <xdr:twoCellAnchor editAs="oneCell">
    <xdr:from>
      <xdr:col>5</xdr:col>
      <xdr:colOff>509996</xdr:colOff>
      <xdr:row>39</xdr:row>
      <xdr:rowOff>80555</xdr:rowOff>
    </xdr:from>
    <xdr:to>
      <xdr:col>5</xdr:col>
      <xdr:colOff>2649497</xdr:colOff>
      <xdr:row>42</xdr:row>
      <xdr:rowOff>57737</xdr:rowOff>
    </xdr:to>
    <xdr:pic>
      <xdr:nvPicPr>
        <xdr:cNvPr id="4" name="Imagen 3">
          <a:extLst>
            <a:ext uri="{FF2B5EF4-FFF2-40B4-BE49-F238E27FC236}">
              <a16:creationId xmlns:a16="http://schemas.microsoft.com/office/drawing/2014/main" id="{1998EB17-8F1E-96C6-6CDA-19A99E7829F6}"/>
            </a:ext>
          </a:extLst>
        </xdr:cNvPr>
        <xdr:cNvPicPr>
          <a:picLocks noChangeAspect="1"/>
        </xdr:cNvPicPr>
      </xdr:nvPicPr>
      <xdr:blipFill>
        <a:blip xmlns:r="http://schemas.openxmlformats.org/officeDocument/2006/relationships" r:embed="rId3"/>
        <a:stretch>
          <a:fillRect/>
        </a:stretch>
      </xdr:blipFill>
      <xdr:spPr>
        <a:xfrm>
          <a:off x="9534253" y="29134526"/>
          <a:ext cx="2135691" cy="5285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1013285</xdr:colOff>
      <xdr:row>42</xdr:row>
      <xdr:rowOff>66503</xdr:rowOff>
    </xdr:from>
    <xdr:to>
      <xdr:col>5</xdr:col>
      <xdr:colOff>1946735</xdr:colOff>
      <xdr:row>47</xdr:row>
      <xdr:rowOff>24593</xdr:rowOff>
    </xdr:to>
    <xdr:sp macro="" textlink="">
      <xdr:nvSpPr>
        <xdr:cNvPr id="2" name="Elipse 1">
          <a:hlinkClick xmlns:r="http://schemas.openxmlformats.org/officeDocument/2006/relationships" r:id="rId1"/>
          <a:extLst>
            <a:ext uri="{FF2B5EF4-FFF2-40B4-BE49-F238E27FC236}">
              <a16:creationId xmlns:a16="http://schemas.microsoft.com/office/drawing/2014/main" id="{F42F7D16-BF95-4B42-B75F-8171FC4F7717}"/>
            </a:ext>
          </a:extLst>
        </xdr:cNvPr>
        <xdr:cNvSpPr/>
      </xdr:nvSpPr>
      <xdr:spPr>
        <a:xfrm>
          <a:off x="10018740" y="36954230"/>
          <a:ext cx="933450" cy="823999"/>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27214</xdr:colOff>
      <xdr:row>48</xdr:row>
      <xdr:rowOff>38711</xdr:rowOff>
    </xdr:from>
    <xdr:to>
      <xdr:col>1</xdr:col>
      <xdr:colOff>114844</xdr:colOff>
      <xdr:row>52</xdr:row>
      <xdr:rowOff>173693</xdr:rowOff>
    </xdr:to>
    <xdr:sp macro="" textlink="">
      <xdr:nvSpPr>
        <xdr:cNvPr id="2" name="Elipse 1">
          <a:hlinkClick xmlns:r="http://schemas.openxmlformats.org/officeDocument/2006/relationships" r:id="rId1"/>
          <a:extLst>
            <a:ext uri="{FF2B5EF4-FFF2-40B4-BE49-F238E27FC236}">
              <a16:creationId xmlns:a16="http://schemas.microsoft.com/office/drawing/2014/main" id="{1E92BCBA-3DFD-4BB5-83A1-BB4AD36EE07D}"/>
            </a:ext>
          </a:extLst>
        </xdr:cNvPr>
        <xdr:cNvSpPr/>
      </xdr:nvSpPr>
      <xdr:spPr>
        <a:xfrm>
          <a:off x="27214" y="32355675"/>
          <a:ext cx="876844" cy="842554"/>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52387</xdr:colOff>
      <xdr:row>68</xdr:row>
      <xdr:rowOff>104842</xdr:rowOff>
    </xdr:from>
    <xdr:to>
      <xdr:col>1</xdr:col>
      <xdr:colOff>143827</xdr:colOff>
      <xdr:row>73</xdr:row>
      <xdr:rowOff>70552</xdr:rowOff>
    </xdr:to>
    <xdr:sp macro="" textlink="">
      <xdr:nvSpPr>
        <xdr:cNvPr id="3" name="Elipse 2">
          <a:hlinkClick xmlns:r="http://schemas.openxmlformats.org/officeDocument/2006/relationships" r:id="rId1"/>
          <a:extLst>
            <a:ext uri="{FF2B5EF4-FFF2-40B4-BE49-F238E27FC236}">
              <a16:creationId xmlns:a16="http://schemas.microsoft.com/office/drawing/2014/main" id="{D74C0103-07D4-4E1D-9FE0-38F9B8F708A6}"/>
            </a:ext>
          </a:extLst>
        </xdr:cNvPr>
        <xdr:cNvSpPr/>
      </xdr:nvSpPr>
      <xdr:spPr>
        <a:xfrm>
          <a:off x="52387" y="36404617"/>
          <a:ext cx="882015" cy="87058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t>TABLERO</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5911.525391087962" createdVersion="8" refreshedVersion="8" minRefreshableVersion="3" recordCount="4" xr:uid="{280152C6-2464-4BC3-955D-232BDF1AB06B}">
  <cacheSource type="worksheet">
    <worksheetSource ref="AP19:AQ23" sheet="Tablero Oct"/>
  </cacheSource>
  <cacheFields count="2">
    <cacheField name="CARGO " numFmtId="0">
      <sharedItems count="4">
        <s v="DIRECTORA COMERCIAL"/>
        <s v="LIDER SALA DE VENTAS"/>
        <s v="ASESORA COMERCIAL"/>
        <s v="ASESORA COMERCIAL ADMIN"/>
      </sharedItems>
    </cacheField>
    <cacheField name="CALIFICACIÓN" numFmtId="1">
      <sharedItems containsSemiMixedTypes="0" containsString="0" containsNumber="1" containsInteger="1" minValue="0" maxValue="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5974.627156249997" createdVersion="8" refreshedVersion="8" minRefreshableVersion="3" recordCount="13" xr:uid="{A0921554-C4BD-4F49-AFAF-AB01FD83E19D}">
  <cacheSource type="worksheet">
    <worksheetSource ref="AJ1:AM14" sheet="Tablero Oct"/>
  </cacheSource>
  <cacheFields count="4">
    <cacheField name="CARGO" numFmtId="0">
      <sharedItems count="4">
        <s v="DIRECTORA COMERCIAL"/>
        <s v="LIDER SALA DE VENTAS"/>
        <s v="ASESORA COMERCIAL"/>
        <s v="ASESORA COMERCIAL ADMIN"/>
      </sharedItems>
    </cacheField>
    <cacheField name="INDICADOR" numFmtId="0">
      <sharedItems count="6">
        <s v="Estrategia y Planificación Comercial"/>
        <s v="Liderazgo y Gestión del Equipo Comercial"/>
        <s v="Gestión Operativa y Control de Ventas"/>
        <s v="Gestión Documental y Procesos Legales/Internos"/>
        <s v="Gestión de Clientes y Leads"/>
        <s v="Relaciones y Servicio"/>
      </sharedItems>
    </cacheField>
    <cacheField name="INCIDENCIA" numFmtId="9">
      <sharedItems containsSemiMixedTypes="0" containsString="0" containsNumber="1" minValue="0" maxValue="0.6"/>
    </cacheField>
    <cacheField name="CALIFICACIÓN" numFmtId="9">
      <sharedItems containsSemiMixedTypes="0" containsString="0" containsNumber="1" minValue="0" maxValue="0.4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5974.628906828701" createdVersion="8" refreshedVersion="8" minRefreshableVersion="3" recordCount="4" xr:uid="{D5F9FBBA-8252-42A4-9991-FDA6BC9D7D88}">
  <cacheSource type="worksheet">
    <worksheetSource ref="AP19:AS23" sheet="Tablero Oct"/>
  </cacheSource>
  <cacheFields count="4">
    <cacheField name="CARGO " numFmtId="0">
      <sharedItems count="4">
        <s v="DIRECTORA COMERCIAL"/>
        <s v="LIDER SALA DE VENTAS"/>
        <s v="ASESORA COMERCIAL"/>
        <s v="ASESORA COMERCIAL ADMIN"/>
      </sharedItems>
    </cacheField>
    <cacheField name="Agosto" numFmtId="0">
      <sharedItems containsString="0" containsBlank="1" containsNumber="1" containsInteger="1" minValue="69" maxValue="69"/>
    </cacheField>
    <cacheField name="Septiembre" numFmtId="0">
      <sharedItems containsString="0" containsBlank="1" containsNumber="1" containsInteger="1" minValue="74" maxValue="74"/>
    </cacheField>
    <cacheField name="Octubre" numFmtId="1">
      <sharedItems containsSemiMixedTypes="0" containsString="0" containsNumber="1" containsInteger="1" minValue="57" maxValue="8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06.65937789352" createdVersion="8" refreshedVersion="8" minRefreshableVersion="3" recordCount="13" xr:uid="{0F734256-EAF9-426C-9AE8-8F8E545986B3}">
  <cacheSource type="worksheet">
    <worksheetSource ref="AJ1:AM14" sheet="Tablero Nov"/>
  </cacheSource>
  <cacheFields count="4">
    <cacheField name="CARGO" numFmtId="0">
      <sharedItems count="4">
        <s v="DIRECTORA COMERCIAL"/>
        <s v="LIDER SALA DE VENTAS"/>
        <s v="ASESORA COMERCIAL"/>
        <s v="ASESORA COMERCIAL ADMIN"/>
      </sharedItems>
    </cacheField>
    <cacheField name="INDICADOR" numFmtId="0">
      <sharedItems count="6">
        <s v="Estrategia y Planificación Comercial"/>
        <s v="Liderazgo y Gestión del Equipo Comercial"/>
        <s v="Gestión Operativa y Control de Ventas"/>
        <s v="Gestión Documental y Procesos Legales/Internos"/>
        <s v="Gestión de Clientes y Leads"/>
        <s v="Relaciones y Servicio"/>
      </sharedItems>
    </cacheField>
    <cacheField name="INCIDENCIA" numFmtId="9">
      <sharedItems containsSemiMixedTypes="0" containsString="0" containsNumber="1" minValue="0.05" maxValue="0.7"/>
    </cacheField>
    <cacheField name="CALIFICACIÓN" numFmtId="9">
      <sharedItems containsSemiMixedTypes="0" containsString="0" containsNumber="1" minValue="0.04" maxValue="0.6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06.661397453703" createdVersion="8" refreshedVersion="8" minRefreshableVersion="3" recordCount="4" xr:uid="{E72B36FC-86A9-44DC-B68E-CE2BD0C08628}">
  <cacheSource type="worksheet">
    <worksheetSource ref="AP1:AT5" sheet="Tablero Nov"/>
  </cacheSource>
  <cacheFields count="5">
    <cacheField name="CARGO " numFmtId="0">
      <sharedItems count="4">
        <s v="DIRECTORA COMERCIAL"/>
        <s v="LIDER SALA DE VENTAS"/>
        <s v="ASESORA COMERCIAL"/>
        <s v="ASESORA COMERCIAL ADMIN"/>
      </sharedItems>
    </cacheField>
    <cacheField name="Agosto" numFmtId="0">
      <sharedItems containsString="0" containsBlank="1" containsNumber="1" containsInteger="1" minValue="69" maxValue="69"/>
    </cacheField>
    <cacheField name="Septiembre" numFmtId="0">
      <sharedItems containsString="0" containsBlank="1" containsNumber="1" containsInteger="1" minValue="74" maxValue="74"/>
    </cacheField>
    <cacheField name="Octubre" numFmtId="1">
      <sharedItems containsSemiMixedTypes="0" containsString="0" containsNumber="1" containsInteger="1" minValue="57" maxValue="80"/>
    </cacheField>
    <cacheField name="Noviembre" numFmtId="0">
      <sharedItems containsSemiMixedTypes="0" containsString="0" containsNumber="1" containsInteger="1" minValue="69" maxValue="8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76.58448888889" createdVersion="8" refreshedVersion="8" minRefreshableVersion="3" recordCount="13" xr:uid="{1663EE22-F3D2-409C-AB35-330D390DD3BB}">
  <cacheSource type="worksheet">
    <worksheetSource ref="AJ1:AM14" sheet="Tablero Dic25-Ene26"/>
  </cacheSource>
  <cacheFields count="4">
    <cacheField name="CARGO" numFmtId="0">
      <sharedItems count="4">
        <s v="DIRECTORA COMERCIAL"/>
        <s v="LIDER SALA DE VENTAS"/>
        <s v="ASESORA COMERCIAL"/>
        <s v="ASESORA COMERCIAL ADMIN"/>
      </sharedItems>
    </cacheField>
    <cacheField name="INDICADOR" numFmtId="0">
      <sharedItems count="6">
        <s v="Estrategia y Planificación Comercial"/>
        <s v="Liderazgo y Gestión del Equipo Comercial"/>
        <s v="Gestión Operativa y Control de Ventas"/>
        <s v="Gestión Documental y Procesos Legales/Internos"/>
        <s v="Gestión de Clientes y Leads"/>
        <s v="Relaciones y Servicio"/>
      </sharedItems>
    </cacheField>
    <cacheField name="INCIDENCIA" numFmtId="9">
      <sharedItems containsSemiMixedTypes="0" containsString="0" containsNumber="1" minValue="0.05" maxValue="0.7"/>
    </cacheField>
    <cacheField name="CALIFICACIÓN" numFmtId="9">
      <sharedItems containsSemiMixedTypes="0" containsString="0" containsNumber="1" minValue="0" maxValue="0.5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76.584768865738" createdVersion="8" refreshedVersion="8" minRefreshableVersion="3" recordCount="4" xr:uid="{E63BD4EF-13EE-441A-A8E5-25AD1EB1E49E}">
  <cacheSource type="worksheet">
    <worksheetSource ref="AP1:AU5" sheet="Tablero Dic25-Ene26"/>
  </cacheSource>
  <cacheFields count="6">
    <cacheField name="CARGO " numFmtId="0">
      <sharedItems count="4">
        <s v="DIRECTORA COMERCIAL"/>
        <s v="LIDER SALA DE VENTAS"/>
        <s v="ASESORA COMERCIAL"/>
        <s v="ASESORA COMERCIAL ADMIN"/>
      </sharedItems>
    </cacheField>
    <cacheField name="Agosto" numFmtId="0">
      <sharedItems containsString="0" containsBlank="1" containsNumber="1" containsInteger="1" minValue="69" maxValue="69"/>
    </cacheField>
    <cacheField name="Septiembre" numFmtId="0">
      <sharedItems containsString="0" containsBlank="1" containsNumber="1" containsInteger="1" minValue="74" maxValue="74"/>
    </cacheField>
    <cacheField name="Octubre" numFmtId="1">
      <sharedItems containsSemiMixedTypes="0" containsString="0" containsNumber="1" containsInteger="1" minValue="57" maxValue="80"/>
    </cacheField>
    <cacheField name="Noviembre" numFmtId="0">
      <sharedItems containsSemiMixedTypes="0" containsString="0" containsNumber="1" containsInteger="1" minValue="69" maxValue="88"/>
    </cacheField>
    <cacheField name="Diciembre-Enero" numFmtId="0">
      <sharedItems containsSemiMixedTypes="0" containsString="0" containsNumber="1" containsInteger="1" minValue="51" maxValue="7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97.494611805552" createdVersion="8" refreshedVersion="8" minRefreshableVersion="3" recordCount="4" xr:uid="{BABB59EB-AA38-4B96-BD35-465F7B5C778F}">
  <cacheSource type="worksheet">
    <worksheetSource ref="AP1:AV5" sheet="Tablero Feb26"/>
  </cacheSource>
  <cacheFields count="7">
    <cacheField name="CARGO " numFmtId="0">
      <sharedItems count="4">
        <s v="DIRECTORA COMERCIAL"/>
        <s v="LIDER SALA DE VENTAS"/>
        <s v="ASESORA COMERCIAL"/>
        <s v="ASESORA COMERCIAL ADMIN"/>
      </sharedItems>
    </cacheField>
    <cacheField name="Agosto" numFmtId="0">
      <sharedItems containsString="0" containsBlank="1" containsNumber="1" containsInteger="1" minValue="69" maxValue="69"/>
    </cacheField>
    <cacheField name="Septiembre" numFmtId="0">
      <sharedItems containsString="0" containsBlank="1" containsNumber="1" containsInteger="1" minValue="74" maxValue="74"/>
    </cacheField>
    <cacheField name="Octubre" numFmtId="1">
      <sharedItems containsSemiMixedTypes="0" containsString="0" containsNumber="1" containsInteger="1" minValue="57" maxValue="80"/>
    </cacheField>
    <cacheField name="Noviembre" numFmtId="0">
      <sharedItems containsSemiMixedTypes="0" containsString="0" containsNumber="1" containsInteger="1" minValue="69" maxValue="88"/>
    </cacheField>
    <cacheField name="Diciembre-Enero" numFmtId="0">
      <sharedItems containsSemiMixedTypes="0" containsString="0" containsNumber="1" containsInteger="1" minValue="51" maxValue="72"/>
    </cacheField>
    <cacheField name="Febrero" numFmtId="0">
      <sharedItems containsSemiMixedTypes="0" containsString="0" containsNumber="1" containsInteger="1" minValue="51" maxValue="92"/>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097.495458217592" createdVersion="8" refreshedVersion="8" minRefreshableVersion="3" recordCount="13" xr:uid="{BFBF66FF-ACBC-4958-B252-B19075F35900}">
  <cacheSource type="worksheet">
    <worksheetSource ref="AJ1:AM14" sheet="Tablero Feb26"/>
  </cacheSource>
  <cacheFields count="4">
    <cacheField name="CARGO" numFmtId="0">
      <sharedItems count="4">
        <s v="DIRECTORA COMERCIAL"/>
        <s v="LIDER SALA DE VENTAS"/>
        <s v="ASESORA COMERCIAL"/>
        <s v="ASESORA COMERCIAL ADMIN"/>
      </sharedItems>
    </cacheField>
    <cacheField name="INDICADOR" numFmtId="0">
      <sharedItems count="6">
        <s v="Estrategia y Planificación Comercial"/>
        <s v="Liderazgo y Gestión del Equipo Comercial"/>
        <s v="Gestión Operativa y Control de Ventas"/>
        <s v="Gestión Documental y Procesos Legales/Internos"/>
        <s v="Gestión de Clientes y Leads"/>
        <s v="Relaciones y Servicio"/>
      </sharedItems>
    </cacheField>
    <cacheField name="INCIDENCIA" numFmtId="9">
      <sharedItems containsSemiMixedTypes="0" containsString="0" containsNumber="1" minValue="0.05" maxValue="0.7"/>
    </cacheField>
    <cacheField name="CALIFICACIÓN" numFmtId="9">
      <sharedItems containsSemiMixedTypes="0" containsString="0" containsNumber="1" minValue="0" maxValue="0.6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122.635885763892" createdVersion="8" refreshedVersion="8" minRefreshableVersion="3" recordCount="4" xr:uid="{6A7EA892-D7B0-4AD5-AA57-4D1BC8442758}">
  <cacheSource type="worksheet">
    <worksheetSource ref="AP1:AW5" sheet="Tablero Mar-26"/>
  </cacheSource>
  <cacheFields count="8">
    <cacheField name="CARGO " numFmtId="0">
      <sharedItems count="4">
        <s v="DIRECTORA COMERCIAL"/>
        <s v="LIDER SALA DE VENTAS"/>
        <s v="ASESORA COMERCIAL NATALIA"/>
        <s v="ASESORA COMERCIAL PAOLA"/>
      </sharedItems>
    </cacheField>
    <cacheField name="Agosto" numFmtId="0">
      <sharedItems containsString="0" containsBlank="1" containsNumber="1" containsInteger="1" minValue="69" maxValue="69"/>
    </cacheField>
    <cacheField name="Septiembre" numFmtId="0">
      <sharedItems containsString="0" containsBlank="1" containsNumber="1" containsInteger="1" minValue="74" maxValue="74"/>
    </cacheField>
    <cacheField name="Octubre" numFmtId="1">
      <sharedItems containsSemiMixedTypes="0" containsString="0" containsNumber="1" containsInteger="1" minValue="57" maxValue="80"/>
    </cacheField>
    <cacheField name="Noviembre" numFmtId="0">
      <sharedItems containsSemiMixedTypes="0" containsString="0" containsNumber="1" containsInteger="1" minValue="69" maxValue="88"/>
    </cacheField>
    <cacheField name="Diciembre-Enero" numFmtId="0">
      <sharedItems containsSemiMixedTypes="0" containsString="0" containsNumber="1" containsInteger="1" minValue="51" maxValue="72"/>
    </cacheField>
    <cacheField name="Febrero" numFmtId="0">
      <sharedItems containsSemiMixedTypes="0" containsString="0" containsNumber="1" containsInteger="1" minValue="51" maxValue="92"/>
    </cacheField>
    <cacheField name="Marzo" numFmtId="0">
      <sharedItems containsSemiMixedTypes="0" containsString="0" containsNumber="1" containsInteger="1" minValue="80" maxValue="94"/>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US" refreshedDate="46122.636867476853" createdVersion="8" refreshedVersion="8" minRefreshableVersion="3" recordCount="13" xr:uid="{4D26FDD6-2081-4D4D-8F92-C26EF5099AAB}">
  <cacheSource type="worksheet">
    <worksheetSource ref="AJ1:AM14" sheet="Tablero Mar-26"/>
  </cacheSource>
  <cacheFields count="4">
    <cacheField name="CARGO" numFmtId="0">
      <sharedItems count="4">
        <s v="DIRECTORA COMERCIAL"/>
        <s v="LIDER SALA DE VENTAS"/>
        <s v="ASESORA COMERCIAL"/>
        <s v="ASESORA COMERCIAL ADMIN"/>
      </sharedItems>
    </cacheField>
    <cacheField name="INDICADOR" numFmtId="0">
      <sharedItems count="6">
        <s v="Estrategia y Planificación Comercial"/>
        <s v="Liderazgo y Gestión del Equipo Comercial"/>
        <s v="Gestión Operativa y Control de Ventas"/>
        <s v="Gestión Documental y Procesos Legales/Internos"/>
        <s v="Gestión de Clientes y Leads"/>
        <s v="Relaciones y Servicio"/>
      </sharedItems>
    </cacheField>
    <cacheField name="INCIDENCIA" numFmtId="9">
      <sharedItems containsSemiMixedTypes="0" containsString="0" containsNumber="1" minValue="0" maxValue="0.7"/>
    </cacheField>
    <cacheField name="CALIFICACIÓN" numFmtId="9">
      <sharedItems containsSemiMixedTypes="0" containsString="0" containsNumber="1" minValue="0" maxValue="0.65"/>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9354E-F4A5-45DB-8514-7AD7C2198941}" name="TablaDinámica3" cacheId="26"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
  <location ref="AJ40:AM44" firstHeaderRow="0" firstDataRow="1" firstDataCol="1"/>
  <pivotFields count="4">
    <pivotField axis="axisRow" showAll="0">
      <items count="5">
        <item x="2"/>
        <item x="3"/>
        <item x="0"/>
        <item x="1"/>
        <item t="default"/>
      </items>
    </pivotField>
    <pivotField dataField="1" showAll="0"/>
    <pivotField dataField="1" showAll="0"/>
    <pivotField dataField="1" numFmtId="1" showAll="0"/>
  </pivotFields>
  <rowFields count="1">
    <field x="0"/>
  </rowFields>
  <rowItems count="4">
    <i>
      <x/>
    </i>
    <i>
      <x v="1"/>
    </i>
    <i>
      <x v="2"/>
    </i>
    <i>
      <x v="3"/>
    </i>
  </rowItems>
  <colFields count="1">
    <field x="-2"/>
  </colFields>
  <colItems count="3">
    <i>
      <x/>
    </i>
    <i i="1">
      <x v="1"/>
    </i>
    <i i="2">
      <x v="2"/>
    </i>
  </colItems>
  <dataFields count="3">
    <dataField name="Suma de Agosto" fld="1" baseField="0" baseItem="0"/>
    <dataField name="Suma de Septiembre" fld="2" baseField="0" baseItem="0"/>
    <dataField name="Suma de Octubre" fld="3" baseField="0" baseItem="0" numFmtId="1"/>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0" count="1" selected="0">
            <x v="2"/>
          </reference>
        </references>
      </pivotArea>
    </chartFormat>
    <chartFormat chart="0" format="4">
      <pivotArea type="data" outline="0" fieldPosition="0">
        <references count="2">
          <reference field="4294967294" count="1" selected="0">
            <x v="2"/>
          </reference>
          <reference field="0" count="1" selected="0">
            <x v="3"/>
          </reference>
        </references>
      </pivotArea>
    </chartFormat>
    <chartFormat chart="0" format="5">
      <pivotArea type="data" outline="0" fieldPosition="0">
        <references count="2">
          <reference field="4294967294" count="1" selected="0">
            <x v="2"/>
          </reference>
          <reference field="0" count="1" selected="0">
            <x v="0"/>
          </reference>
        </references>
      </pivotArea>
    </chartFormat>
    <chartFormat chart="0" format="6">
      <pivotArea type="data" outline="0" fieldPosition="0">
        <references count="2">
          <reference field="4294967294" count="1" selected="0">
            <x v="2"/>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2C8CB-F6AC-425F-AF9D-9EFF7D0B4D9D}" name="TablaDinámica1" cacheId="25"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location ref="AJ17:AL34" firstHeaderRow="0" firstDataRow="1" firstDataCol="1"/>
  <pivotFields count="4">
    <pivotField axis="axisRow" showAll="0">
      <items count="5">
        <item x="2"/>
        <item x="3"/>
        <item x="0"/>
        <item x="1"/>
        <item t="default"/>
      </items>
    </pivotField>
    <pivotField axis="axisRow" showAll="0">
      <items count="7">
        <item x="0"/>
        <item x="4"/>
        <item x="3"/>
        <item x="2"/>
        <item x="1"/>
        <item x="5"/>
        <item t="default"/>
      </items>
    </pivotField>
    <pivotField dataField="1" numFmtId="9" showAll="0"/>
    <pivotField dataField="1" numFmtId="9" showAll="0"/>
  </pivotFields>
  <rowFields count="2">
    <field x="0"/>
    <field x="1"/>
  </rowFields>
  <rowItems count="17">
    <i>
      <x/>
    </i>
    <i r="1">
      <x v="1"/>
    </i>
    <i r="1">
      <x v="3"/>
    </i>
    <i r="1">
      <x v="5"/>
    </i>
    <i>
      <x v="1"/>
    </i>
    <i r="1">
      <x v="1"/>
    </i>
    <i r="1">
      <x v="3"/>
    </i>
    <i r="1">
      <x v="5"/>
    </i>
    <i>
      <x v="2"/>
    </i>
    <i r="1">
      <x/>
    </i>
    <i r="1">
      <x v="2"/>
    </i>
    <i r="1">
      <x v="3"/>
    </i>
    <i r="1">
      <x v="4"/>
    </i>
    <i>
      <x v="3"/>
    </i>
    <i r="1">
      <x v="1"/>
    </i>
    <i r="1">
      <x v="3"/>
    </i>
    <i r="1">
      <x v="5"/>
    </i>
  </rowItems>
  <colFields count="1">
    <field x="-2"/>
  </colFields>
  <colItems count="2">
    <i>
      <x/>
    </i>
    <i i="1">
      <x v="1"/>
    </i>
  </colItems>
  <dataFields count="2">
    <dataField name="Suma de INCIDENCIA" fld="2" baseField="0" baseItem="0" numFmtId="9"/>
    <dataField name="Suma de CALIFICACIÓN" fld="3" baseField="0"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1C0F9-76C2-4B8F-8206-916768869D77}" name="TablaDinámica2"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P4:AQ9" firstHeaderRow="1" firstDataRow="1" firstDataCol="1"/>
  <pivotFields count="2">
    <pivotField axis="axisRow" showAll="0">
      <items count="5">
        <item x="2"/>
        <item x="3"/>
        <item x="0"/>
        <item x="1"/>
        <item t="default"/>
      </items>
    </pivotField>
    <pivotField dataField="1" numFmtId="1" showAll="0"/>
  </pivotFields>
  <rowFields count="1">
    <field x="0"/>
  </rowFields>
  <rowItems count="5">
    <i>
      <x/>
    </i>
    <i>
      <x v="1"/>
    </i>
    <i>
      <x v="2"/>
    </i>
    <i>
      <x v="3"/>
    </i>
    <i t="grand">
      <x/>
    </i>
  </rowItems>
  <colItems count="1">
    <i/>
  </colItems>
  <dataFields count="1">
    <dataField name="Suma de CALIFICACIÓN" fld="1"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B3BA97-D39D-4976-BF67-4B7F94A766BF}" name="TablaDinámica2" cacheId="28"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location ref="AP17:AT21" firstHeaderRow="0" firstDataRow="1" firstDataCol="1"/>
  <pivotFields count="5">
    <pivotField axis="axisRow" showAll="0">
      <items count="5">
        <item x="2"/>
        <item x="3"/>
        <item x="0"/>
        <item x="1"/>
        <item t="default"/>
      </items>
    </pivotField>
    <pivotField dataField="1" showAll="0"/>
    <pivotField dataField="1" showAll="0"/>
    <pivotField dataField="1" numFmtId="1" showAll="0"/>
    <pivotField dataField="1" showAll="0"/>
  </pivotFields>
  <rowFields count="1">
    <field x="0"/>
  </rowFields>
  <rowItems count="4">
    <i>
      <x/>
    </i>
    <i>
      <x v="1"/>
    </i>
    <i>
      <x v="2"/>
    </i>
    <i>
      <x v="3"/>
    </i>
  </rowItems>
  <colFields count="1">
    <field x="-2"/>
  </colFields>
  <colItems count="4">
    <i>
      <x/>
    </i>
    <i i="1">
      <x v="1"/>
    </i>
    <i i="2">
      <x v="2"/>
    </i>
    <i i="3">
      <x v="3"/>
    </i>
  </colItems>
  <dataFields count="4">
    <dataField name="Suma de Agosto" fld="1" baseField="0" baseItem="0"/>
    <dataField name="Suma de Septiembre" fld="2" baseField="0" baseItem="0"/>
    <dataField name="Suma de Octubre" fld="3" baseField="0" baseItem="0" numFmtId="1"/>
    <dataField name="Suma de Noviembre"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5709D-8BC8-43CA-93EB-6036223D4D6A}" name="TablaDinámica1" cacheId="27"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
  <location ref="AJ17:AL34" firstHeaderRow="0" firstDataRow="1" firstDataCol="1"/>
  <pivotFields count="4">
    <pivotField axis="axisRow" showAll="0">
      <items count="5">
        <item x="2"/>
        <item x="3"/>
        <item x="0"/>
        <item x="1"/>
        <item t="default"/>
      </items>
    </pivotField>
    <pivotField axis="axisRow" showAll="0">
      <items count="7">
        <item x="0"/>
        <item x="4"/>
        <item x="3"/>
        <item x="2"/>
        <item x="1"/>
        <item x="5"/>
        <item t="default"/>
      </items>
    </pivotField>
    <pivotField dataField="1" numFmtId="9" showAll="0"/>
    <pivotField dataField="1" numFmtId="9" showAll="0"/>
  </pivotFields>
  <rowFields count="2">
    <field x="0"/>
    <field x="1"/>
  </rowFields>
  <rowItems count="17">
    <i>
      <x/>
    </i>
    <i r="1">
      <x v="1"/>
    </i>
    <i r="1">
      <x v="3"/>
    </i>
    <i r="1">
      <x v="5"/>
    </i>
    <i>
      <x v="1"/>
    </i>
    <i r="1">
      <x v="1"/>
    </i>
    <i r="1">
      <x v="3"/>
    </i>
    <i r="1">
      <x v="5"/>
    </i>
    <i>
      <x v="2"/>
    </i>
    <i r="1">
      <x/>
    </i>
    <i r="1">
      <x v="2"/>
    </i>
    <i r="1">
      <x v="3"/>
    </i>
    <i r="1">
      <x v="4"/>
    </i>
    <i>
      <x v="3"/>
    </i>
    <i r="1">
      <x v="1"/>
    </i>
    <i r="1">
      <x v="3"/>
    </i>
    <i r="1">
      <x v="5"/>
    </i>
  </rowItems>
  <colFields count="1">
    <field x="-2"/>
  </colFields>
  <colItems count="2">
    <i>
      <x/>
    </i>
    <i i="1">
      <x v="1"/>
    </i>
  </colItems>
  <dataFields count="2">
    <dataField name="Suma de INCIDENCIA" fld="2" baseField="0" baseItem="0" numFmtId="9"/>
    <dataField name="Suma de CALIFICACIÓN" fld="3" baseField="0"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58AC9-4070-4D23-9763-6C0993AD9668}" name="TablaDinámica1" cacheId="29"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
  <location ref="AJ18:AL35" firstHeaderRow="0" firstDataRow="1" firstDataCol="1"/>
  <pivotFields count="4">
    <pivotField axis="axisRow" showAll="0">
      <items count="5">
        <item x="2"/>
        <item x="3"/>
        <item x="0"/>
        <item x="1"/>
        <item t="default"/>
      </items>
    </pivotField>
    <pivotField axis="axisRow" showAll="0">
      <items count="7">
        <item x="0"/>
        <item x="4"/>
        <item x="3"/>
        <item x="2"/>
        <item x="1"/>
        <item x="5"/>
        <item t="default"/>
      </items>
    </pivotField>
    <pivotField dataField="1" numFmtId="9" showAll="0"/>
    <pivotField dataField="1" numFmtId="9" showAll="0"/>
  </pivotFields>
  <rowFields count="2">
    <field x="0"/>
    <field x="1"/>
  </rowFields>
  <rowItems count="17">
    <i>
      <x/>
    </i>
    <i r="1">
      <x v="1"/>
    </i>
    <i r="1">
      <x v="3"/>
    </i>
    <i r="1">
      <x v="5"/>
    </i>
    <i>
      <x v="1"/>
    </i>
    <i r="1">
      <x v="1"/>
    </i>
    <i r="1">
      <x v="3"/>
    </i>
    <i r="1">
      <x v="5"/>
    </i>
    <i>
      <x v="2"/>
    </i>
    <i r="1">
      <x/>
    </i>
    <i r="1">
      <x v="2"/>
    </i>
    <i r="1">
      <x v="3"/>
    </i>
    <i r="1">
      <x v="4"/>
    </i>
    <i>
      <x v="3"/>
    </i>
    <i r="1">
      <x v="1"/>
    </i>
    <i r="1">
      <x v="3"/>
    </i>
    <i r="1">
      <x v="5"/>
    </i>
  </rowItems>
  <colFields count="1">
    <field x="-2"/>
  </colFields>
  <colItems count="2">
    <i>
      <x/>
    </i>
    <i i="1">
      <x v="1"/>
    </i>
  </colItems>
  <dataFields count="2">
    <dataField name="Suma de INCIDENCIA" fld="2" baseField="0" baseItem="0" numFmtId="9"/>
    <dataField name="Suma de CALIFICACIÓN" fld="3" baseField="0"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DE7889-B703-470B-84FD-3A3BD3F9DD78}" name="TablaDinámica2" cacheId="30"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
  <location ref="AP18:AU22" firstHeaderRow="0" firstDataRow="1" firstDataCol="1"/>
  <pivotFields count="6">
    <pivotField axis="axisRow" showAll="0">
      <items count="5">
        <item x="2"/>
        <item x="3"/>
        <item x="0"/>
        <item x="1"/>
        <item t="default"/>
      </items>
    </pivotField>
    <pivotField dataField="1" showAll="0"/>
    <pivotField dataField="1" showAll="0"/>
    <pivotField dataField="1" numFmtId="1" showAll="0"/>
    <pivotField dataField="1" showAll="0"/>
    <pivotField dataField="1" showAll="0"/>
  </pivotFields>
  <rowFields count="1">
    <field x="0"/>
  </rowFields>
  <rowItems count="4">
    <i>
      <x/>
    </i>
    <i>
      <x v="1"/>
    </i>
    <i>
      <x v="2"/>
    </i>
    <i>
      <x v="3"/>
    </i>
  </rowItems>
  <colFields count="1">
    <field x="-2"/>
  </colFields>
  <colItems count="5">
    <i>
      <x/>
    </i>
    <i i="1">
      <x v="1"/>
    </i>
    <i i="2">
      <x v="2"/>
    </i>
    <i i="3">
      <x v="3"/>
    </i>
    <i i="4">
      <x v="4"/>
    </i>
  </colItems>
  <dataFields count="5">
    <dataField name="Suma de Agosto" fld="1" baseField="0" baseItem="0"/>
    <dataField name="Suma de Septiembre" fld="2" baseField="0" baseItem="0"/>
    <dataField name="Suma de Octubre" fld="3" baseField="0" baseItem="0" numFmtId="1"/>
    <dataField name="Suma de Noviembre" fld="4" baseField="0" baseItem="0"/>
    <dataField name="Suma de Diciembre-Enero" fld="5"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04085-1BFB-4B6B-ACA8-13E156CA2406}" name="TablaDinámica1" cacheId="32"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2">
  <location ref="AJ18:AL35" firstHeaderRow="0" firstDataRow="1" firstDataCol="1"/>
  <pivotFields count="4">
    <pivotField axis="axisRow" showAll="0">
      <items count="5">
        <item x="2"/>
        <item x="3"/>
        <item x="0"/>
        <item x="1"/>
        <item t="default"/>
      </items>
    </pivotField>
    <pivotField axis="axisRow" showAll="0">
      <items count="7">
        <item x="0"/>
        <item x="4"/>
        <item x="3"/>
        <item x="2"/>
        <item x="1"/>
        <item x="5"/>
        <item t="default"/>
      </items>
    </pivotField>
    <pivotField dataField="1" numFmtId="9" showAll="0"/>
    <pivotField dataField="1" numFmtId="9" showAll="0"/>
  </pivotFields>
  <rowFields count="2">
    <field x="0"/>
    <field x="1"/>
  </rowFields>
  <rowItems count="17">
    <i>
      <x/>
    </i>
    <i r="1">
      <x v="1"/>
    </i>
    <i r="1">
      <x v="3"/>
    </i>
    <i r="1">
      <x v="5"/>
    </i>
    <i>
      <x v="1"/>
    </i>
    <i r="1">
      <x v="1"/>
    </i>
    <i r="1">
      <x v="3"/>
    </i>
    <i r="1">
      <x v="5"/>
    </i>
    <i>
      <x v="2"/>
    </i>
    <i r="1">
      <x/>
    </i>
    <i r="1">
      <x v="2"/>
    </i>
    <i r="1">
      <x v="3"/>
    </i>
    <i r="1">
      <x v="4"/>
    </i>
    <i>
      <x v="3"/>
    </i>
    <i r="1">
      <x v="1"/>
    </i>
    <i r="1">
      <x v="3"/>
    </i>
    <i r="1">
      <x v="5"/>
    </i>
  </rowItems>
  <colFields count="1">
    <field x="-2"/>
  </colFields>
  <colItems count="2">
    <i>
      <x/>
    </i>
    <i i="1">
      <x v="1"/>
    </i>
  </colItems>
  <dataFields count="2">
    <dataField name="Suma de INCIDENCIA" fld="2" baseField="0" baseItem="0" numFmtId="9"/>
    <dataField name="Suma de CALIFICACIÓN" fld="3"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B32371-F708-4C0C-B99D-AD122B6FC37A}" name="TablaDinámica2" cacheId="31"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2">
  <location ref="AP18:AV22" firstHeaderRow="0" firstDataRow="1" firstDataCol="1"/>
  <pivotFields count="7">
    <pivotField axis="axisRow" showAll="0">
      <items count="5">
        <item x="2"/>
        <item x="3"/>
        <item x="0"/>
        <item x="1"/>
        <item t="default"/>
      </items>
    </pivotField>
    <pivotField dataField="1" showAll="0"/>
    <pivotField dataField="1" showAll="0"/>
    <pivotField dataField="1" numFmtId="1" showAll="0"/>
    <pivotField dataField="1" showAll="0"/>
    <pivotField dataField="1" showAll="0"/>
    <pivotField dataField="1" showAll="0"/>
  </pivotFields>
  <rowFields count="1">
    <field x="0"/>
  </rowFields>
  <rowItems count="4">
    <i>
      <x/>
    </i>
    <i>
      <x v="1"/>
    </i>
    <i>
      <x v="2"/>
    </i>
    <i>
      <x v="3"/>
    </i>
  </rowItems>
  <colFields count="1">
    <field x="-2"/>
  </colFields>
  <colItems count="6">
    <i>
      <x/>
    </i>
    <i i="1">
      <x v="1"/>
    </i>
    <i i="2">
      <x v="2"/>
    </i>
    <i i="3">
      <x v="3"/>
    </i>
    <i i="4">
      <x v="4"/>
    </i>
    <i i="5">
      <x v="5"/>
    </i>
  </colItems>
  <dataFields count="6">
    <dataField name="Suma de Agosto" fld="1" baseField="0" baseItem="0"/>
    <dataField name="Suma de Septiembre" fld="2" baseField="0" baseItem="0"/>
    <dataField name="Suma de Octubre" fld="3" baseField="0" baseItem="0" numFmtId="1"/>
    <dataField name="Suma de Noviembre" fld="4" baseField="0" baseItem="0"/>
    <dataField name="Suma de Diciembre-Enero" fld="5" baseField="0" baseItem="0"/>
    <dataField name="Suma de Febrero" fld="6"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1" format="1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A78A2E-6AE1-4DF2-B4E4-EEB328815B6D}" name="TablaDinámica1" cacheId="34"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location ref="AJ18:AL35" firstHeaderRow="0" firstDataRow="1" firstDataCol="1"/>
  <pivotFields count="4">
    <pivotField axis="axisRow" showAll="0">
      <items count="5">
        <item x="2"/>
        <item x="3"/>
        <item x="0"/>
        <item x="1"/>
        <item t="default"/>
      </items>
    </pivotField>
    <pivotField axis="axisRow" showAll="0">
      <items count="7">
        <item x="0"/>
        <item x="4"/>
        <item x="3"/>
        <item x="2"/>
        <item x="1"/>
        <item x="5"/>
        <item t="default"/>
      </items>
    </pivotField>
    <pivotField dataField="1" numFmtId="9" showAll="0"/>
    <pivotField dataField="1" numFmtId="9" showAll="0"/>
  </pivotFields>
  <rowFields count="2">
    <field x="0"/>
    <field x="1"/>
  </rowFields>
  <rowItems count="17">
    <i>
      <x/>
    </i>
    <i r="1">
      <x v="1"/>
    </i>
    <i r="1">
      <x v="3"/>
    </i>
    <i r="1">
      <x v="5"/>
    </i>
    <i>
      <x v="1"/>
    </i>
    <i r="1">
      <x v="1"/>
    </i>
    <i r="1">
      <x v="3"/>
    </i>
    <i r="1">
      <x v="5"/>
    </i>
    <i>
      <x v="2"/>
    </i>
    <i r="1">
      <x/>
    </i>
    <i r="1">
      <x v="2"/>
    </i>
    <i r="1">
      <x v="3"/>
    </i>
    <i r="1">
      <x v="4"/>
    </i>
    <i>
      <x v="3"/>
    </i>
    <i r="1">
      <x v="1"/>
    </i>
    <i r="1">
      <x v="3"/>
    </i>
    <i r="1">
      <x v="5"/>
    </i>
  </rowItems>
  <colFields count="1">
    <field x="-2"/>
  </colFields>
  <colItems count="2">
    <i>
      <x/>
    </i>
    <i i="1">
      <x v="1"/>
    </i>
  </colItems>
  <dataFields count="2">
    <dataField name="Suma de INCIDENCIA" fld="2" baseField="0" baseItem="0" numFmtId="9"/>
    <dataField name="Suma de CALIFICACIÓN" fld="3"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F53DDC-2423-42F4-A9B1-7553769016E4}" name="TablaDinámica2" cacheId="3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3">
  <location ref="AP18:AW22" firstHeaderRow="0" firstDataRow="1" firstDataCol="1"/>
  <pivotFields count="8">
    <pivotField axis="axisRow" showAll="0">
      <items count="5">
        <item x="0"/>
        <item x="1"/>
        <item x="2"/>
        <item x="3"/>
        <item t="default"/>
      </items>
    </pivotField>
    <pivotField dataField="1" showAll="0"/>
    <pivotField dataField="1" showAll="0"/>
    <pivotField dataField="1" numFmtId="1" showAll="0"/>
    <pivotField dataField="1" showAll="0"/>
    <pivotField dataField="1" showAll="0"/>
    <pivotField dataField="1" showAll="0"/>
    <pivotField dataField="1" showAll="0"/>
  </pivotFields>
  <rowFields count="1">
    <field x="0"/>
  </rowFields>
  <rowItems count="4">
    <i>
      <x/>
    </i>
    <i>
      <x v="1"/>
    </i>
    <i>
      <x v="2"/>
    </i>
    <i>
      <x v="3"/>
    </i>
  </rowItems>
  <colFields count="1">
    <field x="-2"/>
  </colFields>
  <colItems count="7">
    <i>
      <x/>
    </i>
    <i i="1">
      <x v="1"/>
    </i>
    <i i="2">
      <x v="2"/>
    </i>
    <i i="3">
      <x v="3"/>
    </i>
    <i i="4">
      <x v="4"/>
    </i>
    <i i="5">
      <x v="5"/>
    </i>
    <i i="6">
      <x v="6"/>
    </i>
  </colItems>
  <dataFields count="7">
    <dataField name="Suma de Agosto" fld="1" baseField="0" baseItem="0"/>
    <dataField name="Suma de Septiembre" fld="2" baseField="0" baseItem="0"/>
    <dataField name="Suma de Octubre" fld="3" baseField="0" baseItem="0" numFmtId="1"/>
    <dataField name="Suma de Noviembre" fld="4" baseField="0" baseItem="0"/>
    <dataField name="Suma de Diciembre-Enero" fld="5" baseField="0" baseItem="0"/>
    <dataField name="Suma de Febrero" fld="6" baseField="0" baseItem="0"/>
    <dataField name="Suma de Marzo" fld="7"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1" format="10" series="1">
      <pivotArea type="data" outline="0" fieldPosition="0">
        <references count="1">
          <reference field="4294967294" count="1" selected="0">
            <x v="5"/>
          </reference>
        </references>
      </pivotArea>
    </chartFormat>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 chart="2" format="13" series="1">
      <pivotArea type="data" outline="0" fieldPosition="0">
        <references count="1">
          <reference field="4294967294" count="1" selected="0">
            <x v="2"/>
          </reference>
        </references>
      </pivotArea>
    </chartFormat>
    <chartFormat chart="2" format="14" series="1">
      <pivotArea type="data" outline="0" fieldPosition="0">
        <references count="1">
          <reference field="4294967294" count="1" selected="0">
            <x v="3"/>
          </reference>
        </references>
      </pivotArea>
    </chartFormat>
    <chartFormat chart="2" format="15" series="1">
      <pivotArea type="data" outline="0" fieldPosition="0">
        <references count="1">
          <reference field="4294967294" count="1" selected="0">
            <x v="4"/>
          </reference>
        </references>
      </pivotArea>
    </chartFormat>
    <chartFormat chart="2" format="16" series="1">
      <pivotArea type="data" outline="0" fieldPosition="0">
        <references count="1">
          <reference field="4294967294" count="1" selected="0">
            <x v="5"/>
          </reference>
        </references>
      </pivotArea>
    </chartFormat>
    <chartFormat chart="2" format="17"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CAC3-F707-4D0E-AAD0-75F0D71EFB4B}">
  <dimension ref="A1:AT120"/>
  <sheetViews>
    <sheetView showGridLines="0" topLeftCell="A3" zoomScale="65" zoomScaleNormal="65" workbookViewId="0">
      <selection activeCell="K6" sqref="K6:K7"/>
    </sheetView>
  </sheetViews>
  <sheetFormatPr baseColWidth="10" defaultRowHeight="14.4" x14ac:dyDescent="0.3"/>
  <cols>
    <col min="3" max="3" width="6.44140625" customWidth="1"/>
    <col min="4" max="5" width="23.44140625" customWidth="1"/>
    <col min="6" max="6" width="6" customWidth="1"/>
    <col min="7" max="8" width="23.5546875" customWidth="1"/>
    <col min="9" max="9" width="6" customWidth="1"/>
    <col min="10" max="11" width="23.5546875" customWidth="1"/>
    <col min="12" max="12" width="6" customWidth="1"/>
    <col min="13" max="14" width="23.5546875" customWidth="1"/>
    <col min="15" max="15" width="6" customWidth="1"/>
    <col min="25" max="25" width="22.6640625" customWidth="1"/>
    <col min="36" max="36" width="29.88671875" bestFit="1" customWidth="1"/>
    <col min="37" max="37" width="19.6640625" bestFit="1" customWidth="1"/>
    <col min="38" max="38" width="24.5546875" bestFit="1" customWidth="1"/>
    <col min="39" max="39" width="21" bestFit="1" customWidth="1"/>
    <col min="42" max="42" width="33" bestFit="1" customWidth="1"/>
    <col min="43" max="43" width="27.88671875" bestFit="1" customWidth="1"/>
  </cols>
  <sheetData>
    <row r="1" spans="1:43" ht="21" x14ac:dyDescent="0.4">
      <c r="A1" s="1042"/>
      <c r="B1" s="1042"/>
      <c r="F1" s="1043" t="s">
        <v>85</v>
      </c>
      <c r="G1" s="1043"/>
      <c r="H1" s="1043"/>
      <c r="I1" s="1043"/>
      <c r="J1" s="1043"/>
      <c r="K1" s="1043"/>
      <c r="L1" s="1043"/>
      <c r="M1" s="1043"/>
      <c r="N1" s="1043"/>
      <c r="O1" s="1043"/>
      <c r="P1" s="8"/>
      <c r="Q1" s="9"/>
      <c r="R1" s="9"/>
      <c r="S1" s="9"/>
      <c r="T1" s="9"/>
      <c r="U1" s="9"/>
      <c r="V1" s="9"/>
      <c r="W1" s="9"/>
      <c r="X1" s="10"/>
      <c r="Y1" s="11"/>
      <c r="AJ1" s="27" t="s">
        <v>114</v>
      </c>
      <c r="AK1" s="27" t="s">
        <v>115</v>
      </c>
      <c r="AL1" s="45" t="s">
        <v>92</v>
      </c>
      <c r="AM1" s="45" t="s">
        <v>88</v>
      </c>
    </row>
    <row r="2" spans="1:43" ht="15" thickBot="1" x14ac:dyDescent="0.35">
      <c r="A2" s="1042"/>
      <c r="B2" s="1042"/>
      <c r="F2" s="1044" t="s">
        <v>86</v>
      </c>
      <c r="G2" s="1044"/>
      <c r="H2" s="1044"/>
      <c r="I2" s="1044"/>
      <c r="J2" s="1044"/>
      <c r="K2" s="1044"/>
      <c r="L2" s="1044"/>
      <c r="M2" s="1044"/>
      <c r="N2" s="1044"/>
      <c r="O2" s="1044"/>
      <c r="P2" s="13"/>
      <c r="X2" s="14"/>
      <c r="Y2" s="11"/>
      <c r="AJ2" s="46" t="s">
        <v>128</v>
      </c>
      <c r="AK2" s="30" t="s">
        <v>124</v>
      </c>
      <c r="AL2" s="47">
        <f>+B65</f>
        <v>0.3</v>
      </c>
      <c r="AM2" s="47">
        <v>0.02</v>
      </c>
    </row>
    <row r="3" spans="1:43" ht="15" customHeight="1" thickBot="1" x14ac:dyDescent="0.35">
      <c r="A3" s="1042"/>
      <c r="B3" s="1042"/>
      <c r="F3" s="1045" t="s">
        <v>117</v>
      </c>
      <c r="G3" s="1046"/>
      <c r="H3" s="1046"/>
      <c r="I3" s="1046"/>
      <c r="J3" s="1046"/>
      <c r="K3" s="1046"/>
      <c r="L3" s="1046"/>
      <c r="M3" s="1046"/>
      <c r="N3" s="1046"/>
      <c r="O3" s="1046"/>
      <c r="P3" s="13"/>
      <c r="X3" s="14"/>
      <c r="Y3" s="11"/>
      <c r="AJ3" s="46" t="s">
        <v>128</v>
      </c>
      <c r="AK3" s="30" t="s">
        <v>125</v>
      </c>
      <c r="AL3" s="47">
        <f>+B66</f>
        <v>0.3</v>
      </c>
      <c r="AM3" s="47">
        <v>0.23</v>
      </c>
    </row>
    <row r="4" spans="1:43" ht="22.8" customHeight="1" thickBot="1" x14ac:dyDescent="0.4">
      <c r="A4" s="1042"/>
      <c r="B4" s="1042"/>
      <c r="F4" s="1047" t="s">
        <v>118</v>
      </c>
      <c r="G4" s="1047"/>
      <c r="H4" s="1047"/>
      <c r="I4" s="1047"/>
      <c r="J4" s="1047"/>
      <c r="K4" s="1047"/>
      <c r="L4" s="1047"/>
      <c r="M4" s="1047"/>
      <c r="N4" s="1047"/>
      <c r="O4" s="1047"/>
      <c r="P4" s="13"/>
      <c r="X4" s="14"/>
      <c r="Y4" s="11"/>
      <c r="AJ4" s="46" t="s">
        <v>128</v>
      </c>
      <c r="AK4" s="30" t="s">
        <v>126</v>
      </c>
      <c r="AL4" s="47">
        <f>+B67</f>
        <v>0.3</v>
      </c>
      <c r="AM4" s="47">
        <v>0.25</v>
      </c>
      <c r="AP4" s="79" t="s">
        <v>238</v>
      </c>
      <c r="AQ4" t="s">
        <v>241</v>
      </c>
    </row>
    <row r="5" spans="1:43" ht="15" thickBot="1" x14ac:dyDescent="0.35">
      <c r="A5" s="1042"/>
      <c r="B5" s="1042"/>
      <c r="F5" s="1048" t="s">
        <v>587</v>
      </c>
      <c r="G5" s="1049"/>
      <c r="H5" s="1049"/>
      <c r="I5" s="1049"/>
      <c r="J5" s="1049"/>
      <c r="K5" s="1049"/>
      <c r="L5" s="1049"/>
      <c r="M5" s="1049"/>
      <c r="N5" s="1049"/>
      <c r="O5" s="1049"/>
      <c r="P5" s="13"/>
      <c r="X5" s="14"/>
      <c r="Y5" s="11"/>
      <c r="AJ5" s="46" t="s">
        <v>128</v>
      </c>
      <c r="AK5" s="30" t="s">
        <v>127</v>
      </c>
      <c r="AL5" s="47">
        <f>+B68</f>
        <v>0.1</v>
      </c>
      <c r="AM5" s="47">
        <v>0.09</v>
      </c>
      <c r="AP5" s="4" t="s">
        <v>130</v>
      </c>
      <c r="AQ5" s="82">
        <v>0</v>
      </c>
    </row>
    <row r="6" spans="1:43" x14ac:dyDescent="0.3">
      <c r="A6" s="1042"/>
      <c r="B6" s="1042"/>
      <c r="P6" s="13"/>
      <c r="X6" s="14"/>
      <c r="Y6" s="11"/>
      <c r="AJ6" s="48" t="s">
        <v>129</v>
      </c>
      <c r="AK6" s="30" t="s">
        <v>74</v>
      </c>
      <c r="AL6" s="47">
        <f>+B79</f>
        <v>0.6</v>
      </c>
      <c r="AM6" s="47">
        <v>0.36</v>
      </c>
      <c r="AP6" s="4" t="s">
        <v>131</v>
      </c>
      <c r="AQ6" s="82">
        <v>0</v>
      </c>
    </row>
    <row r="7" spans="1:43" ht="15" thickBot="1" x14ac:dyDescent="0.35">
      <c r="A7" s="11"/>
      <c r="B7" s="11"/>
      <c r="P7" s="13"/>
      <c r="X7" s="14"/>
      <c r="Y7" s="11"/>
      <c r="AJ7" s="48" t="s">
        <v>129</v>
      </c>
      <c r="AK7" s="30" t="s">
        <v>77</v>
      </c>
      <c r="AL7" s="47">
        <f>+B80</f>
        <v>0</v>
      </c>
      <c r="AM7" s="47">
        <v>0</v>
      </c>
      <c r="AP7" s="4" t="s">
        <v>128</v>
      </c>
      <c r="AQ7" s="82">
        <v>69</v>
      </c>
    </row>
    <row r="8" spans="1:43" ht="15" thickBot="1" x14ac:dyDescent="0.35">
      <c r="A8" s="11"/>
      <c r="B8" s="11"/>
      <c r="D8" s="1045" t="s">
        <v>119</v>
      </c>
      <c r="E8" s="1050"/>
      <c r="G8" s="1045" t="s">
        <v>120</v>
      </c>
      <c r="H8" s="1050"/>
      <c r="J8" s="1045" t="s">
        <v>121</v>
      </c>
      <c r="K8" s="1050"/>
      <c r="M8" s="1045" t="s">
        <v>122</v>
      </c>
      <c r="N8" s="1050"/>
      <c r="P8" s="13"/>
      <c r="X8" s="14"/>
      <c r="Y8" s="11"/>
      <c r="AJ8" s="48" t="s">
        <v>129</v>
      </c>
      <c r="AK8" s="30" t="s">
        <v>126</v>
      </c>
      <c r="AL8" s="47">
        <f>+B81</f>
        <v>0.4</v>
      </c>
      <c r="AM8" s="47">
        <v>0.32</v>
      </c>
      <c r="AP8" s="4" t="s">
        <v>129</v>
      </c>
      <c r="AQ8" s="82">
        <v>0</v>
      </c>
    </row>
    <row r="9" spans="1:43" x14ac:dyDescent="0.3">
      <c r="A9" s="11"/>
      <c r="B9" s="11"/>
      <c r="D9" s="1051" t="s">
        <v>87</v>
      </c>
      <c r="E9" s="1051"/>
      <c r="G9" s="1051" t="s">
        <v>87</v>
      </c>
      <c r="H9" s="1051"/>
      <c r="J9" s="1051" t="s">
        <v>87</v>
      </c>
      <c r="K9" s="1051"/>
      <c r="L9" s="15"/>
      <c r="M9" s="1051" t="s">
        <v>87</v>
      </c>
      <c r="N9" s="1051"/>
      <c r="O9" s="15"/>
      <c r="P9" s="13"/>
      <c r="X9" s="14"/>
      <c r="Y9" s="11"/>
      <c r="AJ9" s="48" t="s">
        <v>130</v>
      </c>
      <c r="AK9" s="30" t="s">
        <v>74</v>
      </c>
      <c r="AL9" s="31">
        <f>+B93</f>
        <v>0.6</v>
      </c>
      <c r="AM9" s="31">
        <v>0.45</v>
      </c>
      <c r="AP9" s="4" t="s">
        <v>239</v>
      </c>
      <c r="AQ9" s="82">
        <v>69</v>
      </c>
    </row>
    <row r="10" spans="1:43" x14ac:dyDescent="0.3">
      <c r="A10" s="11"/>
      <c r="B10" s="11"/>
      <c r="D10" s="16"/>
      <c r="E10" s="17"/>
      <c r="G10" s="16"/>
      <c r="H10" s="17"/>
      <c r="J10" s="16"/>
      <c r="K10" s="17"/>
      <c r="M10" s="16"/>
      <c r="N10" s="17"/>
      <c r="P10" s="13"/>
      <c r="X10" s="14"/>
      <c r="Y10" s="11"/>
      <c r="AJ10" s="48" t="s">
        <v>130</v>
      </c>
      <c r="AK10" s="30" t="s">
        <v>77</v>
      </c>
      <c r="AL10" s="31">
        <f>+B94</f>
        <v>0</v>
      </c>
      <c r="AM10" s="31">
        <v>0</v>
      </c>
    </row>
    <row r="11" spans="1:43" x14ac:dyDescent="0.3">
      <c r="A11" s="11"/>
      <c r="B11" s="11"/>
      <c r="D11" s="18"/>
      <c r="E11" s="19"/>
      <c r="G11" s="18"/>
      <c r="H11" s="19"/>
      <c r="J11" s="18"/>
      <c r="K11" s="19"/>
      <c r="M11" s="18"/>
      <c r="N11" s="19"/>
      <c r="P11" s="13"/>
      <c r="X11" s="14"/>
      <c r="Y11" s="11"/>
      <c r="AJ11" s="48" t="s">
        <v>130</v>
      </c>
      <c r="AK11" s="30" t="s">
        <v>126</v>
      </c>
      <c r="AL11" s="31">
        <f>+B95</f>
        <v>0.4</v>
      </c>
      <c r="AM11" s="31">
        <v>0.3</v>
      </c>
    </row>
    <row r="12" spans="1:43" x14ac:dyDescent="0.3">
      <c r="A12" s="11"/>
      <c r="B12" s="11"/>
      <c r="D12" s="18"/>
      <c r="E12" s="19"/>
      <c r="G12" s="18"/>
      <c r="H12" s="19"/>
      <c r="J12" s="18"/>
      <c r="K12" s="19"/>
      <c r="M12" s="18"/>
      <c r="N12" s="19"/>
      <c r="P12" s="13"/>
      <c r="X12" s="14"/>
      <c r="Y12" s="11"/>
      <c r="AJ12" s="48" t="s">
        <v>131</v>
      </c>
      <c r="AK12" s="30" t="s">
        <v>74</v>
      </c>
      <c r="AL12" s="31">
        <f>+B107</f>
        <v>0.6</v>
      </c>
      <c r="AM12" s="31">
        <v>0.36</v>
      </c>
    </row>
    <row r="13" spans="1:43" x14ac:dyDescent="0.3">
      <c r="A13" s="11"/>
      <c r="B13" s="11"/>
      <c r="D13" s="18"/>
      <c r="E13" s="19"/>
      <c r="G13" s="18"/>
      <c r="H13" s="19"/>
      <c r="J13" s="18"/>
      <c r="K13" s="19"/>
      <c r="M13" s="18"/>
      <c r="N13" s="19"/>
      <c r="P13" s="13"/>
      <c r="X13" s="14"/>
      <c r="Y13" s="11"/>
      <c r="AJ13" s="48" t="s">
        <v>131</v>
      </c>
      <c r="AK13" s="30" t="s">
        <v>77</v>
      </c>
      <c r="AL13" s="31">
        <f>+B108</f>
        <v>0</v>
      </c>
      <c r="AM13" s="31">
        <v>0</v>
      </c>
    </row>
    <row r="14" spans="1:43" x14ac:dyDescent="0.3">
      <c r="A14" s="11"/>
      <c r="B14" s="11"/>
      <c r="D14" s="18"/>
      <c r="E14" s="19"/>
      <c r="G14" s="18"/>
      <c r="H14" s="19"/>
      <c r="J14" s="18"/>
      <c r="K14" s="19"/>
      <c r="M14" s="18"/>
      <c r="N14" s="19"/>
      <c r="P14" s="13"/>
      <c r="X14" s="14"/>
      <c r="Y14" s="11"/>
      <c r="AJ14" s="48" t="s">
        <v>131</v>
      </c>
      <c r="AK14" s="30" t="s">
        <v>126</v>
      </c>
      <c r="AL14" s="31">
        <f>+B109</f>
        <v>0.4</v>
      </c>
      <c r="AM14" s="31">
        <v>0.21</v>
      </c>
    </row>
    <row r="15" spans="1:43" x14ac:dyDescent="0.3">
      <c r="A15" s="11"/>
      <c r="B15" s="11"/>
      <c r="D15" s="18"/>
      <c r="E15" s="19"/>
      <c r="G15" s="18"/>
      <c r="H15" s="19"/>
      <c r="J15" s="18"/>
      <c r="K15" s="19"/>
      <c r="M15" s="18"/>
      <c r="N15" s="19"/>
      <c r="P15" s="13"/>
      <c r="X15" s="14"/>
      <c r="Y15" s="11"/>
    </row>
    <row r="16" spans="1:43" x14ac:dyDescent="0.3">
      <c r="A16" s="11"/>
      <c r="B16" s="11"/>
      <c r="D16" s="18"/>
      <c r="E16" s="19"/>
      <c r="G16" s="18"/>
      <c r="H16" s="19"/>
      <c r="J16" s="18"/>
      <c r="K16" s="19"/>
      <c r="M16" s="18"/>
      <c r="N16" s="19"/>
      <c r="P16" s="13"/>
      <c r="X16" s="14"/>
      <c r="Y16" s="11"/>
    </row>
    <row r="17" spans="1:46" x14ac:dyDescent="0.3">
      <c r="A17" s="11"/>
      <c r="B17" s="11"/>
      <c r="D17" s="18"/>
      <c r="E17" s="19"/>
      <c r="G17" s="18"/>
      <c r="H17" s="19"/>
      <c r="J17" s="18"/>
      <c r="K17" s="19"/>
      <c r="M17" s="18"/>
      <c r="N17" s="19"/>
      <c r="P17" s="13"/>
      <c r="X17" s="14"/>
      <c r="Y17" s="11"/>
      <c r="AJ17" s="79" t="s">
        <v>238</v>
      </c>
      <c r="AK17" t="s">
        <v>240</v>
      </c>
      <c r="AL17" t="s">
        <v>241</v>
      </c>
    </row>
    <row r="18" spans="1:46" x14ac:dyDescent="0.3">
      <c r="A18" s="11"/>
      <c r="B18" s="11"/>
      <c r="D18" s="20"/>
      <c r="E18" s="21"/>
      <c r="G18" s="20"/>
      <c r="H18" s="21"/>
      <c r="J18" s="20"/>
      <c r="K18" s="21"/>
      <c r="M18" s="20"/>
      <c r="N18" s="21"/>
      <c r="P18" s="13"/>
      <c r="X18" s="14"/>
      <c r="Y18" s="11"/>
      <c r="AJ18" s="4" t="s">
        <v>130</v>
      </c>
      <c r="AK18" s="81">
        <v>1</v>
      </c>
      <c r="AL18" s="81">
        <v>0.75</v>
      </c>
    </row>
    <row r="19" spans="1:46" x14ac:dyDescent="0.3">
      <c r="A19" s="11"/>
      <c r="B19" s="11"/>
      <c r="D19" s="16"/>
      <c r="E19" s="17"/>
      <c r="G19" s="16"/>
      <c r="H19" s="17"/>
      <c r="J19" s="16"/>
      <c r="K19" s="17"/>
      <c r="M19" s="16"/>
      <c r="N19" s="17"/>
      <c r="P19" s="13"/>
      <c r="X19" s="14"/>
      <c r="Y19" s="11"/>
      <c r="AJ19" s="80" t="s">
        <v>74</v>
      </c>
      <c r="AK19" s="81">
        <v>0.6</v>
      </c>
      <c r="AL19" s="81">
        <v>0.45</v>
      </c>
      <c r="AP19" s="48" t="s">
        <v>116</v>
      </c>
      <c r="AQ19" s="45" t="s">
        <v>105</v>
      </c>
      <c r="AR19" s="45" t="s">
        <v>107</v>
      </c>
      <c r="AS19" s="45" t="s">
        <v>108</v>
      </c>
      <c r="AT19" s="49"/>
    </row>
    <row r="20" spans="1:46" x14ac:dyDescent="0.3">
      <c r="A20" s="11"/>
      <c r="B20" s="11"/>
      <c r="D20" s="18"/>
      <c r="E20" s="19"/>
      <c r="G20" s="18"/>
      <c r="H20" s="19"/>
      <c r="J20" s="18"/>
      <c r="K20" s="19"/>
      <c r="M20" s="18"/>
      <c r="N20" s="19"/>
      <c r="P20" s="13"/>
      <c r="X20" s="14"/>
      <c r="Y20" s="11"/>
      <c r="AJ20" s="80" t="s">
        <v>126</v>
      </c>
      <c r="AK20" s="81">
        <v>0.4</v>
      </c>
      <c r="AL20" s="81">
        <v>0.3</v>
      </c>
      <c r="AP20" s="46" t="s">
        <v>128</v>
      </c>
      <c r="AQ20" s="27">
        <v>69</v>
      </c>
      <c r="AR20" s="27">
        <v>74</v>
      </c>
      <c r="AS20" s="50">
        <f>+F71</f>
        <v>80</v>
      </c>
    </row>
    <row r="21" spans="1:46" x14ac:dyDescent="0.3">
      <c r="A21" s="11"/>
      <c r="B21" s="11"/>
      <c r="D21" s="18"/>
      <c r="E21" s="19"/>
      <c r="G21" s="18"/>
      <c r="H21" s="19"/>
      <c r="J21" s="18"/>
      <c r="K21" s="19"/>
      <c r="M21" s="18"/>
      <c r="N21" s="19"/>
      <c r="P21" s="13"/>
      <c r="X21" s="14"/>
      <c r="Y21" s="11"/>
      <c r="AJ21" s="80" t="s">
        <v>77</v>
      </c>
      <c r="AK21" s="81">
        <v>0</v>
      </c>
      <c r="AL21" s="81">
        <v>0</v>
      </c>
      <c r="AP21" s="48" t="s">
        <v>129</v>
      </c>
      <c r="AQ21" s="27"/>
      <c r="AR21" s="27"/>
      <c r="AS21" s="50">
        <f>+F85</f>
        <v>68</v>
      </c>
    </row>
    <row r="22" spans="1:46" x14ac:dyDescent="0.3">
      <c r="A22" s="11"/>
      <c r="B22" s="11"/>
      <c r="D22" s="18"/>
      <c r="E22" s="19"/>
      <c r="G22" s="18"/>
      <c r="H22" s="19"/>
      <c r="J22" s="18"/>
      <c r="K22" s="19"/>
      <c r="M22" s="18"/>
      <c r="N22" s="19"/>
      <c r="P22" s="13"/>
      <c r="X22" s="14"/>
      <c r="Y22" s="11"/>
      <c r="AJ22" s="4" t="s">
        <v>131</v>
      </c>
      <c r="AK22" s="81">
        <v>1</v>
      </c>
      <c r="AL22" s="81">
        <v>0.56999999999999995</v>
      </c>
      <c r="AP22" s="48" t="s">
        <v>130</v>
      </c>
      <c r="AQ22" s="27"/>
      <c r="AR22" s="27"/>
      <c r="AS22" s="50">
        <f>+F99</f>
        <v>74</v>
      </c>
    </row>
    <row r="23" spans="1:46" x14ac:dyDescent="0.3">
      <c r="A23" s="11"/>
      <c r="B23" s="11"/>
      <c r="D23" s="18"/>
      <c r="E23" s="19"/>
      <c r="G23" s="18"/>
      <c r="H23" s="19"/>
      <c r="J23" s="18"/>
      <c r="K23" s="19"/>
      <c r="M23" s="18"/>
      <c r="N23" s="19"/>
      <c r="P23" s="13"/>
      <c r="X23" s="14"/>
      <c r="Y23" s="11"/>
      <c r="AJ23" s="80" t="s">
        <v>74</v>
      </c>
      <c r="AK23" s="81">
        <v>0.6</v>
      </c>
      <c r="AL23" s="81">
        <v>0.36</v>
      </c>
      <c r="AP23" s="48" t="s">
        <v>131</v>
      </c>
      <c r="AQ23" s="27"/>
      <c r="AR23" s="27"/>
      <c r="AS23" s="50">
        <f>+F113</f>
        <v>57</v>
      </c>
    </row>
    <row r="24" spans="1:46" x14ac:dyDescent="0.3">
      <c r="A24" s="11"/>
      <c r="B24" s="11"/>
      <c r="D24" s="18"/>
      <c r="E24" s="19"/>
      <c r="G24" s="18"/>
      <c r="H24" s="19"/>
      <c r="J24" s="18"/>
      <c r="K24" s="19"/>
      <c r="M24" s="18"/>
      <c r="N24" s="19"/>
      <c r="P24" s="13"/>
      <c r="X24" s="14"/>
      <c r="Y24" s="11"/>
      <c r="AJ24" s="80" t="s">
        <v>126</v>
      </c>
      <c r="AK24" s="81">
        <v>0.4</v>
      </c>
      <c r="AL24" s="81">
        <v>0.21</v>
      </c>
    </row>
    <row r="25" spans="1:46" x14ac:dyDescent="0.3">
      <c r="A25" s="11"/>
      <c r="B25" s="11"/>
      <c r="D25" s="18"/>
      <c r="E25" s="19"/>
      <c r="G25" s="18"/>
      <c r="H25" s="19"/>
      <c r="J25" s="18"/>
      <c r="K25" s="19"/>
      <c r="M25" s="18"/>
      <c r="N25" s="19"/>
      <c r="P25" s="13"/>
      <c r="X25" s="14"/>
      <c r="Y25" s="11"/>
      <c r="AJ25" s="80" t="s">
        <v>77</v>
      </c>
      <c r="AK25" s="81">
        <v>0</v>
      </c>
      <c r="AL25" s="81">
        <v>0</v>
      </c>
    </row>
    <row r="26" spans="1:46" x14ac:dyDescent="0.3">
      <c r="A26" s="11"/>
      <c r="B26" s="11"/>
      <c r="D26" s="18"/>
      <c r="E26" s="19"/>
      <c r="G26" s="18"/>
      <c r="H26" s="19"/>
      <c r="J26" s="18"/>
      <c r="K26" s="19"/>
      <c r="M26" s="18"/>
      <c r="N26" s="19"/>
      <c r="P26" s="13"/>
      <c r="X26" s="14"/>
      <c r="Y26" s="11"/>
      <c r="AJ26" s="4" t="s">
        <v>128</v>
      </c>
      <c r="AK26" s="81">
        <v>1</v>
      </c>
      <c r="AL26" s="81">
        <v>0.59</v>
      </c>
    </row>
    <row r="27" spans="1:46" x14ac:dyDescent="0.3">
      <c r="A27" s="11"/>
      <c r="B27" s="11"/>
      <c r="D27" s="20"/>
      <c r="E27" s="21"/>
      <c r="G27" s="20"/>
      <c r="H27" s="21"/>
      <c r="J27" s="20"/>
      <c r="K27" s="21"/>
      <c r="M27" s="20"/>
      <c r="N27" s="21"/>
      <c r="P27" s="13"/>
      <c r="X27" s="14"/>
      <c r="Y27" s="11"/>
      <c r="AJ27" s="80" t="s">
        <v>124</v>
      </c>
      <c r="AK27" s="81">
        <v>0.3</v>
      </c>
      <c r="AL27" s="81">
        <v>0.02</v>
      </c>
    </row>
    <row r="28" spans="1:46" x14ac:dyDescent="0.3">
      <c r="A28" s="11"/>
      <c r="B28" s="11"/>
      <c r="D28" s="16"/>
      <c r="E28" s="17"/>
      <c r="G28" s="16"/>
      <c r="H28" s="17"/>
      <c r="J28" s="16"/>
      <c r="K28" s="17"/>
      <c r="M28" s="16"/>
      <c r="N28" s="17"/>
      <c r="P28" s="13"/>
      <c r="X28" s="14"/>
      <c r="Y28" s="11"/>
      <c r="AJ28" s="80" t="s">
        <v>127</v>
      </c>
      <c r="AK28" s="81">
        <v>0.1</v>
      </c>
      <c r="AL28" s="81">
        <v>0.09</v>
      </c>
    </row>
    <row r="29" spans="1:46" x14ac:dyDescent="0.3">
      <c r="A29" s="11"/>
      <c r="B29" s="11"/>
      <c r="D29" s="18"/>
      <c r="E29" s="19"/>
      <c r="G29" s="18"/>
      <c r="H29" s="19"/>
      <c r="J29" s="18"/>
      <c r="K29" s="19"/>
      <c r="M29" s="18"/>
      <c r="N29" s="19"/>
      <c r="P29" s="13"/>
      <c r="X29" s="14"/>
      <c r="Y29" s="11"/>
      <c r="AJ29" s="80" t="s">
        <v>126</v>
      </c>
      <c r="AK29" s="81">
        <v>0.3</v>
      </c>
      <c r="AL29" s="81">
        <v>0.25</v>
      </c>
    </row>
    <row r="30" spans="1:46" x14ac:dyDescent="0.3">
      <c r="A30" s="11"/>
      <c r="B30" s="11"/>
      <c r="D30" s="18"/>
      <c r="E30" s="19"/>
      <c r="G30" s="18"/>
      <c r="H30" s="19"/>
      <c r="J30" s="18"/>
      <c r="K30" s="19"/>
      <c r="M30" s="18"/>
      <c r="N30" s="19"/>
      <c r="P30" s="13"/>
      <c r="X30" s="14"/>
      <c r="Y30" s="11"/>
      <c r="AJ30" s="80" t="s">
        <v>125</v>
      </c>
      <c r="AK30" s="81">
        <v>0.3</v>
      </c>
      <c r="AL30" s="81">
        <v>0.23</v>
      </c>
    </row>
    <row r="31" spans="1:46" x14ac:dyDescent="0.3">
      <c r="A31" s="11"/>
      <c r="B31" s="11"/>
      <c r="D31" s="18"/>
      <c r="E31" s="19"/>
      <c r="G31" s="18"/>
      <c r="H31" s="19"/>
      <c r="J31" s="18"/>
      <c r="K31" s="19"/>
      <c r="M31" s="18"/>
      <c r="N31" s="19"/>
      <c r="P31" s="13"/>
      <c r="X31" s="14"/>
      <c r="Y31" s="11"/>
      <c r="AJ31" s="4" t="s">
        <v>129</v>
      </c>
      <c r="AK31" s="81">
        <v>1</v>
      </c>
      <c r="AL31" s="81">
        <v>0.67999999999999994</v>
      </c>
    </row>
    <row r="32" spans="1:46" x14ac:dyDescent="0.3">
      <c r="A32" s="11"/>
      <c r="B32" s="11"/>
      <c r="D32" s="18"/>
      <c r="E32" s="19"/>
      <c r="G32" s="18"/>
      <c r="H32" s="19"/>
      <c r="J32" s="18"/>
      <c r="K32" s="19"/>
      <c r="M32" s="18"/>
      <c r="N32" s="19"/>
      <c r="P32" s="13"/>
      <c r="X32" s="14"/>
      <c r="Y32" s="11"/>
      <c r="AJ32" s="80" t="s">
        <v>74</v>
      </c>
      <c r="AK32" s="81">
        <v>0.6</v>
      </c>
      <c r="AL32" s="81">
        <v>0.36</v>
      </c>
    </row>
    <row r="33" spans="1:39" x14ac:dyDescent="0.3">
      <c r="A33" s="11"/>
      <c r="B33" s="11"/>
      <c r="D33" s="18"/>
      <c r="E33" s="19"/>
      <c r="G33" s="18"/>
      <c r="H33" s="19"/>
      <c r="J33" s="18"/>
      <c r="K33" s="19"/>
      <c r="M33" s="18"/>
      <c r="N33" s="19"/>
      <c r="P33" s="13"/>
      <c r="X33" s="14"/>
      <c r="Y33" s="11"/>
      <c r="AJ33" s="80" t="s">
        <v>126</v>
      </c>
      <c r="AK33" s="81">
        <v>0.4</v>
      </c>
      <c r="AL33" s="81">
        <v>0.32</v>
      </c>
    </row>
    <row r="34" spans="1:39" x14ac:dyDescent="0.3">
      <c r="A34" s="11"/>
      <c r="B34" s="11"/>
      <c r="D34" s="18"/>
      <c r="E34" s="19"/>
      <c r="G34" s="18"/>
      <c r="H34" s="19"/>
      <c r="J34" s="18"/>
      <c r="K34" s="19"/>
      <c r="M34" s="18"/>
      <c r="N34" s="19"/>
      <c r="P34" s="13"/>
      <c r="X34" s="14"/>
      <c r="Y34" s="11"/>
      <c r="AJ34" s="80" t="s">
        <v>77</v>
      </c>
      <c r="AK34" s="81">
        <v>0</v>
      </c>
      <c r="AL34" s="81">
        <v>0</v>
      </c>
    </row>
    <row r="35" spans="1:39" x14ac:dyDescent="0.3">
      <c r="A35" s="11"/>
      <c r="B35" s="11"/>
      <c r="D35" s="18"/>
      <c r="E35" s="19"/>
      <c r="G35" s="18"/>
      <c r="H35" s="19"/>
      <c r="J35" s="18"/>
      <c r="K35" s="19"/>
      <c r="M35" s="18"/>
      <c r="N35" s="19"/>
      <c r="P35" s="13"/>
      <c r="X35" s="14"/>
      <c r="Y35" s="11"/>
    </row>
    <row r="36" spans="1:39" x14ac:dyDescent="0.3">
      <c r="A36" s="11"/>
      <c r="B36" s="11"/>
      <c r="D36" s="20"/>
      <c r="E36" s="21"/>
      <c r="G36" s="20"/>
      <c r="H36" s="21"/>
      <c r="J36" s="20"/>
      <c r="K36" s="21"/>
      <c r="M36" s="20"/>
      <c r="N36" s="21"/>
      <c r="P36" s="13"/>
      <c r="X36" s="14"/>
      <c r="Y36" s="11"/>
    </row>
    <row r="37" spans="1:39" x14ac:dyDescent="0.3">
      <c r="A37" s="11"/>
      <c r="B37" s="11"/>
      <c r="D37" s="16"/>
      <c r="E37" s="17"/>
      <c r="G37" s="16"/>
      <c r="H37" s="17"/>
      <c r="J37" s="16"/>
      <c r="K37" s="17"/>
      <c r="M37" s="16"/>
      <c r="N37" s="17"/>
      <c r="P37" s="13"/>
      <c r="X37" s="14"/>
      <c r="Y37" s="11"/>
    </row>
    <row r="38" spans="1:39" x14ac:dyDescent="0.3">
      <c r="A38" s="11"/>
      <c r="B38" s="11"/>
      <c r="D38" s="18"/>
      <c r="E38" s="19"/>
      <c r="G38" s="18"/>
      <c r="H38" s="19"/>
      <c r="J38" s="18"/>
      <c r="K38" s="19"/>
      <c r="M38" s="18"/>
      <c r="N38" s="19"/>
      <c r="P38" s="13"/>
      <c r="X38" s="14"/>
      <c r="Y38" s="11"/>
    </row>
    <row r="39" spans="1:39" x14ac:dyDescent="0.3">
      <c r="A39" s="11"/>
      <c r="B39" s="11"/>
      <c r="D39" s="18"/>
      <c r="E39" s="19"/>
      <c r="G39" s="18"/>
      <c r="H39" s="19"/>
      <c r="J39" s="18"/>
      <c r="K39" s="19"/>
      <c r="L39" s="18"/>
      <c r="N39" s="19"/>
      <c r="P39" s="13"/>
      <c r="X39" s="14"/>
      <c r="Y39" s="11"/>
    </row>
    <row r="40" spans="1:39" x14ac:dyDescent="0.3">
      <c r="A40" s="11"/>
      <c r="B40" s="11"/>
      <c r="D40" s="18"/>
      <c r="E40" s="19"/>
      <c r="G40" s="18"/>
      <c r="H40" s="19"/>
      <c r="J40" s="18"/>
      <c r="K40" s="19"/>
      <c r="M40" s="18"/>
      <c r="N40" s="19"/>
      <c r="P40" s="13"/>
      <c r="X40" s="14"/>
      <c r="Y40" s="11"/>
      <c r="AJ40" s="79" t="s">
        <v>238</v>
      </c>
      <c r="AK40" t="s">
        <v>584</v>
      </c>
      <c r="AL40" t="s">
        <v>585</v>
      </c>
      <c r="AM40" t="s">
        <v>586</v>
      </c>
    </row>
    <row r="41" spans="1:39" x14ac:dyDescent="0.3">
      <c r="A41" s="11"/>
      <c r="B41" s="11"/>
      <c r="D41" s="18"/>
      <c r="E41" s="19"/>
      <c r="G41" s="18"/>
      <c r="H41" s="19"/>
      <c r="J41" s="18"/>
      <c r="K41" s="19"/>
      <c r="M41" s="18"/>
      <c r="N41" s="19"/>
      <c r="P41" s="13"/>
      <c r="X41" s="14"/>
      <c r="Y41" s="11"/>
      <c r="AJ41" s="4" t="s">
        <v>130</v>
      </c>
      <c r="AM41" s="82">
        <v>74</v>
      </c>
    </row>
    <row r="42" spans="1:39" x14ac:dyDescent="0.3">
      <c r="A42" s="11"/>
      <c r="B42" s="11"/>
      <c r="D42" s="18"/>
      <c r="E42" s="19"/>
      <c r="G42" s="18"/>
      <c r="H42" s="19"/>
      <c r="J42" s="18"/>
      <c r="K42" s="19"/>
      <c r="M42" s="18"/>
      <c r="N42" s="19"/>
      <c r="P42" s="13"/>
      <c r="X42" s="14"/>
      <c r="Y42" s="11"/>
      <c r="AJ42" s="4" t="s">
        <v>131</v>
      </c>
      <c r="AM42" s="82">
        <v>57</v>
      </c>
    </row>
    <row r="43" spans="1:39" x14ac:dyDescent="0.3">
      <c r="A43" s="11"/>
      <c r="B43" s="11"/>
      <c r="D43" s="18"/>
      <c r="E43" s="19"/>
      <c r="G43" s="18"/>
      <c r="H43" s="19"/>
      <c r="J43" s="18"/>
      <c r="K43" s="19"/>
      <c r="M43" s="18"/>
      <c r="N43" s="19"/>
      <c r="P43" s="13"/>
      <c r="X43" s="14"/>
      <c r="Y43" s="11"/>
      <c r="AJ43" s="4" t="s">
        <v>128</v>
      </c>
      <c r="AK43">
        <v>69</v>
      </c>
      <c r="AL43">
        <v>74</v>
      </c>
      <c r="AM43" s="82">
        <v>80</v>
      </c>
    </row>
    <row r="44" spans="1:39" x14ac:dyDescent="0.3">
      <c r="A44" s="11"/>
      <c r="B44" s="11"/>
      <c r="D44" s="18"/>
      <c r="E44" s="19"/>
      <c r="G44" s="18"/>
      <c r="H44" s="19"/>
      <c r="J44" s="18"/>
      <c r="K44" s="19"/>
      <c r="M44" s="18"/>
      <c r="N44" s="19"/>
      <c r="P44" s="13"/>
      <c r="X44" s="14"/>
      <c r="Y44" s="11"/>
      <c r="AJ44" s="4" t="s">
        <v>129</v>
      </c>
      <c r="AM44" s="82">
        <v>68</v>
      </c>
    </row>
    <row r="45" spans="1:39" x14ac:dyDescent="0.3">
      <c r="A45" s="11"/>
      <c r="B45" s="11"/>
      <c r="D45" s="20"/>
      <c r="E45" s="21"/>
      <c r="G45" s="20"/>
      <c r="H45" s="21"/>
      <c r="J45" s="20"/>
      <c r="K45" s="21"/>
      <c r="M45" s="20"/>
      <c r="N45" s="21"/>
      <c r="P45" s="13"/>
      <c r="X45" s="14"/>
      <c r="Y45" s="11"/>
    </row>
    <row r="46" spans="1:39" x14ac:dyDescent="0.3">
      <c r="A46" s="11"/>
      <c r="B46" s="11"/>
      <c r="D46" s="16"/>
      <c r="E46" s="17"/>
      <c r="G46" s="16"/>
      <c r="H46" s="17"/>
      <c r="J46" s="16"/>
      <c r="K46" s="17"/>
      <c r="M46" s="16"/>
      <c r="N46" s="17"/>
      <c r="P46" s="13"/>
      <c r="X46" s="14"/>
      <c r="Y46" s="11"/>
    </row>
    <row r="47" spans="1:39" x14ac:dyDescent="0.3">
      <c r="A47" s="11"/>
      <c r="B47" s="11"/>
      <c r="D47" s="18"/>
      <c r="E47" s="19"/>
      <c r="G47" s="18"/>
      <c r="H47" s="19"/>
      <c r="J47" s="18"/>
      <c r="K47" s="19"/>
      <c r="M47" s="18"/>
      <c r="N47" s="19"/>
      <c r="P47" s="13"/>
      <c r="X47" s="14"/>
      <c r="Y47" s="11"/>
    </row>
    <row r="48" spans="1:39" x14ac:dyDescent="0.3">
      <c r="A48" s="11"/>
      <c r="B48" s="11"/>
      <c r="D48" s="18"/>
      <c r="E48" s="19"/>
      <c r="G48" s="18"/>
      <c r="H48" s="19"/>
      <c r="J48" s="18"/>
      <c r="K48" s="19"/>
      <c r="M48" s="18"/>
      <c r="N48" s="19"/>
      <c r="P48" s="13"/>
      <c r="X48" s="14"/>
      <c r="Y48" s="11"/>
    </row>
    <row r="49" spans="1:25" x14ac:dyDescent="0.3">
      <c r="A49" s="11"/>
      <c r="B49" s="11"/>
      <c r="D49" s="18"/>
      <c r="E49" s="19"/>
      <c r="G49" s="18"/>
      <c r="H49" s="19"/>
      <c r="J49" s="18"/>
      <c r="K49" s="19"/>
      <c r="M49" s="18"/>
      <c r="N49" s="19"/>
      <c r="P49" s="13"/>
      <c r="X49" s="14"/>
      <c r="Y49" s="11"/>
    </row>
    <row r="50" spans="1:25" x14ac:dyDescent="0.3">
      <c r="A50" s="11"/>
      <c r="B50" s="11"/>
      <c r="D50" s="18"/>
      <c r="E50" s="19"/>
      <c r="G50" s="18"/>
      <c r="H50" s="19"/>
      <c r="J50" s="18"/>
      <c r="K50" s="19"/>
      <c r="M50" s="18"/>
      <c r="N50" s="19"/>
      <c r="P50" s="13"/>
      <c r="X50" s="14"/>
      <c r="Y50" s="11"/>
    </row>
    <row r="51" spans="1:25" x14ac:dyDescent="0.3">
      <c r="A51" s="11"/>
      <c r="B51" s="11"/>
      <c r="D51" s="18"/>
      <c r="E51" s="19"/>
      <c r="G51" s="18"/>
      <c r="H51" s="19"/>
      <c r="J51" s="18"/>
      <c r="K51" s="19"/>
      <c r="M51" s="18"/>
      <c r="N51" s="19"/>
      <c r="P51" s="13"/>
      <c r="X51" s="14"/>
      <c r="Y51" s="11"/>
    </row>
    <row r="52" spans="1:25" x14ac:dyDescent="0.3">
      <c r="A52" s="11"/>
      <c r="B52" s="11"/>
      <c r="D52" s="18"/>
      <c r="E52" s="19"/>
      <c r="G52" s="18"/>
      <c r="H52" s="19"/>
      <c r="J52" s="18"/>
      <c r="K52" s="19"/>
      <c r="M52" s="18"/>
      <c r="N52" s="19"/>
      <c r="P52" s="13"/>
      <c r="X52" s="14"/>
      <c r="Y52" s="11"/>
    </row>
    <row r="53" spans="1:25" x14ac:dyDescent="0.3">
      <c r="A53" s="11"/>
      <c r="B53" s="11"/>
      <c r="D53" s="18"/>
      <c r="E53" s="19"/>
      <c r="G53" s="18"/>
      <c r="H53" s="19"/>
      <c r="J53" s="18"/>
      <c r="K53" s="19"/>
      <c r="M53" s="18"/>
      <c r="N53" s="19"/>
      <c r="P53" s="13"/>
      <c r="X53" s="14"/>
      <c r="Y53" s="11"/>
    </row>
    <row r="54" spans="1:25" x14ac:dyDescent="0.3">
      <c r="A54" s="11"/>
      <c r="B54" s="11"/>
      <c r="D54" s="18"/>
      <c r="E54" s="19"/>
      <c r="G54" s="18"/>
      <c r="H54" s="19"/>
      <c r="J54" s="18"/>
      <c r="K54" s="19"/>
      <c r="M54" s="18"/>
      <c r="N54" s="19"/>
      <c r="P54" s="13"/>
      <c r="X54" s="14"/>
      <c r="Y54" s="11"/>
    </row>
    <row r="55" spans="1:25" x14ac:dyDescent="0.3">
      <c r="A55" s="11"/>
      <c r="B55" s="11"/>
      <c r="D55" s="18"/>
      <c r="E55" s="19"/>
      <c r="G55" s="18"/>
      <c r="H55" s="19"/>
      <c r="J55" s="18"/>
      <c r="K55" s="19"/>
      <c r="M55" s="18"/>
      <c r="N55" s="19"/>
      <c r="P55" s="13"/>
      <c r="X55" s="14"/>
      <c r="Y55" s="11"/>
    </row>
    <row r="56" spans="1:25" x14ac:dyDescent="0.3">
      <c r="A56" s="11"/>
      <c r="B56" s="11"/>
      <c r="D56" s="18"/>
      <c r="E56" s="19"/>
      <c r="G56" s="18"/>
      <c r="H56" s="19"/>
      <c r="J56" s="18"/>
      <c r="K56" s="19"/>
      <c r="M56" s="18"/>
      <c r="N56" s="19"/>
      <c r="P56" s="13"/>
      <c r="X56" s="14"/>
      <c r="Y56" s="11"/>
    </row>
    <row r="57" spans="1:25" x14ac:dyDescent="0.3">
      <c r="A57" s="11"/>
      <c r="B57" s="11"/>
      <c r="D57" s="18"/>
      <c r="E57" s="19"/>
      <c r="G57" s="18"/>
      <c r="H57" s="19"/>
      <c r="J57" s="18"/>
      <c r="K57" s="19"/>
      <c r="M57" s="18"/>
      <c r="N57" s="19"/>
      <c r="P57" s="13"/>
      <c r="X57" s="14"/>
      <c r="Y57" s="11"/>
    </row>
    <row r="58" spans="1:25" x14ac:dyDescent="0.3">
      <c r="A58" s="11"/>
      <c r="B58" s="11"/>
      <c r="D58" s="20"/>
      <c r="E58" s="21"/>
      <c r="G58" s="20"/>
      <c r="H58" s="21"/>
      <c r="J58" s="20"/>
      <c r="K58" s="21"/>
      <c r="M58" s="20"/>
      <c r="N58" s="21"/>
      <c r="P58" s="13"/>
      <c r="X58" s="14"/>
      <c r="Y58" s="11"/>
    </row>
    <row r="59" spans="1:25" ht="15" thickBot="1" x14ac:dyDescent="0.35">
      <c r="A59" s="11"/>
      <c r="B59" s="11"/>
      <c r="P59" s="22"/>
      <c r="Q59" s="23"/>
      <c r="R59" s="23"/>
      <c r="S59" s="23"/>
      <c r="T59" s="23"/>
      <c r="U59" s="23"/>
      <c r="V59" s="23"/>
      <c r="W59" s="23"/>
      <c r="X59" s="24"/>
      <c r="Y59" s="11"/>
    </row>
    <row r="60" spans="1:25"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5" thickBot="1" x14ac:dyDescent="0.35"/>
    <row r="62" spans="1:25" x14ac:dyDescent="0.3">
      <c r="A62" s="8"/>
      <c r="B62" s="9"/>
      <c r="C62" s="9"/>
      <c r="D62" s="9"/>
      <c r="E62" s="25" t="s">
        <v>88</v>
      </c>
      <c r="F62" s="25"/>
      <c r="G62" s="9"/>
      <c r="H62" s="9"/>
      <c r="I62" s="1053" t="s">
        <v>89</v>
      </c>
      <c r="J62" s="1053"/>
      <c r="K62" s="10"/>
    </row>
    <row r="63" spans="1:25" x14ac:dyDescent="0.3">
      <c r="A63" s="1054" t="s">
        <v>128</v>
      </c>
      <c r="B63" s="1055"/>
      <c r="C63" s="1055"/>
      <c r="E63" s="1052" t="s">
        <v>90</v>
      </c>
      <c r="F63" s="1052"/>
      <c r="I63" s="27" t="s">
        <v>91</v>
      </c>
      <c r="J63" s="27">
        <v>0</v>
      </c>
      <c r="K63" s="14"/>
    </row>
    <row r="64" spans="1:25" x14ac:dyDescent="0.3">
      <c r="A64" s="28" t="s">
        <v>92</v>
      </c>
      <c r="E64" s="27" t="s">
        <v>93</v>
      </c>
      <c r="F64" s="29">
        <v>20</v>
      </c>
      <c r="I64" s="27" t="s">
        <v>94</v>
      </c>
      <c r="J64" s="27">
        <v>0</v>
      </c>
      <c r="K64" s="14"/>
    </row>
    <row r="65" spans="1:11" x14ac:dyDescent="0.3">
      <c r="A65" s="30" t="s">
        <v>124</v>
      </c>
      <c r="B65" s="31">
        <v>0.3</v>
      </c>
      <c r="C65" s="31">
        <v>0.7</v>
      </c>
      <c r="D65" s="32"/>
      <c r="E65" s="27" t="s">
        <v>95</v>
      </c>
      <c r="F65" s="29">
        <v>20</v>
      </c>
      <c r="I65" s="27" t="s">
        <v>96</v>
      </c>
      <c r="J65" s="27">
        <v>0</v>
      </c>
      <c r="K65" s="14"/>
    </row>
    <row r="66" spans="1:11" x14ac:dyDescent="0.3">
      <c r="A66" s="30" t="s">
        <v>125</v>
      </c>
      <c r="B66" s="31">
        <v>0.3</v>
      </c>
      <c r="C66" s="31">
        <v>0.7</v>
      </c>
      <c r="D66" s="32"/>
      <c r="E66" s="27" t="s">
        <v>97</v>
      </c>
      <c r="F66" s="29">
        <v>20</v>
      </c>
      <c r="I66" s="27" t="s">
        <v>98</v>
      </c>
      <c r="J66" s="27">
        <v>0</v>
      </c>
      <c r="K66" s="14"/>
    </row>
    <row r="67" spans="1:11" x14ac:dyDescent="0.3">
      <c r="A67" s="30" t="s">
        <v>126</v>
      </c>
      <c r="B67" s="31">
        <v>0.3</v>
      </c>
      <c r="C67" s="31">
        <v>0.7</v>
      </c>
      <c r="D67" s="32"/>
      <c r="E67" s="27" t="s">
        <v>99</v>
      </c>
      <c r="F67" s="29">
        <v>20</v>
      </c>
      <c r="I67" s="27" t="s">
        <v>100</v>
      </c>
      <c r="J67" s="27">
        <v>0</v>
      </c>
      <c r="K67" s="14"/>
    </row>
    <row r="68" spans="1:11" x14ac:dyDescent="0.3">
      <c r="A68" s="30" t="s">
        <v>127</v>
      </c>
      <c r="B68" s="31">
        <v>0.1</v>
      </c>
      <c r="C68" s="31">
        <v>0.9</v>
      </c>
      <c r="D68" s="32"/>
      <c r="E68" s="27" t="s">
        <v>101</v>
      </c>
      <c r="F68" s="29">
        <v>20</v>
      </c>
      <c r="I68" s="27" t="s">
        <v>102</v>
      </c>
      <c r="J68" s="27">
        <v>0</v>
      </c>
      <c r="K68" s="14"/>
    </row>
    <row r="69" spans="1:11" x14ac:dyDescent="0.3">
      <c r="A69" s="13"/>
      <c r="B69" s="32"/>
      <c r="C69" s="32"/>
      <c r="D69" s="32"/>
      <c r="E69" s="27" t="s">
        <v>103</v>
      </c>
      <c r="F69" s="29">
        <v>100</v>
      </c>
      <c r="I69" s="27" t="s">
        <v>104</v>
      </c>
      <c r="J69" s="27">
        <v>0</v>
      </c>
      <c r="K69" s="14"/>
    </row>
    <row r="70" spans="1:11" x14ac:dyDescent="0.3">
      <c r="A70" s="28" t="s">
        <v>88</v>
      </c>
      <c r="B70" s="32"/>
      <c r="C70" s="32"/>
      <c r="D70" s="32"/>
      <c r="E70" s="27"/>
      <c r="F70" s="29"/>
      <c r="I70" s="27" t="s">
        <v>105</v>
      </c>
      <c r="J70" s="33">
        <f>+F71</f>
        <v>80</v>
      </c>
      <c r="K70" s="14"/>
    </row>
    <row r="71" spans="1:11" x14ac:dyDescent="0.3">
      <c r="A71" s="30" t="s">
        <v>124</v>
      </c>
      <c r="B71" s="31">
        <v>0.76</v>
      </c>
      <c r="C71" s="31">
        <v>0.24</v>
      </c>
      <c r="D71" s="32"/>
      <c r="E71" s="27" t="s">
        <v>106</v>
      </c>
      <c r="F71" s="34">
        <v>80</v>
      </c>
      <c r="G71" s="35"/>
      <c r="H71" s="35"/>
      <c r="I71" s="27" t="s">
        <v>107</v>
      </c>
      <c r="J71" s="36"/>
      <c r="K71" s="14"/>
    </row>
    <row r="72" spans="1:11" x14ac:dyDescent="0.3">
      <c r="A72" s="30" t="s">
        <v>125</v>
      </c>
      <c r="B72" s="31">
        <v>0.77</v>
      </c>
      <c r="C72" s="31">
        <v>0.23</v>
      </c>
      <c r="D72" s="32"/>
      <c r="E72" s="27"/>
      <c r="F72" s="29"/>
      <c r="G72" s="37">
        <v>20</v>
      </c>
      <c r="H72" s="37"/>
      <c r="I72" s="27" t="s">
        <v>108</v>
      </c>
      <c r="J72" s="38">
        <v>20</v>
      </c>
      <c r="K72" s="14"/>
    </row>
    <row r="73" spans="1:11" x14ac:dyDescent="0.3">
      <c r="A73" s="30" t="s">
        <v>126</v>
      </c>
      <c r="B73" s="31">
        <v>0.82</v>
      </c>
      <c r="C73" s="31">
        <v>0.18</v>
      </c>
      <c r="D73" s="32"/>
      <c r="E73" s="27" t="s">
        <v>109</v>
      </c>
      <c r="F73" s="29">
        <f>+F71-F74/2</f>
        <v>78.5</v>
      </c>
      <c r="G73" s="37">
        <v>20</v>
      </c>
      <c r="H73" s="37"/>
      <c r="I73" s="27" t="s">
        <v>110</v>
      </c>
      <c r="J73" s="38">
        <v>20</v>
      </c>
      <c r="K73" s="14"/>
    </row>
    <row r="74" spans="1:11" x14ac:dyDescent="0.3">
      <c r="A74" s="30" t="s">
        <v>127</v>
      </c>
      <c r="B74" s="31">
        <v>0.95</v>
      </c>
      <c r="C74" s="31">
        <v>0.05</v>
      </c>
      <c r="D74" s="32"/>
      <c r="E74" s="27" t="s">
        <v>111</v>
      </c>
      <c r="F74" s="29">
        <v>3</v>
      </c>
      <c r="G74" s="37"/>
      <c r="H74" s="37"/>
      <c r="I74" s="27" t="s">
        <v>112</v>
      </c>
      <c r="J74" s="38"/>
      <c r="K74" s="14"/>
    </row>
    <row r="75" spans="1:11" ht="15" thickBot="1" x14ac:dyDescent="0.35">
      <c r="A75" s="22"/>
      <c r="B75" s="23"/>
      <c r="C75" s="23"/>
      <c r="D75" s="23"/>
      <c r="E75" s="39" t="s">
        <v>113</v>
      </c>
      <c r="F75" s="40">
        <f>SUM(F64:F69)-F73-F74</f>
        <v>118.5</v>
      </c>
      <c r="G75" s="41">
        <v>20</v>
      </c>
      <c r="H75" s="41"/>
      <c r="I75" s="42" t="s">
        <v>97</v>
      </c>
      <c r="J75" s="23"/>
      <c r="K75" s="24"/>
    </row>
    <row r="76" spans="1:11" x14ac:dyDescent="0.3">
      <c r="A76" s="8"/>
      <c r="B76" s="9"/>
      <c r="C76" s="9"/>
      <c r="D76" s="9"/>
      <c r="E76" s="25" t="s">
        <v>88</v>
      </c>
      <c r="F76" s="25"/>
      <c r="G76" s="43">
        <v>20</v>
      </c>
      <c r="H76" s="43"/>
      <c r="I76" s="1053" t="s">
        <v>89</v>
      </c>
      <c r="J76" s="1053"/>
      <c r="K76" s="10"/>
    </row>
    <row r="77" spans="1:11" x14ac:dyDescent="0.3">
      <c r="A77" s="44" t="s">
        <v>129</v>
      </c>
      <c r="B77" s="26"/>
      <c r="C77" s="26"/>
      <c r="E77" s="1052" t="s">
        <v>90</v>
      </c>
      <c r="F77" s="1052"/>
      <c r="G77" s="37"/>
      <c r="H77" s="37"/>
      <c r="I77" s="27" t="s">
        <v>91</v>
      </c>
      <c r="J77" s="27">
        <v>0</v>
      </c>
      <c r="K77" s="14"/>
    </row>
    <row r="78" spans="1:11" x14ac:dyDescent="0.3">
      <c r="A78" s="28" t="s">
        <v>92</v>
      </c>
      <c r="E78" s="27" t="s">
        <v>93</v>
      </c>
      <c r="F78" s="29">
        <v>20</v>
      </c>
      <c r="I78" s="27" t="s">
        <v>94</v>
      </c>
      <c r="J78" s="27">
        <v>0</v>
      </c>
      <c r="K78" s="14"/>
    </row>
    <row r="79" spans="1:11" x14ac:dyDescent="0.3">
      <c r="A79" s="30" t="s">
        <v>74</v>
      </c>
      <c r="B79" s="31">
        <v>0.6</v>
      </c>
      <c r="C79" s="31">
        <v>0.4</v>
      </c>
      <c r="E79" s="27" t="s">
        <v>95</v>
      </c>
      <c r="F79" s="29">
        <v>20</v>
      </c>
      <c r="I79" s="27" t="s">
        <v>96</v>
      </c>
      <c r="J79" s="27">
        <v>0</v>
      </c>
      <c r="K79" s="14"/>
    </row>
    <row r="80" spans="1:11" x14ac:dyDescent="0.3">
      <c r="A80" s="30" t="s">
        <v>77</v>
      </c>
      <c r="B80" s="31">
        <v>0</v>
      </c>
      <c r="C80" s="31">
        <v>0</v>
      </c>
      <c r="E80" s="27" t="s">
        <v>97</v>
      </c>
      <c r="F80" s="29">
        <v>20</v>
      </c>
      <c r="I80" s="27" t="s">
        <v>98</v>
      </c>
      <c r="J80" s="27">
        <v>0</v>
      </c>
      <c r="K80" s="14"/>
    </row>
    <row r="81" spans="1:11" x14ac:dyDescent="0.3">
      <c r="A81" s="30" t="s">
        <v>126</v>
      </c>
      <c r="B81" s="31">
        <v>0.4</v>
      </c>
      <c r="C81" s="31">
        <v>0.6</v>
      </c>
      <c r="E81" s="27" t="s">
        <v>99</v>
      </c>
      <c r="F81" s="29">
        <v>20</v>
      </c>
      <c r="I81" s="27" t="s">
        <v>100</v>
      </c>
      <c r="J81" s="27">
        <v>0</v>
      </c>
      <c r="K81" s="14"/>
    </row>
    <row r="82" spans="1:11" x14ac:dyDescent="0.3">
      <c r="A82" s="30"/>
      <c r="B82" s="31"/>
      <c r="C82" s="31"/>
      <c r="E82" s="27" t="s">
        <v>101</v>
      </c>
      <c r="F82" s="29">
        <v>20</v>
      </c>
      <c r="I82" s="27" t="s">
        <v>102</v>
      </c>
      <c r="J82" s="27">
        <v>0</v>
      </c>
      <c r="K82" s="14"/>
    </row>
    <row r="83" spans="1:11" x14ac:dyDescent="0.3">
      <c r="A83" s="13"/>
      <c r="B83" s="32"/>
      <c r="C83" s="32"/>
      <c r="E83" s="27" t="s">
        <v>103</v>
      </c>
      <c r="F83" s="29">
        <v>100</v>
      </c>
      <c r="I83" s="27" t="s">
        <v>104</v>
      </c>
      <c r="J83" s="27">
        <v>0</v>
      </c>
      <c r="K83" s="14"/>
    </row>
    <row r="84" spans="1:11" x14ac:dyDescent="0.3">
      <c r="A84" s="28" t="s">
        <v>88</v>
      </c>
      <c r="B84" s="32"/>
      <c r="C84" s="32"/>
      <c r="E84" s="27"/>
      <c r="F84" s="29"/>
      <c r="I84" s="27" t="s">
        <v>105</v>
      </c>
      <c r="J84" s="33">
        <f>+F85</f>
        <v>68</v>
      </c>
      <c r="K84" s="14"/>
    </row>
    <row r="85" spans="1:11" x14ac:dyDescent="0.3">
      <c r="A85" s="30" t="s">
        <v>74</v>
      </c>
      <c r="B85" s="31">
        <v>0.6</v>
      </c>
      <c r="C85" s="31">
        <v>0.4</v>
      </c>
      <c r="E85" s="27" t="s">
        <v>106</v>
      </c>
      <c r="F85" s="34">
        <v>68</v>
      </c>
      <c r="I85" s="27" t="s">
        <v>107</v>
      </c>
      <c r="J85" s="27"/>
      <c r="K85" s="14"/>
    </row>
    <row r="86" spans="1:11" x14ac:dyDescent="0.3">
      <c r="A86" s="30" t="s">
        <v>76</v>
      </c>
      <c r="B86" s="31">
        <v>0</v>
      </c>
      <c r="C86" s="31">
        <v>0</v>
      </c>
      <c r="E86" s="27"/>
      <c r="F86" s="29"/>
      <c r="I86" s="27" t="s">
        <v>108</v>
      </c>
      <c r="J86" s="27"/>
      <c r="K86" s="14"/>
    </row>
    <row r="87" spans="1:11" x14ac:dyDescent="0.3">
      <c r="A87" s="30" t="s">
        <v>77</v>
      </c>
      <c r="B87" s="31">
        <v>0.79</v>
      </c>
      <c r="C87" s="31">
        <v>0.21</v>
      </c>
      <c r="E87" s="27" t="s">
        <v>109</v>
      </c>
      <c r="F87" s="29">
        <f>+F85-F88/2</f>
        <v>66.5</v>
      </c>
      <c r="I87" s="27" t="s">
        <v>110</v>
      </c>
      <c r="J87" s="27"/>
      <c r="K87" s="14"/>
    </row>
    <row r="88" spans="1:11" x14ac:dyDescent="0.3">
      <c r="A88" s="30"/>
      <c r="B88" s="31"/>
      <c r="C88" s="31"/>
      <c r="E88" s="27" t="s">
        <v>111</v>
      </c>
      <c r="F88" s="29">
        <v>3</v>
      </c>
      <c r="I88" s="27" t="s">
        <v>112</v>
      </c>
      <c r="J88" s="27"/>
      <c r="K88" s="14"/>
    </row>
    <row r="89" spans="1:11" ht="15" thickBot="1" x14ac:dyDescent="0.35">
      <c r="A89" s="22"/>
      <c r="B89" s="23"/>
      <c r="C89" s="23"/>
      <c r="D89" s="23"/>
      <c r="E89" s="39" t="s">
        <v>113</v>
      </c>
      <c r="F89" s="40">
        <f>SUM(F78:F83)-F87-F88</f>
        <v>130.5</v>
      </c>
      <c r="G89" s="23"/>
      <c r="H89" s="23"/>
      <c r="I89" s="23"/>
      <c r="J89" s="23"/>
      <c r="K89" s="24"/>
    </row>
    <row r="90" spans="1:11" x14ac:dyDescent="0.3">
      <c r="A90" s="8"/>
      <c r="B90" s="9"/>
      <c r="C90" s="9"/>
      <c r="D90" s="9"/>
      <c r="E90" s="25" t="s">
        <v>88</v>
      </c>
      <c r="F90" s="25"/>
      <c r="G90" s="43">
        <v>20</v>
      </c>
      <c r="H90" s="43"/>
      <c r="I90" s="1053" t="s">
        <v>89</v>
      </c>
      <c r="J90" s="1053"/>
      <c r="K90" s="10"/>
    </row>
    <row r="91" spans="1:11" x14ac:dyDescent="0.3">
      <c r="A91" s="44" t="s">
        <v>130</v>
      </c>
      <c r="B91" s="26"/>
      <c r="C91" s="26"/>
      <c r="E91" s="1052" t="s">
        <v>90</v>
      </c>
      <c r="F91" s="1052"/>
      <c r="G91" s="37"/>
      <c r="H91" s="37"/>
      <c r="I91" s="27" t="s">
        <v>91</v>
      </c>
      <c r="J91" s="27">
        <v>0</v>
      </c>
      <c r="K91" s="14"/>
    </row>
    <row r="92" spans="1:11" x14ac:dyDescent="0.3">
      <c r="A92" s="28" t="s">
        <v>92</v>
      </c>
      <c r="E92" s="27" t="s">
        <v>93</v>
      </c>
      <c r="F92" s="29">
        <v>20</v>
      </c>
      <c r="I92" s="27" t="s">
        <v>94</v>
      </c>
      <c r="J92" s="27">
        <v>0</v>
      </c>
      <c r="K92" s="14"/>
    </row>
    <row r="93" spans="1:11" x14ac:dyDescent="0.3">
      <c r="A93" s="30" t="s">
        <v>74</v>
      </c>
      <c r="B93" s="31">
        <v>0.6</v>
      </c>
      <c r="C93" s="31">
        <v>0.4</v>
      </c>
      <c r="E93" s="27" t="s">
        <v>95</v>
      </c>
      <c r="F93" s="29">
        <v>20</v>
      </c>
      <c r="I93" s="27" t="s">
        <v>96</v>
      </c>
      <c r="J93" s="27">
        <v>0</v>
      </c>
      <c r="K93" s="14"/>
    </row>
    <row r="94" spans="1:11" x14ac:dyDescent="0.3">
      <c r="A94" s="30" t="s">
        <v>77</v>
      </c>
      <c r="B94" s="31">
        <v>0</v>
      </c>
      <c r="C94" s="31">
        <v>0</v>
      </c>
      <c r="E94" s="27" t="s">
        <v>97</v>
      </c>
      <c r="F94" s="29">
        <v>20</v>
      </c>
      <c r="I94" s="27" t="s">
        <v>98</v>
      </c>
      <c r="J94" s="27">
        <v>0</v>
      </c>
      <c r="K94" s="14"/>
    </row>
    <row r="95" spans="1:11" x14ac:dyDescent="0.3">
      <c r="A95" s="30" t="s">
        <v>126</v>
      </c>
      <c r="B95" s="31">
        <v>0.4</v>
      </c>
      <c r="C95" s="31">
        <v>0.6</v>
      </c>
      <c r="E95" s="27" t="s">
        <v>99</v>
      </c>
      <c r="F95" s="29">
        <v>20</v>
      </c>
      <c r="I95" s="27" t="s">
        <v>100</v>
      </c>
      <c r="J95" s="27">
        <v>0</v>
      </c>
      <c r="K95" s="14"/>
    </row>
    <row r="96" spans="1:11" x14ac:dyDescent="0.3">
      <c r="A96" s="30"/>
      <c r="B96" s="31"/>
      <c r="C96" s="31"/>
      <c r="E96" s="27" t="s">
        <v>101</v>
      </c>
      <c r="F96" s="29">
        <v>20</v>
      </c>
      <c r="I96" s="27" t="s">
        <v>102</v>
      </c>
      <c r="J96" s="27">
        <v>0</v>
      </c>
      <c r="K96" s="14"/>
    </row>
    <row r="97" spans="1:11" x14ac:dyDescent="0.3">
      <c r="A97" s="13"/>
      <c r="B97" s="32"/>
      <c r="C97" s="32"/>
      <c r="E97" s="27" t="s">
        <v>103</v>
      </c>
      <c r="F97" s="29">
        <v>100</v>
      </c>
      <c r="I97" s="27" t="s">
        <v>104</v>
      </c>
      <c r="J97" s="27">
        <v>0</v>
      </c>
      <c r="K97" s="14"/>
    </row>
    <row r="98" spans="1:11" x14ac:dyDescent="0.3">
      <c r="A98" s="28" t="s">
        <v>88</v>
      </c>
      <c r="B98" s="32"/>
      <c r="C98" s="32"/>
      <c r="E98" s="27"/>
      <c r="F98" s="29"/>
      <c r="I98" s="27" t="s">
        <v>105</v>
      </c>
      <c r="J98" s="33">
        <f>+F99</f>
        <v>74</v>
      </c>
      <c r="K98" s="14"/>
    </row>
    <row r="99" spans="1:11" x14ac:dyDescent="0.3">
      <c r="A99" s="30" t="s">
        <v>74</v>
      </c>
      <c r="B99" s="31">
        <v>0.74</v>
      </c>
      <c r="C99" s="31">
        <v>0.26</v>
      </c>
      <c r="E99" s="27" t="s">
        <v>106</v>
      </c>
      <c r="F99" s="34">
        <v>74</v>
      </c>
      <c r="I99" s="27" t="s">
        <v>107</v>
      </c>
      <c r="J99" s="27"/>
      <c r="K99" s="14"/>
    </row>
    <row r="100" spans="1:11" x14ac:dyDescent="0.3">
      <c r="A100" s="30" t="s">
        <v>77</v>
      </c>
      <c r="B100" s="31">
        <v>0</v>
      </c>
      <c r="C100" s="31">
        <v>0</v>
      </c>
      <c r="E100" s="27"/>
      <c r="F100" s="29"/>
      <c r="I100" s="27" t="s">
        <v>108</v>
      </c>
      <c r="J100" s="27"/>
      <c r="K100" s="14"/>
    </row>
    <row r="101" spans="1:11" x14ac:dyDescent="0.3">
      <c r="A101" s="30" t="s">
        <v>126</v>
      </c>
      <c r="B101" s="31">
        <v>0.75</v>
      </c>
      <c r="C101" s="31">
        <v>0.25</v>
      </c>
      <c r="E101" s="27" t="s">
        <v>109</v>
      </c>
      <c r="F101" s="29">
        <f>+F99-F102/2</f>
        <v>72.5</v>
      </c>
      <c r="I101" s="27" t="s">
        <v>110</v>
      </c>
      <c r="J101" s="27"/>
      <c r="K101" s="14"/>
    </row>
    <row r="102" spans="1:11" x14ac:dyDescent="0.3">
      <c r="A102" s="30"/>
      <c r="B102" s="31">
        <v>0</v>
      </c>
      <c r="C102" s="31">
        <v>0</v>
      </c>
      <c r="E102" s="27" t="s">
        <v>111</v>
      </c>
      <c r="F102" s="29">
        <v>3</v>
      </c>
      <c r="I102" s="27" t="s">
        <v>112</v>
      </c>
      <c r="J102" s="27"/>
      <c r="K102" s="14"/>
    </row>
    <row r="103" spans="1:11" ht="15" thickBot="1" x14ac:dyDescent="0.35">
      <c r="A103" s="22"/>
      <c r="B103" s="23"/>
      <c r="C103" s="23"/>
      <c r="D103" s="23"/>
      <c r="E103" s="39" t="s">
        <v>113</v>
      </c>
      <c r="F103" s="40">
        <f>SUM(F92:F97)-F101-F102</f>
        <v>124.5</v>
      </c>
      <c r="G103" s="23"/>
      <c r="H103" s="23"/>
      <c r="I103" s="23"/>
      <c r="J103" s="23"/>
      <c r="K103" s="24"/>
    </row>
    <row r="104" spans="1:11" x14ac:dyDescent="0.3">
      <c r="A104" s="8"/>
      <c r="B104" s="9"/>
      <c r="C104" s="9"/>
      <c r="D104" s="9"/>
      <c r="E104" s="25" t="s">
        <v>88</v>
      </c>
      <c r="F104" s="25"/>
      <c r="G104" s="43">
        <v>20</v>
      </c>
      <c r="H104" s="43"/>
      <c r="I104" s="1053" t="s">
        <v>89</v>
      </c>
      <c r="J104" s="1053"/>
      <c r="K104" s="10"/>
    </row>
    <row r="105" spans="1:11" x14ac:dyDescent="0.3">
      <c r="A105" s="44" t="s">
        <v>131</v>
      </c>
      <c r="B105" s="26"/>
      <c r="C105" s="26"/>
      <c r="E105" s="1052" t="s">
        <v>90</v>
      </c>
      <c r="F105" s="1052"/>
      <c r="G105" s="37"/>
      <c r="H105" s="37"/>
      <c r="I105" s="27" t="s">
        <v>91</v>
      </c>
      <c r="J105" s="27">
        <v>0</v>
      </c>
      <c r="K105" s="14"/>
    </row>
    <row r="106" spans="1:11" x14ac:dyDescent="0.3">
      <c r="A106" s="28" t="s">
        <v>92</v>
      </c>
      <c r="E106" s="27" t="s">
        <v>93</v>
      </c>
      <c r="F106" s="29">
        <v>20</v>
      </c>
      <c r="I106" s="27" t="s">
        <v>94</v>
      </c>
      <c r="J106" s="27">
        <v>0</v>
      </c>
      <c r="K106" s="14"/>
    </row>
    <row r="107" spans="1:11" x14ac:dyDescent="0.3">
      <c r="A107" s="30" t="s">
        <v>74</v>
      </c>
      <c r="B107" s="31">
        <v>0.6</v>
      </c>
      <c r="C107" s="31">
        <v>0.4</v>
      </c>
      <c r="E107" s="27" t="s">
        <v>95</v>
      </c>
      <c r="F107" s="29">
        <v>20</v>
      </c>
      <c r="I107" s="27" t="s">
        <v>96</v>
      </c>
      <c r="J107" s="27">
        <v>0</v>
      </c>
      <c r="K107" s="14"/>
    </row>
    <row r="108" spans="1:11" x14ac:dyDescent="0.3">
      <c r="A108" s="30" t="s">
        <v>77</v>
      </c>
      <c r="B108" s="31">
        <v>0</v>
      </c>
      <c r="C108" s="31">
        <v>0</v>
      </c>
      <c r="E108" s="27" t="s">
        <v>97</v>
      </c>
      <c r="F108" s="29">
        <v>20</v>
      </c>
      <c r="I108" s="27" t="s">
        <v>98</v>
      </c>
      <c r="J108" s="27">
        <v>0</v>
      </c>
      <c r="K108" s="14"/>
    </row>
    <row r="109" spans="1:11" x14ac:dyDescent="0.3">
      <c r="A109" s="30" t="s">
        <v>126</v>
      </c>
      <c r="B109" s="31">
        <v>0.4</v>
      </c>
      <c r="C109" s="31">
        <v>0.6</v>
      </c>
      <c r="E109" s="27" t="s">
        <v>99</v>
      </c>
      <c r="F109" s="29">
        <v>20</v>
      </c>
      <c r="I109" s="27" t="s">
        <v>100</v>
      </c>
      <c r="J109" s="27">
        <v>0</v>
      </c>
      <c r="K109" s="14"/>
    </row>
    <row r="110" spans="1:11" x14ac:dyDescent="0.3">
      <c r="A110" s="30"/>
      <c r="B110" s="31"/>
      <c r="C110" s="31"/>
      <c r="E110" s="27" t="s">
        <v>101</v>
      </c>
      <c r="F110" s="29">
        <v>20</v>
      </c>
      <c r="I110" s="27" t="s">
        <v>102</v>
      </c>
      <c r="J110" s="27">
        <v>0</v>
      </c>
      <c r="K110" s="14"/>
    </row>
    <row r="111" spans="1:11" x14ac:dyDescent="0.3">
      <c r="A111" s="13"/>
      <c r="B111" s="32"/>
      <c r="C111" s="32"/>
      <c r="E111" s="27" t="s">
        <v>103</v>
      </c>
      <c r="F111" s="29">
        <v>100</v>
      </c>
      <c r="I111" s="27" t="s">
        <v>104</v>
      </c>
      <c r="J111" s="27">
        <v>0</v>
      </c>
      <c r="K111" s="14"/>
    </row>
    <row r="112" spans="1:11" x14ac:dyDescent="0.3">
      <c r="A112" s="28" t="s">
        <v>88</v>
      </c>
      <c r="B112" s="32"/>
      <c r="C112" s="32"/>
      <c r="E112" s="27"/>
      <c r="F112" s="29"/>
      <c r="I112" s="27" t="s">
        <v>105</v>
      </c>
      <c r="J112" s="33">
        <f>+F113</f>
        <v>57</v>
      </c>
      <c r="K112" s="14"/>
    </row>
    <row r="113" spans="1:11" x14ac:dyDescent="0.3">
      <c r="A113" s="30" t="s">
        <v>74</v>
      </c>
      <c r="B113" s="31">
        <v>0.61</v>
      </c>
      <c r="C113" s="31">
        <v>0.39</v>
      </c>
      <c r="E113" s="27" t="s">
        <v>106</v>
      </c>
      <c r="F113" s="34">
        <v>57</v>
      </c>
      <c r="I113" s="27" t="s">
        <v>107</v>
      </c>
      <c r="J113" s="27"/>
      <c r="K113" s="14"/>
    </row>
    <row r="114" spans="1:11" x14ac:dyDescent="0.3">
      <c r="A114" s="30" t="s">
        <v>77</v>
      </c>
      <c r="B114" s="31">
        <v>0</v>
      </c>
      <c r="C114" s="31">
        <v>0</v>
      </c>
      <c r="E114" s="27"/>
      <c r="F114" s="29"/>
      <c r="I114" s="27" t="s">
        <v>108</v>
      </c>
      <c r="J114" s="27"/>
      <c r="K114" s="14"/>
    </row>
    <row r="115" spans="1:11" x14ac:dyDescent="0.3">
      <c r="A115" s="30" t="s">
        <v>126</v>
      </c>
      <c r="B115" s="31">
        <v>0.52</v>
      </c>
      <c r="C115" s="31">
        <v>0.48</v>
      </c>
      <c r="E115" s="27" t="s">
        <v>109</v>
      </c>
      <c r="F115" s="29">
        <f>+F113-F116/2</f>
        <v>55.5</v>
      </c>
      <c r="I115" s="27" t="s">
        <v>110</v>
      </c>
      <c r="J115" s="27"/>
      <c r="K115" s="14"/>
    </row>
    <row r="116" spans="1:11" x14ac:dyDescent="0.3">
      <c r="A116" s="30"/>
      <c r="B116" s="31"/>
      <c r="C116" s="31"/>
      <c r="E116" s="27" t="s">
        <v>111</v>
      </c>
      <c r="F116" s="29">
        <v>3</v>
      </c>
      <c r="I116" s="27" t="s">
        <v>112</v>
      </c>
      <c r="J116" s="27"/>
      <c r="K116" s="14"/>
    </row>
    <row r="117" spans="1:11" ht="15" thickBot="1" x14ac:dyDescent="0.35">
      <c r="A117" s="22"/>
      <c r="B117" s="23"/>
      <c r="C117" s="23"/>
      <c r="D117" s="23"/>
      <c r="E117" s="39" t="s">
        <v>113</v>
      </c>
      <c r="F117" s="40">
        <f>SUM(F106:F111)-F115-F116</f>
        <v>141.5</v>
      </c>
      <c r="G117" s="23"/>
      <c r="H117" s="23"/>
      <c r="I117" s="23"/>
      <c r="J117" s="23"/>
      <c r="K117" s="24"/>
    </row>
    <row r="120" spans="1:11" x14ac:dyDescent="0.3">
      <c r="B120" s="15"/>
      <c r="C120" s="15"/>
    </row>
  </sheetData>
  <mergeCells count="23">
    <mergeCell ref="E91:F91"/>
    <mergeCell ref="I104:J104"/>
    <mergeCell ref="E105:F105"/>
    <mergeCell ref="I62:J62"/>
    <mergeCell ref="A63:C63"/>
    <mergeCell ref="E63:F63"/>
    <mergeCell ref="I76:J76"/>
    <mergeCell ref="E77:F77"/>
    <mergeCell ref="I90:J90"/>
    <mergeCell ref="D8:E8"/>
    <mergeCell ref="G8:H8"/>
    <mergeCell ref="J8:K8"/>
    <mergeCell ref="M8:N8"/>
    <mergeCell ref="D9:E9"/>
    <mergeCell ref="G9:H9"/>
    <mergeCell ref="J9:K9"/>
    <mergeCell ref="M9:N9"/>
    <mergeCell ref="A1:B6"/>
    <mergeCell ref="F1:O1"/>
    <mergeCell ref="F2:O2"/>
    <mergeCell ref="F3:O3"/>
    <mergeCell ref="F4:O4"/>
    <mergeCell ref="F5:O5"/>
  </mergeCells>
  <phoneticPr fontId="8" type="noConversion"/>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CC85-2E9C-4BA2-B2C0-90982F194176}">
  <dimension ref="A1:AT120"/>
  <sheetViews>
    <sheetView showGridLines="0" topLeftCell="A3" zoomScale="65" zoomScaleNormal="65" workbookViewId="0">
      <selection activeCell="AT27" sqref="AT27"/>
    </sheetView>
  </sheetViews>
  <sheetFormatPr baseColWidth="10" defaultRowHeight="14.4" x14ac:dyDescent="0.3"/>
  <cols>
    <col min="3" max="3" width="6.44140625" customWidth="1"/>
    <col min="4" max="5" width="23.44140625" customWidth="1"/>
    <col min="6" max="6" width="6" customWidth="1"/>
    <col min="7" max="8" width="23.5546875" customWidth="1"/>
    <col min="9" max="9" width="6" customWidth="1"/>
    <col min="10" max="11" width="23.5546875" customWidth="1"/>
    <col min="12" max="12" width="6" customWidth="1"/>
    <col min="13" max="14" width="23.5546875" customWidth="1"/>
    <col min="15" max="15" width="6" customWidth="1"/>
    <col min="25" max="25" width="22.6640625" customWidth="1"/>
    <col min="36" max="36" width="53.5546875" bestFit="1" customWidth="1"/>
    <col min="37" max="37" width="26.6640625" bestFit="1" customWidth="1"/>
    <col min="38" max="38" width="30" bestFit="1" customWidth="1"/>
    <col min="39" max="39" width="21" bestFit="1" customWidth="1"/>
    <col min="42" max="42" width="32.21875" bestFit="1" customWidth="1"/>
    <col min="43" max="43" width="21.21875" bestFit="1" customWidth="1"/>
    <col min="44" max="44" width="26.33203125" bestFit="1" customWidth="1"/>
    <col min="45" max="45" width="22.6640625" bestFit="1" customWidth="1"/>
    <col min="46" max="46" width="25.44140625" bestFit="1" customWidth="1"/>
  </cols>
  <sheetData>
    <row r="1" spans="1:46" ht="21" x14ac:dyDescent="0.4">
      <c r="A1" s="1042"/>
      <c r="B1" s="1042"/>
      <c r="F1" s="1043" t="s">
        <v>85</v>
      </c>
      <c r="G1" s="1043"/>
      <c r="H1" s="1043"/>
      <c r="I1" s="1043"/>
      <c r="J1" s="1043"/>
      <c r="K1" s="1043"/>
      <c r="L1" s="1043"/>
      <c r="M1" s="1043"/>
      <c r="N1" s="1043"/>
      <c r="O1" s="1043"/>
      <c r="P1" s="8"/>
      <c r="Q1" s="9"/>
      <c r="R1" s="9"/>
      <c r="S1" s="9"/>
      <c r="T1" s="9"/>
      <c r="U1" s="9"/>
      <c r="V1" s="9"/>
      <c r="W1" s="9"/>
      <c r="X1" s="10"/>
      <c r="Y1" s="11"/>
      <c r="AJ1" s="27" t="s">
        <v>114</v>
      </c>
      <c r="AK1" s="27" t="s">
        <v>115</v>
      </c>
      <c r="AL1" s="45" t="s">
        <v>92</v>
      </c>
      <c r="AM1" s="45" t="s">
        <v>88</v>
      </c>
      <c r="AP1" s="417" t="s">
        <v>116</v>
      </c>
      <c r="AQ1" s="418" t="s">
        <v>105</v>
      </c>
      <c r="AR1" s="418" t="s">
        <v>107</v>
      </c>
      <c r="AS1" s="418" t="s">
        <v>108</v>
      </c>
      <c r="AT1" s="416" t="s">
        <v>110</v>
      </c>
    </row>
    <row r="2" spans="1:46" ht="15" thickBot="1" x14ac:dyDescent="0.35">
      <c r="A2" s="1042"/>
      <c r="B2" s="1042"/>
      <c r="F2" s="1044" t="s">
        <v>86</v>
      </c>
      <c r="G2" s="1044"/>
      <c r="H2" s="1044"/>
      <c r="I2" s="1044"/>
      <c r="J2" s="1044"/>
      <c r="K2" s="1044"/>
      <c r="L2" s="1044"/>
      <c r="M2" s="1044"/>
      <c r="N2" s="1044"/>
      <c r="O2" s="1044"/>
      <c r="P2" s="13"/>
      <c r="X2" s="14"/>
      <c r="Y2" s="11"/>
      <c r="AJ2" s="46" t="s">
        <v>128</v>
      </c>
      <c r="AK2" s="30" t="s">
        <v>124</v>
      </c>
      <c r="AL2" s="47">
        <f>+B65</f>
        <v>0.3</v>
      </c>
      <c r="AM2" s="47">
        <v>0.23</v>
      </c>
      <c r="AP2" s="46" t="s">
        <v>128</v>
      </c>
      <c r="AQ2" s="27">
        <v>69</v>
      </c>
      <c r="AR2" s="27">
        <v>74</v>
      </c>
      <c r="AS2" s="50">
        <v>80</v>
      </c>
      <c r="AT2" s="27">
        <v>82</v>
      </c>
    </row>
    <row r="3" spans="1:46" ht="15" customHeight="1" thickBot="1" x14ac:dyDescent="0.35">
      <c r="A3" s="1042"/>
      <c r="B3" s="1042"/>
      <c r="F3" s="1045" t="s">
        <v>117</v>
      </c>
      <c r="G3" s="1046"/>
      <c r="H3" s="1046"/>
      <c r="I3" s="1046"/>
      <c r="J3" s="1046"/>
      <c r="K3" s="1046"/>
      <c r="L3" s="1046"/>
      <c r="M3" s="1046"/>
      <c r="N3" s="1046"/>
      <c r="O3" s="1046"/>
      <c r="P3" s="13"/>
      <c r="X3" s="14"/>
      <c r="Y3" s="11"/>
      <c r="AJ3" s="46" t="s">
        <v>128</v>
      </c>
      <c r="AK3" s="30" t="s">
        <v>125</v>
      </c>
      <c r="AL3" s="47">
        <f>+B66</f>
        <v>0.3</v>
      </c>
      <c r="AM3" s="47">
        <v>0.25</v>
      </c>
      <c r="AP3" s="48" t="s">
        <v>129</v>
      </c>
      <c r="AQ3" s="27"/>
      <c r="AR3" s="27"/>
      <c r="AS3" s="50">
        <v>68</v>
      </c>
      <c r="AT3" s="27">
        <v>76</v>
      </c>
    </row>
    <row r="4" spans="1:46" ht="22.8" customHeight="1" thickBot="1" x14ac:dyDescent="0.4">
      <c r="A4" s="1042"/>
      <c r="B4" s="1042"/>
      <c r="F4" s="1047" t="s">
        <v>118</v>
      </c>
      <c r="G4" s="1047"/>
      <c r="H4" s="1047"/>
      <c r="I4" s="1047"/>
      <c r="J4" s="1047"/>
      <c r="K4" s="1047"/>
      <c r="L4" s="1047"/>
      <c r="M4" s="1047"/>
      <c r="N4" s="1047"/>
      <c r="O4" s="1047"/>
      <c r="P4" s="13"/>
      <c r="X4" s="14"/>
      <c r="Y4" s="11"/>
      <c r="AJ4" s="46" t="s">
        <v>128</v>
      </c>
      <c r="AK4" s="30" t="s">
        <v>126</v>
      </c>
      <c r="AL4" s="47">
        <f>+B67</f>
        <v>0.3</v>
      </c>
      <c r="AM4" s="47">
        <v>0.25</v>
      </c>
      <c r="AP4" s="48" t="s">
        <v>130</v>
      </c>
      <c r="AQ4" s="27"/>
      <c r="AR4" s="27"/>
      <c r="AS4" s="50">
        <v>74</v>
      </c>
      <c r="AT4" s="27">
        <v>69</v>
      </c>
    </row>
    <row r="5" spans="1:46" ht="15" thickBot="1" x14ac:dyDescent="0.35">
      <c r="A5" s="1042"/>
      <c r="B5" s="1042"/>
      <c r="F5" s="1048" t="s">
        <v>688</v>
      </c>
      <c r="G5" s="1049"/>
      <c r="H5" s="1049"/>
      <c r="I5" s="1049"/>
      <c r="J5" s="1049"/>
      <c r="K5" s="1049"/>
      <c r="L5" s="1049"/>
      <c r="M5" s="1049"/>
      <c r="N5" s="1049"/>
      <c r="O5" s="1049"/>
      <c r="P5" s="13"/>
      <c r="X5" s="14"/>
      <c r="Y5" s="11"/>
      <c r="AJ5" s="46" t="s">
        <v>128</v>
      </c>
      <c r="AK5" s="30" t="s">
        <v>127</v>
      </c>
      <c r="AL5" s="47">
        <f>+B68</f>
        <v>0.1</v>
      </c>
      <c r="AM5" s="47">
        <v>0.09</v>
      </c>
      <c r="AP5" s="48" t="s">
        <v>131</v>
      </c>
      <c r="AQ5" s="27"/>
      <c r="AR5" s="27"/>
      <c r="AS5" s="50">
        <v>57</v>
      </c>
      <c r="AT5" s="27">
        <v>88</v>
      </c>
    </row>
    <row r="6" spans="1:46" x14ac:dyDescent="0.3">
      <c r="A6" s="1042"/>
      <c r="B6" s="1042"/>
      <c r="P6" s="13"/>
      <c r="X6" s="14"/>
      <c r="Y6" s="11"/>
      <c r="AJ6" s="48" t="s">
        <v>129</v>
      </c>
      <c r="AK6" s="30" t="s">
        <v>74</v>
      </c>
      <c r="AL6" s="47">
        <v>0.7</v>
      </c>
      <c r="AM6" s="47">
        <v>0.5</v>
      </c>
    </row>
    <row r="7" spans="1:46" ht="15" thickBot="1" x14ac:dyDescent="0.35">
      <c r="A7" s="11"/>
      <c r="B7" s="11"/>
      <c r="P7" s="13"/>
      <c r="X7" s="14"/>
      <c r="Y7" s="11"/>
      <c r="AJ7" s="48" t="s">
        <v>129</v>
      </c>
      <c r="AK7" s="30" t="s">
        <v>77</v>
      </c>
      <c r="AL7" s="47">
        <v>0.05</v>
      </c>
      <c r="AM7" s="47">
        <v>0.05</v>
      </c>
    </row>
    <row r="8" spans="1:46" ht="15" thickBot="1" x14ac:dyDescent="0.35">
      <c r="A8" s="11"/>
      <c r="B8" s="11"/>
      <c r="D8" s="1045" t="s">
        <v>119</v>
      </c>
      <c r="E8" s="1050"/>
      <c r="G8" s="1045" t="s">
        <v>120</v>
      </c>
      <c r="H8" s="1050"/>
      <c r="J8" s="1045" t="s">
        <v>121</v>
      </c>
      <c r="K8" s="1050"/>
      <c r="M8" s="1045" t="s">
        <v>122</v>
      </c>
      <c r="N8" s="1050"/>
      <c r="P8" s="13"/>
      <c r="X8" s="14"/>
      <c r="Y8" s="11"/>
      <c r="AJ8" s="48" t="s">
        <v>129</v>
      </c>
      <c r="AK8" s="30" t="s">
        <v>126</v>
      </c>
      <c r="AL8" s="47">
        <v>0.25</v>
      </c>
      <c r="AM8" s="47">
        <v>0.22</v>
      </c>
    </row>
    <row r="9" spans="1:46" x14ac:dyDescent="0.3">
      <c r="A9" s="11"/>
      <c r="B9" s="11"/>
      <c r="D9" s="1051" t="s">
        <v>87</v>
      </c>
      <c r="E9" s="1051"/>
      <c r="G9" s="1051" t="s">
        <v>87</v>
      </c>
      <c r="H9" s="1051"/>
      <c r="J9" s="1051" t="s">
        <v>87</v>
      </c>
      <c r="K9" s="1051"/>
      <c r="L9" s="15"/>
      <c r="M9" s="1051" t="s">
        <v>87</v>
      </c>
      <c r="N9" s="1051"/>
      <c r="O9" s="15"/>
      <c r="P9" s="13"/>
      <c r="X9" s="14"/>
      <c r="Y9" s="11"/>
      <c r="AJ9" s="48" t="s">
        <v>130</v>
      </c>
      <c r="AK9" s="30" t="s">
        <v>74</v>
      </c>
      <c r="AL9" s="31">
        <v>0.7</v>
      </c>
      <c r="AM9" s="31">
        <v>0.46</v>
      </c>
    </row>
    <row r="10" spans="1:46" x14ac:dyDescent="0.3">
      <c r="A10" s="11"/>
      <c r="B10" s="11"/>
      <c r="D10" s="16"/>
      <c r="E10" s="17"/>
      <c r="G10" s="16"/>
      <c r="H10" s="17"/>
      <c r="J10" s="16"/>
      <c r="K10" s="17"/>
      <c r="M10" s="16"/>
      <c r="N10" s="17"/>
      <c r="P10" s="13"/>
      <c r="X10" s="14"/>
      <c r="Y10" s="11"/>
      <c r="AJ10" s="48" t="s">
        <v>130</v>
      </c>
      <c r="AK10" s="30" t="s">
        <v>77</v>
      </c>
      <c r="AL10" s="31">
        <v>0.05</v>
      </c>
      <c r="AM10" s="31">
        <v>0.05</v>
      </c>
    </row>
    <row r="11" spans="1:46" x14ac:dyDescent="0.3">
      <c r="A11" s="11"/>
      <c r="B11" s="11"/>
      <c r="D11" s="18"/>
      <c r="E11" s="19"/>
      <c r="G11" s="18"/>
      <c r="H11" s="19"/>
      <c r="J11" s="18"/>
      <c r="K11" s="19"/>
      <c r="M11" s="18"/>
      <c r="N11" s="19"/>
      <c r="P11" s="13"/>
      <c r="X11" s="14"/>
      <c r="Y11" s="11"/>
      <c r="AJ11" s="48" t="s">
        <v>130</v>
      </c>
      <c r="AK11" s="30" t="s">
        <v>126</v>
      </c>
      <c r="AL11" s="31">
        <v>0.25</v>
      </c>
      <c r="AM11" s="31">
        <v>0.18</v>
      </c>
    </row>
    <row r="12" spans="1:46" x14ac:dyDescent="0.3">
      <c r="A12" s="11"/>
      <c r="B12" s="11"/>
      <c r="D12" s="18"/>
      <c r="E12" s="19"/>
      <c r="G12" s="18"/>
      <c r="H12" s="19"/>
      <c r="J12" s="18"/>
      <c r="K12" s="19"/>
      <c r="M12" s="18"/>
      <c r="N12" s="19"/>
      <c r="P12" s="13"/>
      <c r="X12" s="14"/>
      <c r="Y12" s="11"/>
      <c r="AJ12" s="48" t="s">
        <v>131</v>
      </c>
      <c r="AK12" s="30" t="s">
        <v>74</v>
      </c>
      <c r="AL12" s="31">
        <v>0.7</v>
      </c>
      <c r="AM12" s="31">
        <v>0.63</v>
      </c>
    </row>
    <row r="13" spans="1:46" x14ac:dyDescent="0.3">
      <c r="A13" s="11"/>
      <c r="B13" s="11"/>
      <c r="D13" s="18"/>
      <c r="E13" s="19"/>
      <c r="G13" s="18"/>
      <c r="H13" s="19"/>
      <c r="J13" s="18"/>
      <c r="K13" s="19"/>
      <c r="M13" s="18"/>
      <c r="N13" s="19"/>
      <c r="P13" s="13"/>
      <c r="X13" s="14"/>
      <c r="Y13" s="11"/>
      <c r="AJ13" s="48" t="s">
        <v>131</v>
      </c>
      <c r="AK13" s="30" t="s">
        <v>77</v>
      </c>
      <c r="AL13" s="31">
        <v>0.05</v>
      </c>
      <c r="AM13" s="31">
        <v>0.04</v>
      </c>
    </row>
    <row r="14" spans="1:46" x14ac:dyDescent="0.3">
      <c r="A14" s="11"/>
      <c r="B14" s="11"/>
      <c r="D14" s="18"/>
      <c r="E14" s="19"/>
      <c r="G14" s="18"/>
      <c r="H14" s="19"/>
      <c r="J14" s="18"/>
      <c r="K14" s="19"/>
      <c r="M14" s="18"/>
      <c r="N14" s="19"/>
      <c r="P14" s="13"/>
      <c r="X14" s="14"/>
      <c r="Y14" s="11"/>
      <c r="AJ14" s="48" t="s">
        <v>131</v>
      </c>
      <c r="AK14" s="30" t="s">
        <v>126</v>
      </c>
      <c r="AL14" s="31">
        <v>0.25</v>
      </c>
      <c r="AM14" s="31">
        <v>0.21</v>
      </c>
    </row>
    <row r="15" spans="1:46" x14ac:dyDescent="0.3">
      <c r="A15" s="11"/>
      <c r="B15" s="11"/>
      <c r="D15" s="18"/>
      <c r="E15" s="19"/>
      <c r="G15" s="18"/>
      <c r="H15" s="19"/>
      <c r="J15" s="18"/>
      <c r="K15" s="19"/>
      <c r="M15" s="18"/>
      <c r="N15" s="19"/>
      <c r="P15" s="13"/>
      <c r="X15" s="14"/>
      <c r="Y15" s="11"/>
    </row>
    <row r="16" spans="1:46" x14ac:dyDescent="0.3">
      <c r="A16" s="11"/>
      <c r="B16" s="11"/>
      <c r="D16" s="18"/>
      <c r="E16" s="19"/>
      <c r="G16" s="18"/>
      <c r="H16" s="19"/>
      <c r="J16" s="18"/>
      <c r="K16" s="19"/>
      <c r="M16" s="18"/>
      <c r="N16" s="19"/>
      <c r="P16" s="13"/>
      <c r="X16" s="14"/>
      <c r="Y16" s="11"/>
    </row>
    <row r="17" spans="1:46" x14ac:dyDescent="0.3">
      <c r="A17" s="11"/>
      <c r="B17" s="11"/>
      <c r="D17" s="18"/>
      <c r="E17" s="19"/>
      <c r="G17" s="18"/>
      <c r="H17" s="19"/>
      <c r="J17" s="18"/>
      <c r="K17" s="19"/>
      <c r="M17" s="18"/>
      <c r="N17" s="19"/>
      <c r="P17" s="13"/>
      <c r="X17" s="14"/>
      <c r="Y17" s="11"/>
      <c r="AJ17" s="79" t="s">
        <v>238</v>
      </c>
      <c r="AK17" t="s">
        <v>240</v>
      </c>
      <c r="AL17" t="s">
        <v>241</v>
      </c>
      <c r="AP17" s="79" t="s">
        <v>238</v>
      </c>
      <c r="AQ17" t="s">
        <v>584</v>
      </c>
      <c r="AR17" t="s">
        <v>585</v>
      </c>
      <c r="AS17" t="s">
        <v>586</v>
      </c>
      <c r="AT17" t="s">
        <v>689</v>
      </c>
    </row>
    <row r="18" spans="1:46" x14ac:dyDescent="0.3">
      <c r="A18" s="11"/>
      <c r="B18" s="11"/>
      <c r="D18" s="20"/>
      <c r="E18" s="21"/>
      <c r="G18" s="20"/>
      <c r="H18" s="21"/>
      <c r="J18" s="20"/>
      <c r="K18" s="21"/>
      <c r="M18" s="20"/>
      <c r="N18" s="21"/>
      <c r="P18" s="13"/>
      <c r="X18" s="14"/>
      <c r="Y18" s="11"/>
      <c r="AJ18" s="4" t="s">
        <v>130</v>
      </c>
      <c r="AK18" s="81">
        <v>1</v>
      </c>
      <c r="AL18" s="81">
        <v>0.69000000000000006</v>
      </c>
      <c r="AP18" s="4" t="s">
        <v>130</v>
      </c>
      <c r="AS18" s="82">
        <v>74</v>
      </c>
      <c r="AT18">
        <v>69</v>
      </c>
    </row>
    <row r="19" spans="1:46" x14ac:dyDescent="0.3">
      <c r="A19" s="11"/>
      <c r="B19" s="11"/>
      <c r="D19" s="16"/>
      <c r="E19" s="17"/>
      <c r="G19" s="16"/>
      <c r="H19" s="17"/>
      <c r="J19" s="16"/>
      <c r="K19" s="17"/>
      <c r="M19" s="16"/>
      <c r="N19" s="17"/>
      <c r="P19" s="13"/>
      <c r="X19" s="14"/>
      <c r="Y19" s="11"/>
      <c r="AJ19" s="80" t="s">
        <v>74</v>
      </c>
      <c r="AK19" s="81">
        <v>0.7</v>
      </c>
      <c r="AL19" s="81">
        <v>0.46</v>
      </c>
      <c r="AP19" s="4" t="s">
        <v>131</v>
      </c>
      <c r="AS19" s="82">
        <v>57</v>
      </c>
      <c r="AT19">
        <v>88</v>
      </c>
    </row>
    <row r="20" spans="1:46" x14ac:dyDescent="0.3">
      <c r="A20" s="11"/>
      <c r="B20" s="11"/>
      <c r="D20" s="18"/>
      <c r="E20" s="19"/>
      <c r="G20" s="18"/>
      <c r="H20" s="19"/>
      <c r="J20" s="18"/>
      <c r="K20" s="19"/>
      <c r="M20" s="18"/>
      <c r="N20" s="19"/>
      <c r="P20" s="13"/>
      <c r="X20" s="14"/>
      <c r="Y20" s="11"/>
      <c r="AJ20" s="80" t="s">
        <v>126</v>
      </c>
      <c r="AK20" s="81">
        <v>0.25</v>
      </c>
      <c r="AL20" s="81">
        <v>0.18</v>
      </c>
      <c r="AP20" s="4" t="s">
        <v>128</v>
      </c>
      <c r="AQ20">
        <v>69</v>
      </c>
      <c r="AR20">
        <v>74</v>
      </c>
      <c r="AS20" s="82">
        <v>80</v>
      </c>
      <c r="AT20">
        <v>82</v>
      </c>
    </row>
    <row r="21" spans="1:46" x14ac:dyDescent="0.3">
      <c r="A21" s="11"/>
      <c r="B21" s="11"/>
      <c r="D21" s="18"/>
      <c r="E21" s="19"/>
      <c r="G21" s="18"/>
      <c r="H21" s="19"/>
      <c r="J21" s="18"/>
      <c r="K21" s="19"/>
      <c r="M21" s="18"/>
      <c r="N21" s="19"/>
      <c r="P21" s="13"/>
      <c r="X21" s="14"/>
      <c r="Y21" s="11"/>
      <c r="AJ21" s="80" t="s">
        <v>77</v>
      </c>
      <c r="AK21" s="81">
        <v>0.05</v>
      </c>
      <c r="AL21" s="81">
        <v>0.05</v>
      </c>
      <c r="AP21" s="4" t="s">
        <v>129</v>
      </c>
      <c r="AS21" s="82">
        <v>68</v>
      </c>
      <c r="AT21">
        <v>76</v>
      </c>
    </row>
    <row r="22" spans="1:46" x14ac:dyDescent="0.3">
      <c r="A22" s="11"/>
      <c r="B22" s="11"/>
      <c r="D22" s="18"/>
      <c r="E22" s="19"/>
      <c r="G22" s="18"/>
      <c r="H22" s="19"/>
      <c r="J22" s="18"/>
      <c r="K22" s="19"/>
      <c r="M22" s="18"/>
      <c r="N22" s="19"/>
      <c r="P22" s="13"/>
      <c r="X22" s="14"/>
      <c r="Y22" s="11"/>
      <c r="AJ22" s="4" t="s">
        <v>131</v>
      </c>
      <c r="AK22" s="81">
        <v>1</v>
      </c>
      <c r="AL22" s="81">
        <v>0.88</v>
      </c>
    </row>
    <row r="23" spans="1:46" x14ac:dyDescent="0.3">
      <c r="A23" s="11"/>
      <c r="B23" s="11"/>
      <c r="D23" s="18"/>
      <c r="E23" s="19"/>
      <c r="G23" s="18"/>
      <c r="H23" s="19"/>
      <c r="J23" s="18"/>
      <c r="K23" s="19"/>
      <c r="M23" s="18"/>
      <c r="N23" s="19"/>
      <c r="P23" s="13"/>
      <c r="X23" s="14"/>
      <c r="Y23" s="11"/>
      <c r="AJ23" s="80" t="s">
        <v>74</v>
      </c>
      <c r="AK23" s="81">
        <v>0.7</v>
      </c>
      <c r="AL23" s="81">
        <v>0.63</v>
      </c>
    </row>
    <row r="24" spans="1:46" x14ac:dyDescent="0.3">
      <c r="A24" s="11"/>
      <c r="B24" s="11"/>
      <c r="D24" s="18"/>
      <c r="E24" s="19"/>
      <c r="G24" s="18"/>
      <c r="H24" s="19"/>
      <c r="J24" s="18"/>
      <c r="K24" s="19"/>
      <c r="M24" s="18"/>
      <c r="N24" s="19"/>
      <c r="P24" s="13"/>
      <c r="X24" s="14"/>
      <c r="Y24" s="11"/>
      <c r="AJ24" s="80" t="s">
        <v>126</v>
      </c>
      <c r="AK24" s="81">
        <v>0.25</v>
      </c>
      <c r="AL24" s="81">
        <v>0.21</v>
      </c>
    </row>
    <row r="25" spans="1:46" x14ac:dyDescent="0.3">
      <c r="A25" s="11"/>
      <c r="B25" s="11"/>
      <c r="D25" s="18"/>
      <c r="E25" s="19"/>
      <c r="G25" s="18"/>
      <c r="H25" s="19"/>
      <c r="J25" s="18"/>
      <c r="K25" s="19"/>
      <c r="M25" s="18"/>
      <c r="N25" s="19"/>
      <c r="P25" s="13"/>
      <c r="X25" s="14"/>
      <c r="Y25" s="11"/>
      <c r="AJ25" s="80" t="s">
        <v>77</v>
      </c>
      <c r="AK25" s="81">
        <v>0.05</v>
      </c>
      <c r="AL25" s="81">
        <v>0.04</v>
      </c>
    </row>
    <row r="26" spans="1:46" x14ac:dyDescent="0.3">
      <c r="A26" s="11"/>
      <c r="B26" s="11"/>
      <c r="D26" s="18"/>
      <c r="E26" s="19"/>
      <c r="G26" s="18"/>
      <c r="H26" s="19"/>
      <c r="J26" s="18"/>
      <c r="K26" s="19"/>
      <c r="M26" s="18"/>
      <c r="N26" s="19"/>
      <c r="P26" s="13"/>
      <c r="X26" s="14"/>
      <c r="Y26" s="11"/>
      <c r="AJ26" s="4" t="s">
        <v>128</v>
      </c>
      <c r="AK26" s="81">
        <v>1</v>
      </c>
      <c r="AL26" s="81">
        <v>0.82000000000000006</v>
      </c>
    </row>
    <row r="27" spans="1:46" x14ac:dyDescent="0.3">
      <c r="A27" s="11"/>
      <c r="B27" s="11"/>
      <c r="D27" s="20"/>
      <c r="E27" s="21"/>
      <c r="G27" s="20"/>
      <c r="H27" s="21"/>
      <c r="J27" s="20"/>
      <c r="K27" s="21"/>
      <c r="M27" s="20"/>
      <c r="N27" s="21"/>
      <c r="P27" s="13"/>
      <c r="X27" s="14"/>
      <c r="Y27" s="11"/>
      <c r="AJ27" s="80" t="s">
        <v>124</v>
      </c>
      <c r="AK27" s="81">
        <v>0.3</v>
      </c>
      <c r="AL27" s="81">
        <v>0.23</v>
      </c>
    </row>
    <row r="28" spans="1:46" x14ac:dyDescent="0.3">
      <c r="A28" s="11"/>
      <c r="B28" s="11"/>
      <c r="D28" s="16"/>
      <c r="E28" s="17"/>
      <c r="G28" s="16"/>
      <c r="H28" s="17"/>
      <c r="J28" s="16"/>
      <c r="K28" s="17"/>
      <c r="M28" s="16"/>
      <c r="N28" s="17"/>
      <c r="P28" s="13"/>
      <c r="X28" s="14"/>
      <c r="Y28" s="11"/>
      <c r="AJ28" s="80" t="s">
        <v>127</v>
      </c>
      <c r="AK28" s="81">
        <v>0.1</v>
      </c>
      <c r="AL28" s="81">
        <v>0.09</v>
      </c>
    </row>
    <row r="29" spans="1:46" x14ac:dyDescent="0.3">
      <c r="A29" s="11"/>
      <c r="B29" s="11"/>
      <c r="D29" s="18"/>
      <c r="E29" s="19"/>
      <c r="G29" s="18"/>
      <c r="H29" s="19"/>
      <c r="J29" s="18"/>
      <c r="K29" s="19"/>
      <c r="M29" s="18"/>
      <c r="N29" s="19"/>
      <c r="P29" s="13"/>
      <c r="X29" s="14"/>
      <c r="Y29" s="11"/>
      <c r="AJ29" s="80" t="s">
        <v>126</v>
      </c>
      <c r="AK29" s="81">
        <v>0.3</v>
      </c>
      <c r="AL29" s="81">
        <v>0.25</v>
      </c>
    </row>
    <row r="30" spans="1:46" x14ac:dyDescent="0.3">
      <c r="A30" s="11"/>
      <c r="B30" s="11"/>
      <c r="D30" s="18"/>
      <c r="E30" s="19"/>
      <c r="G30" s="18"/>
      <c r="H30" s="19"/>
      <c r="J30" s="18"/>
      <c r="K30" s="19"/>
      <c r="M30" s="18"/>
      <c r="N30" s="19"/>
      <c r="P30" s="13"/>
      <c r="X30" s="14"/>
      <c r="Y30" s="11"/>
      <c r="AJ30" s="80" t="s">
        <v>125</v>
      </c>
      <c r="AK30" s="81">
        <v>0.3</v>
      </c>
      <c r="AL30" s="81">
        <v>0.25</v>
      </c>
    </row>
    <row r="31" spans="1:46" x14ac:dyDescent="0.3">
      <c r="A31" s="11"/>
      <c r="B31" s="11"/>
      <c r="D31" s="18"/>
      <c r="E31" s="19"/>
      <c r="G31" s="18"/>
      <c r="H31" s="19"/>
      <c r="J31" s="18"/>
      <c r="K31" s="19"/>
      <c r="M31" s="18"/>
      <c r="N31" s="19"/>
      <c r="P31" s="13"/>
      <c r="X31" s="14"/>
      <c r="Y31" s="11"/>
      <c r="AJ31" s="4" t="s">
        <v>129</v>
      </c>
      <c r="AK31" s="81">
        <v>1</v>
      </c>
      <c r="AL31" s="81">
        <v>0.77</v>
      </c>
    </row>
    <row r="32" spans="1:46" x14ac:dyDescent="0.3">
      <c r="A32" s="11"/>
      <c r="B32" s="11"/>
      <c r="D32" s="18"/>
      <c r="E32" s="19"/>
      <c r="G32" s="18"/>
      <c r="H32" s="19"/>
      <c r="J32" s="18"/>
      <c r="K32" s="19"/>
      <c r="M32" s="18"/>
      <c r="N32" s="19"/>
      <c r="P32" s="13"/>
      <c r="X32" s="14"/>
      <c r="Y32" s="11"/>
      <c r="AJ32" s="80" t="s">
        <v>74</v>
      </c>
      <c r="AK32" s="81">
        <v>0.7</v>
      </c>
      <c r="AL32" s="81">
        <v>0.5</v>
      </c>
    </row>
    <row r="33" spans="1:38" x14ac:dyDescent="0.3">
      <c r="A33" s="11"/>
      <c r="B33" s="11"/>
      <c r="D33" s="18"/>
      <c r="E33" s="19"/>
      <c r="G33" s="18"/>
      <c r="H33" s="19"/>
      <c r="J33" s="18"/>
      <c r="K33" s="19"/>
      <c r="M33" s="18"/>
      <c r="N33" s="19"/>
      <c r="P33" s="13"/>
      <c r="X33" s="14"/>
      <c r="Y33" s="11"/>
      <c r="AJ33" s="80" t="s">
        <v>126</v>
      </c>
      <c r="AK33" s="81">
        <v>0.25</v>
      </c>
      <c r="AL33" s="81">
        <v>0.22</v>
      </c>
    </row>
    <row r="34" spans="1:38" x14ac:dyDescent="0.3">
      <c r="A34" s="11"/>
      <c r="B34" s="11"/>
      <c r="D34" s="18"/>
      <c r="E34" s="19"/>
      <c r="G34" s="18"/>
      <c r="H34" s="19"/>
      <c r="J34" s="18"/>
      <c r="K34" s="19"/>
      <c r="M34" s="18"/>
      <c r="N34" s="19"/>
      <c r="P34" s="13"/>
      <c r="X34" s="14"/>
      <c r="Y34" s="11"/>
      <c r="AJ34" s="80" t="s">
        <v>77</v>
      </c>
      <c r="AK34" s="81">
        <v>0.05</v>
      </c>
      <c r="AL34" s="81">
        <v>0.05</v>
      </c>
    </row>
    <row r="35" spans="1:38" x14ac:dyDescent="0.3">
      <c r="A35" s="11"/>
      <c r="B35" s="11"/>
      <c r="D35" s="18"/>
      <c r="E35" s="19"/>
      <c r="G35" s="18"/>
      <c r="H35" s="19"/>
      <c r="J35" s="18"/>
      <c r="K35" s="19"/>
      <c r="M35" s="18"/>
      <c r="N35" s="19"/>
      <c r="P35" s="13"/>
      <c r="X35" s="14"/>
      <c r="Y35" s="11"/>
    </row>
    <row r="36" spans="1:38" x14ac:dyDescent="0.3">
      <c r="A36" s="11"/>
      <c r="B36" s="11"/>
      <c r="D36" s="20"/>
      <c r="E36" s="21"/>
      <c r="G36" s="20"/>
      <c r="H36" s="21"/>
      <c r="J36" s="20"/>
      <c r="K36" s="21"/>
      <c r="M36" s="20"/>
      <c r="N36" s="21"/>
      <c r="P36" s="13"/>
      <c r="X36" s="14"/>
      <c r="Y36" s="11"/>
    </row>
    <row r="37" spans="1:38" x14ac:dyDescent="0.3">
      <c r="A37" s="11"/>
      <c r="B37" s="11"/>
      <c r="D37" s="16"/>
      <c r="E37" s="17"/>
      <c r="G37" s="16"/>
      <c r="H37" s="17"/>
      <c r="J37" s="16"/>
      <c r="K37" s="17"/>
      <c r="M37" s="16"/>
      <c r="N37" s="17"/>
      <c r="P37" s="13"/>
      <c r="X37" s="14"/>
      <c r="Y37" s="11"/>
    </row>
    <row r="38" spans="1:38" x14ac:dyDescent="0.3">
      <c r="A38" s="11"/>
      <c r="B38" s="11"/>
      <c r="D38" s="18"/>
      <c r="E38" s="19"/>
      <c r="G38" s="18"/>
      <c r="H38" s="19"/>
      <c r="J38" s="18"/>
      <c r="K38" s="19"/>
      <c r="M38" s="18"/>
      <c r="N38" s="19"/>
      <c r="P38" s="13"/>
      <c r="X38" s="14"/>
      <c r="Y38" s="11"/>
    </row>
    <row r="39" spans="1:38" x14ac:dyDescent="0.3">
      <c r="A39" s="11"/>
      <c r="B39" s="11"/>
      <c r="D39" s="18"/>
      <c r="E39" s="19"/>
      <c r="G39" s="18"/>
      <c r="H39" s="19"/>
      <c r="J39" s="18"/>
      <c r="K39" s="19"/>
      <c r="L39" s="18"/>
      <c r="N39" s="19"/>
      <c r="P39" s="13"/>
      <c r="X39" s="14"/>
      <c r="Y39" s="11"/>
    </row>
    <row r="40" spans="1:38" x14ac:dyDescent="0.3">
      <c r="A40" s="11"/>
      <c r="B40" s="11"/>
      <c r="D40" s="18"/>
      <c r="E40" s="19"/>
      <c r="G40" s="18"/>
      <c r="H40" s="19"/>
      <c r="J40" s="18"/>
      <c r="K40" s="19"/>
      <c r="M40" s="18"/>
      <c r="N40" s="19"/>
      <c r="P40" s="13"/>
      <c r="X40" s="14"/>
      <c r="Y40" s="11"/>
    </row>
    <row r="41" spans="1:38" x14ac:dyDescent="0.3">
      <c r="A41" s="11"/>
      <c r="B41" s="11"/>
      <c r="D41" s="18"/>
      <c r="E41" s="19"/>
      <c r="G41" s="18"/>
      <c r="H41" s="19"/>
      <c r="J41" s="18"/>
      <c r="K41" s="19"/>
      <c r="M41" s="18"/>
      <c r="N41" s="19"/>
      <c r="P41" s="13"/>
      <c r="X41" s="14"/>
      <c r="Y41" s="11"/>
    </row>
    <row r="42" spans="1:38" x14ac:dyDescent="0.3">
      <c r="A42" s="11"/>
      <c r="B42" s="11"/>
      <c r="D42" s="18"/>
      <c r="E42" s="19"/>
      <c r="G42" s="18"/>
      <c r="H42" s="19"/>
      <c r="J42" s="18"/>
      <c r="K42" s="19"/>
      <c r="M42" s="18"/>
      <c r="N42" s="19"/>
      <c r="P42" s="13"/>
      <c r="X42" s="14"/>
      <c r="Y42" s="11"/>
    </row>
    <row r="43" spans="1:38" x14ac:dyDescent="0.3">
      <c r="A43" s="11"/>
      <c r="B43" s="11"/>
      <c r="D43" s="18"/>
      <c r="E43" s="19"/>
      <c r="G43" s="18"/>
      <c r="H43" s="19"/>
      <c r="J43" s="18"/>
      <c r="K43" s="19"/>
      <c r="M43" s="18"/>
      <c r="N43" s="19"/>
      <c r="P43" s="13"/>
      <c r="X43" s="14"/>
      <c r="Y43" s="11"/>
    </row>
    <row r="44" spans="1:38" x14ac:dyDescent="0.3">
      <c r="A44" s="11"/>
      <c r="B44" s="11"/>
      <c r="D44" s="18"/>
      <c r="E44" s="19"/>
      <c r="G44" s="18"/>
      <c r="H44" s="19"/>
      <c r="J44" s="18"/>
      <c r="K44" s="19"/>
      <c r="M44" s="18"/>
      <c r="N44" s="19"/>
      <c r="P44" s="13"/>
      <c r="X44" s="14"/>
      <c r="Y44" s="11"/>
    </row>
    <row r="45" spans="1:38" x14ac:dyDescent="0.3">
      <c r="A45" s="11"/>
      <c r="B45" s="11"/>
      <c r="D45" s="20"/>
      <c r="E45" s="21"/>
      <c r="G45" s="20"/>
      <c r="H45" s="21"/>
      <c r="J45" s="20"/>
      <c r="K45" s="21"/>
      <c r="M45" s="20"/>
      <c r="N45" s="21"/>
      <c r="P45" s="13"/>
      <c r="X45" s="14"/>
      <c r="Y45" s="11"/>
    </row>
    <row r="46" spans="1:38" x14ac:dyDescent="0.3">
      <c r="A46" s="11"/>
      <c r="B46" s="11"/>
      <c r="D46" s="16"/>
      <c r="E46" s="17"/>
      <c r="G46" s="16"/>
      <c r="H46" s="17"/>
      <c r="J46" s="16"/>
      <c r="K46" s="17"/>
      <c r="M46" s="16"/>
      <c r="N46" s="17"/>
      <c r="P46" s="13"/>
      <c r="X46" s="14"/>
      <c r="Y46" s="11"/>
    </row>
    <row r="47" spans="1:38" x14ac:dyDescent="0.3">
      <c r="A47" s="11"/>
      <c r="B47" s="11"/>
      <c r="D47" s="18"/>
      <c r="E47" s="19"/>
      <c r="G47" s="18"/>
      <c r="H47" s="19"/>
      <c r="J47" s="18"/>
      <c r="K47" s="19"/>
      <c r="M47" s="18"/>
      <c r="N47" s="19"/>
      <c r="P47" s="13"/>
      <c r="X47" s="14"/>
      <c r="Y47" s="11"/>
    </row>
    <row r="48" spans="1:38" x14ac:dyDescent="0.3">
      <c r="A48" s="11"/>
      <c r="B48" s="11"/>
      <c r="D48" s="18"/>
      <c r="E48" s="19"/>
      <c r="G48" s="18"/>
      <c r="H48" s="19"/>
      <c r="J48" s="18"/>
      <c r="K48" s="19"/>
      <c r="M48" s="18"/>
      <c r="N48" s="19"/>
      <c r="P48" s="13"/>
      <c r="X48" s="14"/>
      <c r="Y48" s="11"/>
    </row>
    <row r="49" spans="1:25" x14ac:dyDescent="0.3">
      <c r="A49" s="11"/>
      <c r="B49" s="11"/>
      <c r="D49" s="18"/>
      <c r="E49" s="19"/>
      <c r="G49" s="18"/>
      <c r="H49" s="19"/>
      <c r="J49" s="18"/>
      <c r="K49" s="19"/>
      <c r="M49" s="18"/>
      <c r="N49" s="19"/>
      <c r="P49" s="13"/>
      <c r="X49" s="14"/>
      <c r="Y49" s="11"/>
    </row>
    <row r="50" spans="1:25" x14ac:dyDescent="0.3">
      <c r="A50" s="11"/>
      <c r="B50" s="11"/>
      <c r="D50" s="18"/>
      <c r="E50" s="19"/>
      <c r="G50" s="18"/>
      <c r="H50" s="19"/>
      <c r="J50" s="18"/>
      <c r="K50" s="19"/>
      <c r="M50" s="18"/>
      <c r="N50" s="19"/>
      <c r="P50" s="13"/>
      <c r="X50" s="14"/>
      <c r="Y50" s="11"/>
    </row>
    <row r="51" spans="1:25" x14ac:dyDescent="0.3">
      <c r="A51" s="11"/>
      <c r="B51" s="11"/>
      <c r="D51" s="18"/>
      <c r="E51" s="19"/>
      <c r="G51" s="18"/>
      <c r="H51" s="19"/>
      <c r="J51" s="18"/>
      <c r="K51" s="19"/>
      <c r="M51" s="18"/>
      <c r="N51" s="19"/>
      <c r="P51" s="13"/>
      <c r="X51" s="14"/>
      <c r="Y51" s="11"/>
    </row>
    <row r="52" spans="1:25" x14ac:dyDescent="0.3">
      <c r="A52" s="11"/>
      <c r="B52" s="11"/>
      <c r="D52" s="18"/>
      <c r="E52" s="19"/>
      <c r="G52" s="18"/>
      <c r="H52" s="19"/>
      <c r="J52" s="18"/>
      <c r="K52" s="19"/>
      <c r="M52" s="18"/>
      <c r="N52" s="19"/>
      <c r="P52" s="13"/>
      <c r="X52" s="14"/>
      <c r="Y52" s="11"/>
    </row>
    <row r="53" spans="1:25" x14ac:dyDescent="0.3">
      <c r="A53" s="11"/>
      <c r="B53" s="11"/>
      <c r="D53" s="18"/>
      <c r="E53" s="19"/>
      <c r="G53" s="18"/>
      <c r="H53" s="19"/>
      <c r="J53" s="18"/>
      <c r="K53" s="19"/>
      <c r="M53" s="18"/>
      <c r="N53" s="19"/>
      <c r="P53" s="13"/>
      <c r="X53" s="14"/>
      <c r="Y53" s="11"/>
    </row>
    <row r="54" spans="1:25" x14ac:dyDescent="0.3">
      <c r="A54" s="11"/>
      <c r="B54" s="11"/>
      <c r="D54" s="18"/>
      <c r="E54" s="19"/>
      <c r="G54" s="18"/>
      <c r="H54" s="19"/>
      <c r="J54" s="18"/>
      <c r="K54" s="19"/>
      <c r="M54" s="18"/>
      <c r="N54" s="19"/>
      <c r="P54" s="13"/>
      <c r="X54" s="14"/>
      <c r="Y54" s="11"/>
    </row>
    <row r="55" spans="1:25" x14ac:dyDescent="0.3">
      <c r="A55" s="11"/>
      <c r="B55" s="11"/>
      <c r="D55" s="18"/>
      <c r="E55" s="19"/>
      <c r="G55" s="18"/>
      <c r="H55" s="19"/>
      <c r="J55" s="18"/>
      <c r="K55" s="19"/>
      <c r="M55" s="18"/>
      <c r="N55" s="19"/>
      <c r="P55" s="13"/>
      <c r="X55" s="14"/>
      <c r="Y55" s="11"/>
    </row>
    <row r="56" spans="1:25" x14ac:dyDescent="0.3">
      <c r="A56" s="11"/>
      <c r="B56" s="11"/>
      <c r="D56" s="18"/>
      <c r="E56" s="19"/>
      <c r="G56" s="18"/>
      <c r="H56" s="19"/>
      <c r="J56" s="18"/>
      <c r="K56" s="19"/>
      <c r="M56" s="18"/>
      <c r="N56" s="19"/>
      <c r="P56" s="13"/>
      <c r="X56" s="14"/>
      <c r="Y56" s="11"/>
    </row>
    <row r="57" spans="1:25" x14ac:dyDescent="0.3">
      <c r="A57" s="11"/>
      <c r="B57" s="11"/>
      <c r="D57" s="18"/>
      <c r="E57" s="19"/>
      <c r="G57" s="18"/>
      <c r="H57" s="19"/>
      <c r="J57" s="18"/>
      <c r="K57" s="19"/>
      <c r="M57" s="18"/>
      <c r="N57" s="19"/>
      <c r="P57" s="13"/>
      <c r="X57" s="14"/>
      <c r="Y57" s="11"/>
    </row>
    <row r="58" spans="1:25" x14ac:dyDescent="0.3">
      <c r="A58" s="11"/>
      <c r="B58" s="11"/>
      <c r="D58" s="20"/>
      <c r="E58" s="21"/>
      <c r="G58" s="20"/>
      <c r="H58" s="21"/>
      <c r="J58" s="20"/>
      <c r="K58" s="21"/>
      <c r="M58" s="20"/>
      <c r="N58" s="21"/>
      <c r="P58" s="13"/>
      <c r="X58" s="14"/>
      <c r="Y58" s="11"/>
    </row>
    <row r="59" spans="1:25" ht="15" thickBot="1" x14ac:dyDescent="0.35">
      <c r="A59" s="11"/>
      <c r="B59" s="11"/>
      <c r="P59" s="22"/>
      <c r="Q59" s="23"/>
      <c r="R59" s="23"/>
      <c r="S59" s="23"/>
      <c r="T59" s="23"/>
      <c r="U59" s="23"/>
      <c r="V59" s="23"/>
      <c r="W59" s="23"/>
      <c r="X59" s="24"/>
      <c r="Y59" s="11"/>
    </row>
    <row r="60" spans="1:25"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5" thickBot="1" x14ac:dyDescent="0.35"/>
    <row r="62" spans="1:25" x14ac:dyDescent="0.3">
      <c r="A62" s="8"/>
      <c r="B62" s="9"/>
      <c r="C62" s="9"/>
      <c r="D62" s="9"/>
      <c r="E62" s="25" t="s">
        <v>88</v>
      </c>
      <c r="F62" s="25"/>
      <c r="G62" s="9"/>
      <c r="H62" s="9"/>
      <c r="I62" s="1053" t="s">
        <v>89</v>
      </c>
      <c r="J62" s="1053"/>
      <c r="K62" s="10"/>
    </row>
    <row r="63" spans="1:25" x14ac:dyDescent="0.3">
      <c r="A63" s="1054" t="s">
        <v>128</v>
      </c>
      <c r="B63" s="1055"/>
      <c r="C63" s="1055"/>
      <c r="E63" s="1052" t="s">
        <v>90</v>
      </c>
      <c r="F63" s="1052"/>
      <c r="I63" s="27" t="s">
        <v>91</v>
      </c>
      <c r="J63" s="27">
        <v>0</v>
      </c>
      <c r="K63" s="14"/>
    </row>
    <row r="64" spans="1:25" x14ac:dyDescent="0.3">
      <c r="A64" s="28" t="s">
        <v>92</v>
      </c>
      <c r="E64" s="27" t="s">
        <v>93</v>
      </c>
      <c r="F64" s="29">
        <v>20</v>
      </c>
      <c r="I64" s="27" t="s">
        <v>94</v>
      </c>
      <c r="J64" s="27">
        <v>0</v>
      </c>
      <c r="K64" s="14"/>
    </row>
    <row r="65" spans="1:11" x14ac:dyDescent="0.3">
      <c r="A65" s="30" t="s">
        <v>124</v>
      </c>
      <c r="B65" s="31">
        <v>0.3</v>
      </c>
      <c r="C65" s="31">
        <v>0.7</v>
      </c>
      <c r="D65" s="32"/>
      <c r="E65" s="27" t="s">
        <v>95</v>
      </c>
      <c r="F65" s="29">
        <v>20</v>
      </c>
      <c r="I65" s="27" t="s">
        <v>96</v>
      </c>
      <c r="J65" s="27">
        <v>0</v>
      </c>
      <c r="K65" s="14"/>
    </row>
    <row r="66" spans="1:11" x14ac:dyDescent="0.3">
      <c r="A66" s="30" t="s">
        <v>125</v>
      </c>
      <c r="B66" s="31">
        <v>0.3</v>
      </c>
      <c r="C66" s="31">
        <v>0.7</v>
      </c>
      <c r="D66" s="32"/>
      <c r="E66" s="27" t="s">
        <v>97</v>
      </c>
      <c r="F66" s="29">
        <v>20</v>
      </c>
      <c r="I66" s="27" t="s">
        <v>98</v>
      </c>
      <c r="J66" s="27">
        <v>0</v>
      </c>
      <c r="K66" s="14"/>
    </row>
    <row r="67" spans="1:11" x14ac:dyDescent="0.3">
      <c r="A67" s="30" t="s">
        <v>126</v>
      </c>
      <c r="B67" s="31">
        <v>0.3</v>
      </c>
      <c r="C67" s="31">
        <v>0.7</v>
      </c>
      <c r="D67" s="32"/>
      <c r="E67" s="27" t="s">
        <v>99</v>
      </c>
      <c r="F67" s="29">
        <v>20</v>
      </c>
      <c r="I67" s="27" t="s">
        <v>100</v>
      </c>
      <c r="J67" s="27">
        <v>0</v>
      </c>
      <c r="K67" s="14"/>
    </row>
    <row r="68" spans="1:11" x14ac:dyDescent="0.3">
      <c r="A68" s="30" t="s">
        <v>127</v>
      </c>
      <c r="B68" s="31">
        <v>0.1</v>
      </c>
      <c r="C68" s="31">
        <v>0.9</v>
      </c>
      <c r="D68" s="32"/>
      <c r="E68" s="27" t="s">
        <v>101</v>
      </c>
      <c r="F68" s="29">
        <v>20</v>
      </c>
      <c r="I68" s="27" t="s">
        <v>102</v>
      </c>
      <c r="J68" s="27">
        <v>0</v>
      </c>
      <c r="K68" s="14"/>
    </row>
    <row r="69" spans="1:11" x14ac:dyDescent="0.3">
      <c r="A69" s="13"/>
      <c r="B69" s="32"/>
      <c r="C69" s="32"/>
      <c r="D69" s="32"/>
      <c r="E69" s="27" t="s">
        <v>103</v>
      </c>
      <c r="F69" s="29">
        <v>100</v>
      </c>
      <c r="I69" s="27" t="s">
        <v>104</v>
      </c>
      <c r="J69" s="27">
        <v>0</v>
      </c>
      <c r="K69" s="14"/>
    </row>
    <row r="70" spans="1:11" x14ac:dyDescent="0.3">
      <c r="A70" s="28" t="s">
        <v>88</v>
      </c>
      <c r="B70" s="32"/>
      <c r="C70" s="32"/>
      <c r="D70" s="32"/>
      <c r="E70" s="27"/>
      <c r="F70" s="29"/>
      <c r="I70" s="27" t="s">
        <v>105</v>
      </c>
      <c r="J70" s="33">
        <f>+F71</f>
        <v>82</v>
      </c>
      <c r="K70" s="14"/>
    </row>
    <row r="71" spans="1:11" x14ac:dyDescent="0.3">
      <c r="A71" s="30" t="s">
        <v>124</v>
      </c>
      <c r="B71" s="31">
        <v>0.76</v>
      </c>
      <c r="C71" s="31">
        <v>0.24</v>
      </c>
      <c r="D71" s="32"/>
      <c r="E71" s="27" t="s">
        <v>106</v>
      </c>
      <c r="F71" s="34">
        <v>82</v>
      </c>
      <c r="G71" s="35"/>
      <c r="H71" s="35"/>
      <c r="I71" s="27" t="s">
        <v>107</v>
      </c>
      <c r="J71" s="36"/>
      <c r="K71" s="14"/>
    </row>
    <row r="72" spans="1:11" x14ac:dyDescent="0.3">
      <c r="A72" s="30" t="s">
        <v>125</v>
      </c>
      <c r="B72" s="31">
        <v>0.85</v>
      </c>
      <c r="C72" s="31">
        <v>0.15</v>
      </c>
      <c r="D72" s="32"/>
      <c r="E72" s="27"/>
      <c r="F72" s="29"/>
      <c r="G72" s="37">
        <v>20</v>
      </c>
      <c r="H72" s="37"/>
      <c r="I72" s="27" t="s">
        <v>108</v>
      </c>
      <c r="J72" s="38">
        <v>20</v>
      </c>
      <c r="K72" s="14"/>
    </row>
    <row r="73" spans="1:11" x14ac:dyDescent="0.3">
      <c r="A73" s="30" t="s">
        <v>126</v>
      </c>
      <c r="B73" s="31">
        <v>0.83</v>
      </c>
      <c r="C73" s="31">
        <v>0.17</v>
      </c>
      <c r="D73" s="32"/>
      <c r="E73" s="27" t="s">
        <v>109</v>
      </c>
      <c r="F73" s="29">
        <f>+F71-F74/2</f>
        <v>80.5</v>
      </c>
      <c r="G73" s="37">
        <v>20</v>
      </c>
      <c r="H73" s="37"/>
      <c r="I73" s="27" t="s">
        <v>110</v>
      </c>
      <c r="J73" s="38">
        <v>20</v>
      </c>
      <c r="K73" s="14"/>
    </row>
    <row r="74" spans="1:11" x14ac:dyDescent="0.3">
      <c r="A74" s="30" t="s">
        <v>127</v>
      </c>
      <c r="B74" s="31">
        <v>0.92</v>
      </c>
      <c r="C74" s="31">
        <v>0.08</v>
      </c>
      <c r="D74" s="32"/>
      <c r="E74" s="27" t="s">
        <v>111</v>
      </c>
      <c r="F74" s="29">
        <v>3</v>
      </c>
      <c r="G74" s="37"/>
      <c r="H74" s="37"/>
      <c r="I74" s="27" t="s">
        <v>112</v>
      </c>
      <c r="J74" s="38"/>
      <c r="K74" s="14"/>
    </row>
    <row r="75" spans="1:11" ht="15" thickBot="1" x14ac:dyDescent="0.35">
      <c r="A75" s="22"/>
      <c r="B75" s="23"/>
      <c r="C75" s="23"/>
      <c r="D75" s="23"/>
      <c r="E75" s="39" t="s">
        <v>113</v>
      </c>
      <c r="F75" s="40">
        <f>SUM(F64:F69)-F73-F74</f>
        <v>116.5</v>
      </c>
      <c r="G75" s="41">
        <v>20</v>
      </c>
      <c r="H75" s="41"/>
      <c r="I75" s="42" t="s">
        <v>97</v>
      </c>
      <c r="J75" s="23"/>
      <c r="K75" s="24"/>
    </row>
    <row r="76" spans="1:11" x14ac:dyDescent="0.3">
      <c r="A76" s="8"/>
      <c r="B76" s="9"/>
      <c r="C76" s="9"/>
      <c r="D76" s="9"/>
      <c r="E76" s="25" t="s">
        <v>88</v>
      </c>
      <c r="F76" s="25"/>
      <c r="G76" s="43">
        <v>20</v>
      </c>
      <c r="H76" s="43"/>
      <c r="I76" s="1053" t="s">
        <v>89</v>
      </c>
      <c r="J76" s="1053"/>
      <c r="K76" s="10"/>
    </row>
    <row r="77" spans="1:11" x14ac:dyDescent="0.3">
      <c r="A77" s="44" t="s">
        <v>129</v>
      </c>
      <c r="B77" s="26"/>
      <c r="C77" s="26"/>
      <c r="E77" s="1052" t="s">
        <v>90</v>
      </c>
      <c r="F77" s="1052"/>
      <c r="G77" s="37"/>
      <c r="H77" s="37"/>
      <c r="I77" s="27" t="s">
        <v>91</v>
      </c>
      <c r="J77" s="27">
        <v>0</v>
      </c>
      <c r="K77" s="14"/>
    </row>
    <row r="78" spans="1:11" x14ac:dyDescent="0.3">
      <c r="A78" s="28" t="s">
        <v>92</v>
      </c>
      <c r="E78" s="27" t="s">
        <v>93</v>
      </c>
      <c r="F78" s="29">
        <v>20</v>
      </c>
      <c r="I78" s="27" t="s">
        <v>94</v>
      </c>
      <c r="J78" s="27">
        <v>0</v>
      </c>
      <c r="K78" s="14"/>
    </row>
    <row r="79" spans="1:11" x14ac:dyDescent="0.3">
      <c r="A79" s="30" t="s">
        <v>74</v>
      </c>
      <c r="B79" s="31">
        <v>0.7</v>
      </c>
      <c r="C79" s="31">
        <v>0.3</v>
      </c>
      <c r="E79" s="27" t="s">
        <v>95</v>
      </c>
      <c r="F79" s="29">
        <v>20</v>
      </c>
      <c r="I79" s="27" t="s">
        <v>96</v>
      </c>
      <c r="J79" s="27">
        <v>0</v>
      </c>
      <c r="K79" s="14"/>
    </row>
    <row r="80" spans="1:11" x14ac:dyDescent="0.3">
      <c r="A80" s="30" t="s">
        <v>77</v>
      </c>
      <c r="B80" s="31">
        <v>0.05</v>
      </c>
      <c r="C80" s="31">
        <v>0.95</v>
      </c>
      <c r="E80" s="27" t="s">
        <v>97</v>
      </c>
      <c r="F80" s="29">
        <v>20</v>
      </c>
      <c r="I80" s="27" t="s">
        <v>98</v>
      </c>
      <c r="J80" s="27">
        <v>0</v>
      </c>
      <c r="K80" s="14"/>
    </row>
    <row r="81" spans="1:11" x14ac:dyDescent="0.3">
      <c r="A81" s="30" t="s">
        <v>126</v>
      </c>
      <c r="B81" s="31">
        <v>0.25</v>
      </c>
      <c r="C81" s="31">
        <v>0.75</v>
      </c>
      <c r="E81" s="27" t="s">
        <v>99</v>
      </c>
      <c r="F81" s="29">
        <v>20</v>
      </c>
      <c r="I81" s="27" t="s">
        <v>100</v>
      </c>
      <c r="J81" s="27">
        <v>0</v>
      </c>
      <c r="K81" s="14"/>
    </row>
    <row r="82" spans="1:11" x14ac:dyDescent="0.3">
      <c r="A82" s="30"/>
      <c r="B82" s="31"/>
      <c r="C82" s="31"/>
      <c r="E82" s="27" t="s">
        <v>101</v>
      </c>
      <c r="F82" s="29">
        <v>20</v>
      </c>
      <c r="I82" s="27" t="s">
        <v>102</v>
      </c>
      <c r="J82" s="27">
        <v>0</v>
      </c>
      <c r="K82" s="14"/>
    </row>
    <row r="83" spans="1:11" x14ac:dyDescent="0.3">
      <c r="A83" s="13"/>
      <c r="B83" s="32"/>
      <c r="C83" s="32"/>
      <c r="E83" s="27" t="s">
        <v>103</v>
      </c>
      <c r="F83" s="29">
        <v>100</v>
      </c>
      <c r="I83" s="27" t="s">
        <v>104</v>
      </c>
      <c r="J83" s="27">
        <v>0</v>
      </c>
      <c r="K83" s="14"/>
    </row>
    <row r="84" spans="1:11" x14ac:dyDescent="0.3">
      <c r="A84" s="28" t="s">
        <v>88</v>
      </c>
      <c r="B84" s="32"/>
      <c r="C84" s="32"/>
      <c r="E84" s="27"/>
      <c r="F84" s="29"/>
      <c r="I84" s="27" t="s">
        <v>105</v>
      </c>
      <c r="J84" s="33">
        <f>+F85</f>
        <v>76</v>
      </c>
      <c r="K84" s="14"/>
    </row>
    <row r="85" spans="1:11" x14ac:dyDescent="0.3">
      <c r="A85" s="30" t="s">
        <v>74</v>
      </c>
      <c r="B85" s="31">
        <v>0.72</v>
      </c>
      <c r="C85" s="31">
        <v>0.28000000000000003</v>
      </c>
      <c r="E85" s="27" t="s">
        <v>106</v>
      </c>
      <c r="F85" s="34">
        <v>76</v>
      </c>
      <c r="I85" s="27" t="s">
        <v>107</v>
      </c>
      <c r="J85" s="27"/>
      <c r="K85" s="14"/>
    </row>
    <row r="86" spans="1:11" x14ac:dyDescent="0.3">
      <c r="A86" s="30" t="s">
        <v>76</v>
      </c>
      <c r="B86" s="31">
        <v>0.92</v>
      </c>
      <c r="C86" s="31">
        <v>0.08</v>
      </c>
      <c r="E86" s="27"/>
      <c r="F86" s="29"/>
      <c r="I86" s="27" t="s">
        <v>108</v>
      </c>
      <c r="J86" s="27"/>
      <c r="K86" s="14"/>
    </row>
    <row r="87" spans="1:11" x14ac:dyDescent="0.3">
      <c r="A87" s="30" t="s">
        <v>77</v>
      </c>
      <c r="B87" s="31">
        <v>0.87</v>
      </c>
      <c r="C87" s="31">
        <v>0.13</v>
      </c>
      <c r="E87" s="27" t="s">
        <v>109</v>
      </c>
      <c r="F87" s="29">
        <f>+F85-F88/2</f>
        <v>74.5</v>
      </c>
      <c r="I87" s="27" t="s">
        <v>110</v>
      </c>
      <c r="J87" s="27"/>
      <c r="K87" s="14"/>
    </row>
    <row r="88" spans="1:11" x14ac:dyDescent="0.3">
      <c r="A88" s="30"/>
      <c r="B88" s="31"/>
      <c r="C88" s="31"/>
      <c r="E88" s="27" t="s">
        <v>111</v>
      </c>
      <c r="F88" s="29">
        <v>3</v>
      </c>
      <c r="I88" s="27" t="s">
        <v>112</v>
      </c>
      <c r="J88" s="27"/>
      <c r="K88" s="14"/>
    </row>
    <row r="89" spans="1:11" ht="15" thickBot="1" x14ac:dyDescent="0.35">
      <c r="A89" s="22"/>
      <c r="B89" s="23"/>
      <c r="C89" s="23"/>
      <c r="D89" s="23"/>
      <c r="E89" s="39" t="s">
        <v>113</v>
      </c>
      <c r="F89" s="40">
        <f>SUM(F78:F83)-F87-F88</f>
        <v>122.5</v>
      </c>
      <c r="G89" s="23"/>
      <c r="H89" s="23"/>
      <c r="I89" s="23"/>
      <c r="J89" s="23"/>
      <c r="K89" s="24"/>
    </row>
    <row r="90" spans="1:11" x14ac:dyDescent="0.3">
      <c r="A90" s="8"/>
      <c r="B90" s="9"/>
      <c r="C90" s="9"/>
      <c r="D90" s="9"/>
      <c r="E90" s="25" t="s">
        <v>88</v>
      </c>
      <c r="F90" s="25"/>
      <c r="G90" s="43">
        <v>20</v>
      </c>
      <c r="H90" s="43"/>
      <c r="I90" s="1053" t="s">
        <v>89</v>
      </c>
      <c r="J90" s="1053"/>
      <c r="K90" s="10"/>
    </row>
    <row r="91" spans="1:11" x14ac:dyDescent="0.3">
      <c r="A91" s="44" t="s">
        <v>130</v>
      </c>
      <c r="B91" s="26"/>
      <c r="C91" s="26"/>
      <c r="E91" s="1052" t="s">
        <v>90</v>
      </c>
      <c r="F91" s="1052"/>
      <c r="G91" s="37"/>
      <c r="H91" s="37"/>
      <c r="I91" s="27" t="s">
        <v>91</v>
      </c>
      <c r="J91" s="27">
        <v>0</v>
      </c>
      <c r="K91" s="14"/>
    </row>
    <row r="92" spans="1:11" x14ac:dyDescent="0.3">
      <c r="A92" s="28" t="s">
        <v>92</v>
      </c>
      <c r="E92" s="27" t="s">
        <v>93</v>
      </c>
      <c r="F92" s="29">
        <v>20</v>
      </c>
      <c r="I92" s="27" t="s">
        <v>94</v>
      </c>
      <c r="J92" s="27">
        <v>0</v>
      </c>
      <c r="K92" s="14"/>
    </row>
    <row r="93" spans="1:11" x14ac:dyDescent="0.3">
      <c r="A93" s="30" t="s">
        <v>74</v>
      </c>
      <c r="B93" s="31">
        <v>0.7</v>
      </c>
      <c r="C93" s="31">
        <v>0.3</v>
      </c>
      <c r="E93" s="27" t="s">
        <v>95</v>
      </c>
      <c r="F93" s="29">
        <v>20</v>
      </c>
      <c r="I93" s="27" t="s">
        <v>96</v>
      </c>
      <c r="J93" s="27">
        <v>0</v>
      </c>
      <c r="K93" s="14"/>
    </row>
    <row r="94" spans="1:11" x14ac:dyDescent="0.3">
      <c r="A94" s="30" t="s">
        <v>77</v>
      </c>
      <c r="B94" s="31">
        <v>0.05</v>
      </c>
      <c r="C94" s="31">
        <v>0.95</v>
      </c>
      <c r="E94" s="27" t="s">
        <v>97</v>
      </c>
      <c r="F94" s="29">
        <v>20</v>
      </c>
      <c r="I94" s="27" t="s">
        <v>98</v>
      </c>
      <c r="J94" s="27">
        <v>0</v>
      </c>
      <c r="K94" s="14"/>
    </row>
    <row r="95" spans="1:11" x14ac:dyDescent="0.3">
      <c r="A95" s="30" t="s">
        <v>126</v>
      </c>
      <c r="B95" s="31">
        <v>0.25</v>
      </c>
      <c r="C95" s="31">
        <v>0.75</v>
      </c>
      <c r="E95" s="27" t="s">
        <v>99</v>
      </c>
      <c r="F95" s="29">
        <v>20</v>
      </c>
      <c r="I95" s="27" t="s">
        <v>100</v>
      </c>
      <c r="J95" s="27">
        <v>0</v>
      </c>
      <c r="K95" s="14"/>
    </row>
    <row r="96" spans="1:11" x14ac:dyDescent="0.3">
      <c r="A96" s="30"/>
      <c r="B96" s="31"/>
      <c r="C96" s="31"/>
      <c r="E96" s="27" t="s">
        <v>101</v>
      </c>
      <c r="F96" s="29">
        <v>20</v>
      </c>
      <c r="I96" s="27" t="s">
        <v>102</v>
      </c>
      <c r="J96" s="27">
        <v>0</v>
      </c>
      <c r="K96" s="14"/>
    </row>
    <row r="97" spans="1:11" x14ac:dyDescent="0.3">
      <c r="A97" s="13"/>
      <c r="B97" s="32"/>
      <c r="C97" s="32"/>
      <c r="E97" s="27" t="s">
        <v>103</v>
      </c>
      <c r="F97" s="29">
        <v>100</v>
      </c>
      <c r="I97" s="27" t="s">
        <v>104</v>
      </c>
      <c r="J97" s="27">
        <v>0</v>
      </c>
      <c r="K97" s="14"/>
    </row>
    <row r="98" spans="1:11" x14ac:dyDescent="0.3">
      <c r="A98" s="28" t="s">
        <v>88</v>
      </c>
      <c r="B98" s="32"/>
      <c r="C98" s="32"/>
      <c r="E98" s="27"/>
      <c r="F98" s="29"/>
      <c r="I98" s="27" t="s">
        <v>105</v>
      </c>
      <c r="J98" s="33">
        <f>+F99</f>
        <v>69</v>
      </c>
      <c r="K98" s="14"/>
    </row>
    <row r="99" spans="1:11" x14ac:dyDescent="0.3">
      <c r="A99" s="30" t="s">
        <v>74</v>
      </c>
      <c r="B99" s="31">
        <v>0.66</v>
      </c>
      <c r="C99" s="31">
        <v>0.34</v>
      </c>
      <c r="E99" s="27" t="s">
        <v>106</v>
      </c>
      <c r="F99" s="34">
        <v>69</v>
      </c>
      <c r="I99" s="27" t="s">
        <v>107</v>
      </c>
      <c r="J99" s="27"/>
      <c r="K99" s="14"/>
    </row>
    <row r="100" spans="1:11" x14ac:dyDescent="0.3">
      <c r="A100" s="30" t="s">
        <v>77</v>
      </c>
      <c r="B100" s="31">
        <v>0.91</v>
      </c>
      <c r="C100" s="31">
        <v>0.09</v>
      </c>
      <c r="E100" s="27"/>
      <c r="F100" s="29"/>
      <c r="I100" s="27" t="s">
        <v>108</v>
      </c>
      <c r="J100" s="27"/>
      <c r="K100" s="14"/>
    </row>
    <row r="101" spans="1:11" x14ac:dyDescent="0.3">
      <c r="A101" s="30" t="s">
        <v>126</v>
      </c>
      <c r="B101" s="31">
        <v>0.72</v>
      </c>
      <c r="C101" s="31">
        <v>0.28000000000000003</v>
      </c>
      <c r="E101" s="27" t="s">
        <v>109</v>
      </c>
      <c r="F101" s="29">
        <f>+F99-F102/2</f>
        <v>67.5</v>
      </c>
      <c r="I101" s="27" t="s">
        <v>110</v>
      </c>
      <c r="J101" s="27"/>
      <c r="K101" s="14"/>
    </row>
    <row r="102" spans="1:11" x14ac:dyDescent="0.3">
      <c r="A102" s="30"/>
      <c r="B102" s="31">
        <v>0</v>
      </c>
      <c r="C102" s="31">
        <v>0</v>
      </c>
      <c r="E102" s="27" t="s">
        <v>111</v>
      </c>
      <c r="F102" s="29">
        <v>3</v>
      </c>
      <c r="I102" s="27" t="s">
        <v>112</v>
      </c>
      <c r="J102" s="27"/>
      <c r="K102" s="14"/>
    </row>
    <row r="103" spans="1:11" ht="15" thickBot="1" x14ac:dyDescent="0.35">
      <c r="A103" s="22"/>
      <c r="B103" s="23"/>
      <c r="C103" s="23"/>
      <c r="D103" s="23"/>
      <c r="E103" s="39" t="s">
        <v>113</v>
      </c>
      <c r="F103" s="40">
        <f>SUM(F92:F97)-F101-F102</f>
        <v>129.5</v>
      </c>
      <c r="G103" s="23"/>
      <c r="H103" s="23"/>
      <c r="I103" s="23"/>
      <c r="J103" s="23"/>
      <c r="K103" s="24"/>
    </row>
    <row r="104" spans="1:11" x14ac:dyDescent="0.3">
      <c r="A104" s="8"/>
      <c r="B104" s="9"/>
      <c r="C104" s="9"/>
      <c r="D104" s="9"/>
      <c r="E104" s="25" t="s">
        <v>88</v>
      </c>
      <c r="F104" s="25"/>
      <c r="G104" s="43">
        <v>20</v>
      </c>
      <c r="H104" s="43"/>
      <c r="I104" s="1053" t="s">
        <v>89</v>
      </c>
      <c r="J104" s="1053"/>
      <c r="K104" s="10"/>
    </row>
    <row r="105" spans="1:11" x14ac:dyDescent="0.3">
      <c r="A105" s="44" t="s">
        <v>131</v>
      </c>
      <c r="B105" s="26"/>
      <c r="C105" s="26"/>
      <c r="E105" s="1052" t="s">
        <v>90</v>
      </c>
      <c r="F105" s="1052"/>
      <c r="G105" s="37"/>
      <c r="H105" s="37"/>
      <c r="I105" s="27" t="s">
        <v>91</v>
      </c>
      <c r="J105" s="27">
        <v>0</v>
      </c>
      <c r="K105" s="14"/>
    </row>
    <row r="106" spans="1:11" x14ac:dyDescent="0.3">
      <c r="A106" s="28" t="s">
        <v>92</v>
      </c>
      <c r="E106" s="27" t="s">
        <v>93</v>
      </c>
      <c r="F106" s="29">
        <v>20</v>
      </c>
      <c r="I106" s="27" t="s">
        <v>94</v>
      </c>
      <c r="J106" s="27">
        <v>0</v>
      </c>
      <c r="K106" s="14"/>
    </row>
    <row r="107" spans="1:11" x14ac:dyDescent="0.3">
      <c r="A107" s="30" t="s">
        <v>74</v>
      </c>
      <c r="B107" s="31">
        <v>0.7</v>
      </c>
      <c r="C107" s="31">
        <v>0.3</v>
      </c>
      <c r="E107" s="27" t="s">
        <v>95</v>
      </c>
      <c r="F107" s="29">
        <v>20</v>
      </c>
      <c r="I107" s="27" t="s">
        <v>96</v>
      </c>
      <c r="J107" s="27">
        <v>0</v>
      </c>
      <c r="K107" s="14"/>
    </row>
    <row r="108" spans="1:11" x14ac:dyDescent="0.3">
      <c r="A108" s="30" t="s">
        <v>77</v>
      </c>
      <c r="B108" s="31">
        <v>0.05</v>
      </c>
      <c r="C108" s="31">
        <v>0.95</v>
      </c>
      <c r="E108" s="27" t="s">
        <v>97</v>
      </c>
      <c r="F108" s="29">
        <v>20</v>
      </c>
      <c r="I108" s="27" t="s">
        <v>98</v>
      </c>
      <c r="J108" s="27">
        <v>0</v>
      </c>
      <c r="K108" s="14"/>
    </row>
    <row r="109" spans="1:11" x14ac:dyDescent="0.3">
      <c r="A109" s="30" t="s">
        <v>126</v>
      </c>
      <c r="B109" s="31">
        <v>0.25</v>
      </c>
      <c r="C109" s="31">
        <v>0.75</v>
      </c>
      <c r="E109" s="27" t="s">
        <v>99</v>
      </c>
      <c r="F109" s="29">
        <v>20</v>
      </c>
      <c r="I109" s="27" t="s">
        <v>100</v>
      </c>
      <c r="J109" s="27">
        <v>0</v>
      </c>
      <c r="K109" s="14"/>
    </row>
    <row r="110" spans="1:11" x14ac:dyDescent="0.3">
      <c r="A110" s="30"/>
      <c r="B110" s="31"/>
      <c r="C110" s="31"/>
      <c r="E110" s="27" t="s">
        <v>101</v>
      </c>
      <c r="F110" s="29">
        <v>20</v>
      </c>
      <c r="I110" s="27" t="s">
        <v>102</v>
      </c>
      <c r="J110" s="27">
        <v>0</v>
      </c>
      <c r="K110" s="14"/>
    </row>
    <row r="111" spans="1:11" x14ac:dyDescent="0.3">
      <c r="A111" s="13"/>
      <c r="B111" s="32"/>
      <c r="C111" s="32"/>
      <c r="E111" s="27" t="s">
        <v>103</v>
      </c>
      <c r="F111" s="29">
        <v>100</v>
      </c>
      <c r="I111" s="27" t="s">
        <v>104</v>
      </c>
      <c r="J111" s="27">
        <v>0</v>
      </c>
      <c r="K111" s="14"/>
    </row>
    <row r="112" spans="1:11" x14ac:dyDescent="0.3">
      <c r="A112" s="28" t="s">
        <v>88</v>
      </c>
      <c r="B112" s="32"/>
      <c r="C112" s="32"/>
      <c r="E112" s="27"/>
      <c r="F112" s="29"/>
      <c r="I112" s="27" t="s">
        <v>105</v>
      </c>
      <c r="J112" s="33">
        <f>+F113</f>
        <v>88</v>
      </c>
      <c r="K112" s="14"/>
    </row>
    <row r="113" spans="1:11" x14ac:dyDescent="0.3">
      <c r="A113" s="30" t="s">
        <v>74</v>
      </c>
      <c r="B113" s="31">
        <v>0.9</v>
      </c>
      <c r="C113" s="31">
        <v>0.1</v>
      </c>
      <c r="E113" s="27" t="s">
        <v>106</v>
      </c>
      <c r="F113" s="34">
        <v>88</v>
      </c>
      <c r="I113" s="27" t="s">
        <v>107</v>
      </c>
      <c r="J113" s="27"/>
      <c r="K113" s="14"/>
    </row>
    <row r="114" spans="1:11" x14ac:dyDescent="0.3">
      <c r="A114" s="30" t="s">
        <v>77</v>
      </c>
      <c r="B114" s="31">
        <v>0.88</v>
      </c>
      <c r="C114" s="31">
        <v>0.12</v>
      </c>
      <c r="E114" s="27"/>
      <c r="F114" s="29"/>
      <c r="I114" s="27" t="s">
        <v>108</v>
      </c>
      <c r="J114" s="27"/>
      <c r="K114" s="14"/>
    </row>
    <row r="115" spans="1:11" x14ac:dyDescent="0.3">
      <c r="A115" s="30" t="s">
        <v>126</v>
      </c>
      <c r="B115" s="31">
        <v>0.83</v>
      </c>
      <c r="C115" s="31">
        <v>0.17</v>
      </c>
      <c r="E115" s="27" t="s">
        <v>109</v>
      </c>
      <c r="F115" s="29">
        <f>+F113-F116/2</f>
        <v>86.5</v>
      </c>
      <c r="I115" s="27" t="s">
        <v>110</v>
      </c>
      <c r="J115" s="27"/>
      <c r="K115" s="14"/>
    </row>
    <row r="116" spans="1:11" x14ac:dyDescent="0.3">
      <c r="A116" s="30"/>
      <c r="B116" s="31"/>
      <c r="C116" s="31"/>
      <c r="E116" s="27" t="s">
        <v>111</v>
      </c>
      <c r="F116" s="29">
        <v>3</v>
      </c>
      <c r="I116" s="27" t="s">
        <v>112</v>
      </c>
      <c r="J116" s="27"/>
      <c r="K116" s="14"/>
    </row>
    <row r="117" spans="1:11" ht="15" thickBot="1" x14ac:dyDescent="0.35">
      <c r="A117" s="22"/>
      <c r="B117" s="23"/>
      <c r="C117" s="23"/>
      <c r="D117" s="23"/>
      <c r="E117" s="39" t="s">
        <v>113</v>
      </c>
      <c r="F117" s="40">
        <f>SUM(F106:F111)-F115-F116</f>
        <v>110.5</v>
      </c>
      <c r="G117" s="23"/>
      <c r="H117" s="23"/>
      <c r="I117" s="23"/>
      <c r="J117" s="23"/>
      <c r="K117" s="24"/>
    </row>
    <row r="120" spans="1:11" x14ac:dyDescent="0.3">
      <c r="B120" s="15"/>
      <c r="C120" s="15"/>
    </row>
  </sheetData>
  <mergeCells count="23">
    <mergeCell ref="A1:B6"/>
    <mergeCell ref="F1:O1"/>
    <mergeCell ref="F2:O2"/>
    <mergeCell ref="F3:O3"/>
    <mergeCell ref="F4:O4"/>
    <mergeCell ref="F5:O5"/>
    <mergeCell ref="D8:E8"/>
    <mergeCell ref="G8:H8"/>
    <mergeCell ref="J8:K8"/>
    <mergeCell ref="M8:N8"/>
    <mergeCell ref="D9:E9"/>
    <mergeCell ref="G9:H9"/>
    <mergeCell ref="J9:K9"/>
    <mergeCell ref="M9:N9"/>
    <mergeCell ref="E91:F91"/>
    <mergeCell ref="I104:J104"/>
    <mergeCell ref="E105:F105"/>
    <mergeCell ref="I62:J62"/>
    <mergeCell ref="A63:C63"/>
    <mergeCell ref="E63:F63"/>
    <mergeCell ref="I76:J76"/>
    <mergeCell ref="E77:F77"/>
    <mergeCell ref="I90:J90"/>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3837-2878-4BDC-8536-7CCC9DD679CF}">
  <dimension ref="A1:AU120"/>
  <sheetViews>
    <sheetView showGridLines="0" zoomScale="65" zoomScaleNormal="65" workbookViewId="0">
      <selection activeCell="U63" sqref="U63"/>
    </sheetView>
  </sheetViews>
  <sheetFormatPr baseColWidth="10" defaultRowHeight="14.4" x14ac:dyDescent="0.3"/>
  <cols>
    <col min="3" max="3" width="6.44140625" customWidth="1"/>
    <col min="4" max="5" width="23.44140625" customWidth="1"/>
    <col min="6" max="6" width="6" customWidth="1"/>
    <col min="7" max="8" width="23.5546875" customWidth="1"/>
    <col min="9" max="9" width="6" customWidth="1"/>
    <col min="10" max="11" width="23.5546875" customWidth="1"/>
    <col min="12" max="12" width="6" customWidth="1"/>
    <col min="13" max="14" width="23.5546875" customWidth="1"/>
    <col min="15" max="15" width="6" customWidth="1"/>
    <col min="25" max="25" width="22.6640625" customWidth="1"/>
    <col min="36" max="36" width="53.5546875" bestFit="1" customWidth="1"/>
    <col min="37" max="37" width="26.6640625" bestFit="1" customWidth="1"/>
    <col min="38" max="38" width="30" bestFit="1" customWidth="1"/>
    <col min="39" max="39" width="21" bestFit="1" customWidth="1"/>
    <col min="42" max="42" width="32.21875" bestFit="1" customWidth="1"/>
    <col min="43" max="43" width="21.21875" bestFit="1" customWidth="1"/>
    <col min="44" max="44" width="26.33203125" bestFit="1" customWidth="1"/>
    <col min="45" max="45" width="22.6640625" bestFit="1" customWidth="1"/>
    <col min="46" max="46" width="25.44140625" bestFit="1" customWidth="1"/>
    <col min="47" max="47" width="33" bestFit="1" customWidth="1"/>
  </cols>
  <sheetData>
    <row r="1" spans="1:47" ht="21" x14ac:dyDescent="0.4">
      <c r="A1" s="1042"/>
      <c r="B1" s="1042"/>
      <c r="F1" s="1043" t="s">
        <v>85</v>
      </c>
      <c r="G1" s="1043"/>
      <c r="H1" s="1043"/>
      <c r="I1" s="1043"/>
      <c r="J1" s="1043"/>
      <c r="K1" s="1043"/>
      <c r="L1" s="1043"/>
      <c r="M1" s="1043"/>
      <c r="N1" s="1043"/>
      <c r="O1" s="1043"/>
      <c r="P1" s="8"/>
      <c r="Q1" s="9"/>
      <c r="R1" s="9"/>
      <c r="S1" s="9"/>
      <c r="T1" s="9"/>
      <c r="U1" s="9"/>
      <c r="V1" s="9"/>
      <c r="W1" s="9"/>
      <c r="X1" s="10"/>
      <c r="Y1" s="11"/>
      <c r="AJ1" s="27" t="s">
        <v>114</v>
      </c>
      <c r="AK1" s="27" t="s">
        <v>115</v>
      </c>
      <c r="AL1" s="45" t="s">
        <v>92</v>
      </c>
      <c r="AM1" s="45" t="s">
        <v>88</v>
      </c>
      <c r="AP1" s="417" t="s">
        <v>116</v>
      </c>
      <c r="AQ1" s="418" t="s">
        <v>105</v>
      </c>
      <c r="AR1" s="418" t="s">
        <v>107</v>
      </c>
      <c r="AS1" s="418" t="s">
        <v>108</v>
      </c>
      <c r="AT1" s="416" t="s">
        <v>110</v>
      </c>
      <c r="AU1" s="416" t="s">
        <v>796</v>
      </c>
    </row>
    <row r="2" spans="1:47" ht="15" thickBot="1" x14ac:dyDescent="0.35">
      <c r="A2" s="1042"/>
      <c r="B2" s="1042"/>
      <c r="F2" s="1044" t="s">
        <v>86</v>
      </c>
      <c r="G2" s="1044"/>
      <c r="H2" s="1044"/>
      <c r="I2" s="1044"/>
      <c r="J2" s="1044"/>
      <c r="K2" s="1044"/>
      <c r="L2" s="1044"/>
      <c r="M2" s="1044"/>
      <c r="N2" s="1044"/>
      <c r="O2" s="1044"/>
      <c r="P2" s="13"/>
      <c r="X2" s="14"/>
      <c r="Y2" s="11"/>
      <c r="AJ2" s="46" t="s">
        <v>128</v>
      </c>
      <c r="AK2" s="30" t="s">
        <v>124</v>
      </c>
      <c r="AL2" s="47">
        <f>+B65</f>
        <v>0.3</v>
      </c>
      <c r="AM2" s="47">
        <v>0.19</v>
      </c>
      <c r="AP2" s="46" t="s">
        <v>128</v>
      </c>
      <c r="AQ2" s="27">
        <v>69</v>
      </c>
      <c r="AR2" s="27">
        <v>74</v>
      </c>
      <c r="AS2" s="50">
        <v>80</v>
      </c>
      <c r="AT2" s="27">
        <v>82</v>
      </c>
      <c r="AU2" s="27">
        <v>72</v>
      </c>
    </row>
    <row r="3" spans="1:47" ht="15" customHeight="1" thickBot="1" x14ac:dyDescent="0.35">
      <c r="A3" s="1042"/>
      <c r="B3" s="1042"/>
      <c r="F3" s="1045" t="s">
        <v>117</v>
      </c>
      <c r="G3" s="1046"/>
      <c r="H3" s="1046"/>
      <c r="I3" s="1046"/>
      <c r="J3" s="1046"/>
      <c r="K3" s="1046"/>
      <c r="L3" s="1046"/>
      <c r="M3" s="1046"/>
      <c r="N3" s="1046"/>
      <c r="O3" s="1046"/>
      <c r="P3" s="13"/>
      <c r="X3" s="14"/>
      <c r="Y3" s="11"/>
      <c r="AJ3" s="46" t="s">
        <v>128</v>
      </c>
      <c r="AK3" s="30" t="s">
        <v>125</v>
      </c>
      <c r="AL3" s="47">
        <f>+B66</f>
        <v>0.3</v>
      </c>
      <c r="AM3" s="47">
        <v>0.21</v>
      </c>
      <c r="AP3" s="48" t="s">
        <v>129</v>
      </c>
      <c r="AQ3" s="27"/>
      <c r="AR3" s="27"/>
      <c r="AS3" s="50">
        <v>68</v>
      </c>
      <c r="AT3" s="27">
        <v>76</v>
      </c>
      <c r="AU3" s="27">
        <v>52</v>
      </c>
    </row>
    <row r="4" spans="1:47" ht="22.8" customHeight="1" thickBot="1" x14ac:dyDescent="0.4">
      <c r="A4" s="1042"/>
      <c r="B4" s="1042"/>
      <c r="F4" s="1047" t="s">
        <v>118</v>
      </c>
      <c r="G4" s="1047"/>
      <c r="H4" s="1047"/>
      <c r="I4" s="1047"/>
      <c r="J4" s="1047"/>
      <c r="K4" s="1047"/>
      <c r="L4" s="1047"/>
      <c r="M4" s="1047"/>
      <c r="N4" s="1047"/>
      <c r="O4" s="1047"/>
      <c r="P4" s="13"/>
      <c r="X4" s="14"/>
      <c r="Y4" s="11"/>
      <c r="AJ4" s="46" t="s">
        <v>128</v>
      </c>
      <c r="AK4" s="30" t="s">
        <v>126</v>
      </c>
      <c r="AL4" s="47">
        <f>+B67</f>
        <v>0.3</v>
      </c>
      <c r="AM4" s="47">
        <v>0.23</v>
      </c>
      <c r="AP4" s="48" t="s">
        <v>130</v>
      </c>
      <c r="AQ4" s="27"/>
      <c r="AR4" s="27"/>
      <c r="AS4" s="50">
        <v>74</v>
      </c>
      <c r="AT4" s="27">
        <v>69</v>
      </c>
      <c r="AU4" s="27">
        <v>58</v>
      </c>
    </row>
    <row r="5" spans="1:47" ht="15" thickBot="1" x14ac:dyDescent="0.35">
      <c r="A5" s="1042"/>
      <c r="B5" s="1042"/>
      <c r="F5" s="1048" t="s">
        <v>795</v>
      </c>
      <c r="G5" s="1049"/>
      <c r="H5" s="1049"/>
      <c r="I5" s="1049"/>
      <c r="J5" s="1049"/>
      <c r="K5" s="1049"/>
      <c r="L5" s="1049"/>
      <c r="M5" s="1049"/>
      <c r="N5" s="1049"/>
      <c r="O5" s="1049"/>
      <c r="P5" s="13"/>
      <c r="X5" s="14"/>
      <c r="Y5" s="11"/>
      <c r="AJ5" s="46" t="s">
        <v>128</v>
      </c>
      <c r="AK5" s="30" t="s">
        <v>127</v>
      </c>
      <c r="AL5" s="47">
        <f>+B68</f>
        <v>0.1</v>
      </c>
      <c r="AM5" s="47">
        <v>0.09</v>
      </c>
      <c r="AP5" s="48" t="s">
        <v>131</v>
      </c>
      <c r="AQ5" s="27"/>
      <c r="AR5" s="27"/>
      <c r="AS5" s="50">
        <v>57</v>
      </c>
      <c r="AT5" s="27">
        <v>88</v>
      </c>
      <c r="AU5" s="27">
        <v>51</v>
      </c>
    </row>
    <row r="6" spans="1:47" x14ac:dyDescent="0.3">
      <c r="A6" s="1042"/>
      <c r="B6" s="1042"/>
      <c r="P6" s="13"/>
      <c r="X6" s="14"/>
      <c r="Y6" s="11"/>
      <c r="AJ6" s="48" t="s">
        <v>129</v>
      </c>
      <c r="AK6" s="30" t="s">
        <v>74</v>
      </c>
      <c r="AL6" s="47">
        <v>0.7</v>
      </c>
      <c r="AM6" s="47">
        <v>0.47</v>
      </c>
    </row>
    <row r="7" spans="1:47" ht="15" thickBot="1" x14ac:dyDescent="0.35">
      <c r="A7" s="11"/>
      <c r="B7" s="11"/>
      <c r="P7" s="13"/>
      <c r="X7" s="14"/>
      <c r="Y7" s="11"/>
      <c r="AJ7" s="48" t="s">
        <v>129</v>
      </c>
      <c r="AK7" s="30" t="s">
        <v>77</v>
      </c>
      <c r="AL7" s="47">
        <v>0.05</v>
      </c>
      <c r="AM7" s="47">
        <v>0.05</v>
      </c>
    </row>
    <row r="8" spans="1:47" ht="15" thickBot="1" x14ac:dyDescent="0.35">
      <c r="A8" s="11"/>
      <c r="B8" s="11"/>
      <c r="D8" s="1045" t="s">
        <v>119</v>
      </c>
      <c r="E8" s="1050"/>
      <c r="G8" s="1045" t="s">
        <v>120</v>
      </c>
      <c r="H8" s="1050"/>
      <c r="J8" s="1045" t="s">
        <v>121</v>
      </c>
      <c r="K8" s="1050"/>
      <c r="M8" s="1045" t="s">
        <v>122</v>
      </c>
      <c r="N8" s="1050"/>
      <c r="P8" s="13"/>
      <c r="X8" s="14"/>
      <c r="Y8" s="11"/>
      <c r="AJ8" s="48" t="s">
        <v>129</v>
      </c>
      <c r="AK8" s="30" t="s">
        <v>126</v>
      </c>
      <c r="AL8" s="47">
        <v>0.25</v>
      </c>
      <c r="AM8" s="47">
        <v>0</v>
      </c>
    </row>
    <row r="9" spans="1:47" x14ac:dyDescent="0.3">
      <c r="A9" s="11"/>
      <c r="B9" s="11"/>
      <c r="D9" s="1051" t="s">
        <v>87</v>
      </c>
      <c r="E9" s="1051"/>
      <c r="G9" s="1051" t="s">
        <v>87</v>
      </c>
      <c r="H9" s="1051"/>
      <c r="J9" s="1051" t="s">
        <v>87</v>
      </c>
      <c r="K9" s="1051"/>
      <c r="L9" s="15"/>
      <c r="M9" s="1051" t="s">
        <v>87</v>
      </c>
      <c r="N9" s="1051"/>
      <c r="O9" s="15"/>
      <c r="P9" s="13"/>
      <c r="X9" s="14"/>
      <c r="Y9" s="11"/>
      <c r="AJ9" s="48" t="s">
        <v>130</v>
      </c>
      <c r="AK9" s="30" t="s">
        <v>74</v>
      </c>
      <c r="AL9" s="31">
        <v>0.7</v>
      </c>
      <c r="AM9" s="31">
        <v>0.53</v>
      </c>
    </row>
    <row r="10" spans="1:47" x14ac:dyDescent="0.3">
      <c r="A10" s="11"/>
      <c r="B10" s="11"/>
      <c r="D10" s="16"/>
      <c r="E10" s="17"/>
      <c r="G10" s="16"/>
      <c r="H10" s="17"/>
      <c r="J10" s="16"/>
      <c r="K10" s="17"/>
      <c r="M10" s="16"/>
      <c r="N10" s="17"/>
      <c r="P10" s="13"/>
      <c r="X10" s="14"/>
      <c r="Y10" s="11"/>
      <c r="AJ10" s="48" t="s">
        <v>130</v>
      </c>
      <c r="AK10" s="30" t="s">
        <v>77</v>
      </c>
      <c r="AL10" s="31">
        <v>0.05</v>
      </c>
      <c r="AM10" s="31">
        <v>0.05</v>
      </c>
    </row>
    <row r="11" spans="1:47" x14ac:dyDescent="0.3">
      <c r="A11" s="11"/>
      <c r="B11" s="11"/>
      <c r="D11" s="18"/>
      <c r="E11" s="19"/>
      <c r="G11" s="18"/>
      <c r="H11" s="19"/>
      <c r="J11" s="18"/>
      <c r="K11" s="19"/>
      <c r="M11" s="18"/>
      <c r="N11" s="19"/>
      <c r="P11" s="13"/>
      <c r="X11" s="14"/>
      <c r="Y11" s="11"/>
      <c r="AJ11" s="48" t="s">
        <v>130</v>
      </c>
      <c r="AK11" s="30" t="s">
        <v>126</v>
      </c>
      <c r="AL11" s="31">
        <v>0.25</v>
      </c>
      <c r="AM11" s="31">
        <v>0</v>
      </c>
    </row>
    <row r="12" spans="1:47" x14ac:dyDescent="0.3">
      <c r="A12" s="11"/>
      <c r="B12" s="11"/>
      <c r="D12" s="18"/>
      <c r="E12" s="19"/>
      <c r="G12" s="18"/>
      <c r="H12" s="19"/>
      <c r="J12" s="18"/>
      <c r="K12" s="19"/>
      <c r="M12" s="18"/>
      <c r="N12" s="19"/>
      <c r="P12" s="13"/>
      <c r="X12" s="14"/>
      <c r="Y12" s="11"/>
      <c r="AJ12" s="48" t="s">
        <v>131</v>
      </c>
      <c r="AK12" s="30" t="s">
        <v>74</v>
      </c>
      <c r="AL12" s="31">
        <v>0.7</v>
      </c>
      <c r="AM12" s="31">
        <v>0.46</v>
      </c>
    </row>
    <row r="13" spans="1:47" x14ac:dyDescent="0.3">
      <c r="A13" s="11"/>
      <c r="B13" s="11"/>
      <c r="D13" s="18"/>
      <c r="E13" s="19"/>
      <c r="G13" s="18"/>
      <c r="H13" s="19"/>
      <c r="J13" s="18"/>
      <c r="K13" s="19"/>
      <c r="M13" s="18"/>
      <c r="N13" s="19"/>
      <c r="P13" s="13"/>
      <c r="X13" s="14"/>
      <c r="Y13" s="11"/>
      <c r="AJ13" s="48" t="s">
        <v>131</v>
      </c>
      <c r="AK13" s="30" t="s">
        <v>77</v>
      </c>
      <c r="AL13" s="31">
        <v>0.05</v>
      </c>
      <c r="AM13" s="31">
        <v>0.04</v>
      </c>
    </row>
    <row r="14" spans="1:47" x14ac:dyDescent="0.3">
      <c r="A14" s="11"/>
      <c r="B14" s="11"/>
      <c r="D14" s="18"/>
      <c r="E14" s="19"/>
      <c r="G14" s="18"/>
      <c r="H14" s="19"/>
      <c r="J14" s="18"/>
      <c r="K14" s="19"/>
      <c r="M14" s="18"/>
      <c r="N14" s="19"/>
      <c r="P14" s="13"/>
      <c r="X14" s="14"/>
      <c r="Y14" s="11"/>
      <c r="AJ14" s="48" t="s">
        <v>131</v>
      </c>
      <c r="AK14" s="30" t="s">
        <v>126</v>
      </c>
      <c r="AL14" s="31">
        <v>0.25</v>
      </c>
      <c r="AM14" s="31">
        <v>0</v>
      </c>
    </row>
    <row r="15" spans="1:47" x14ac:dyDescent="0.3">
      <c r="A15" s="11"/>
      <c r="B15" s="11"/>
      <c r="D15" s="18"/>
      <c r="E15" s="19"/>
      <c r="G15" s="18"/>
      <c r="H15" s="19"/>
      <c r="J15" s="18"/>
      <c r="K15" s="19"/>
      <c r="M15" s="18"/>
      <c r="N15" s="19"/>
      <c r="P15" s="13"/>
      <c r="X15" s="14"/>
      <c r="Y15" s="11"/>
    </row>
    <row r="16" spans="1:47" x14ac:dyDescent="0.3">
      <c r="A16" s="11"/>
      <c r="B16" s="11"/>
      <c r="D16" s="18"/>
      <c r="E16" s="19"/>
      <c r="G16" s="18"/>
      <c r="H16" s="19"/>
      <c r="J16" s="18"/>
      <c r="K16" s="19"/>
      <c r="M16" s="18"/>
      <c r="N16" s="19"/>
      <c r="P16" s="13"/>
      <c r="X16" s="14"/>
      <c r="Y16" s="11"/>
    </row>
    <row r="17" spans="1:47" x14ac:dyDescent="0.3">
      <c r="A17" s="11"/>
      <c r="B17" s="11"/>
      <c r="D17" s="18"/>
      <c r="E17" s="19"/>
      <c r="G17" s="18"/>
      <c r="H17" s="19"/>
      <c r="J17" s="18"/>
      <c r="K17" s="19"/>
      <c r="M17" s="18"/>
      <c r="N17" s="19"/>
      <c r="P17" s="13"/>
      <c r="X17" s="14"/>
      <c r="Y17" s="11"/>
    </row>
    <row r="18" spans="1:47" x14ac:dyDescent="0.3">
      <c r="A18" s="11"/>
      <c r="B18" s="11"/>
      <c r="D18" s="20"/>
      <c r="E18" s="21"/>
      <c r="G18" s="20"/>
      <c r="H18" s="21"/>
      <c r="J18" s="20"/>
      <c r="K18" s="21"/>
      <c r="M18" s="20"/>
      <c r="N18" s="21"/>
      <c r="P18" s="13"/>
      <c r="X18" s="14"/>
      <c r="Y18" s="11"/>
      <c r="AJ18" s="79" t="s">
        <v>238</v>
      </c>
      <c r="AK18" t="s">
        <v>240</v>
      </c>
      <c r="AL18" t="s">
        <v>241</v>
      </c>
      <c r="AP18" s="79" t="s">
        <v>238</v>
      </c>
      <c r="AQ18" t="s">
        <v>584</v>
      </c>
      <c r="AR18" t="s">
        <v>585</v>
      </c>
      <c r="AS18" t="s">
        <v>586</v>
      </c>
      <c r="AT18" t="s">
        <v>689</v>
      </c>
      <c r="AU18" t="s">
        <v>797</v>
      </c>
    </row>
    <row r="19" spans="1:47" x14ac:dyDescent="0.3">
      <c r="A19" s="11"/>
      <c r="B19" s="11"/>
      <c r="D19" s="16"/>
      <c r="E19" s="17"/>
      <c r="G19" s="16"/>
      <c r="H19" s="17"/>
      <c r="J19" s="16"/>
      <c r="K19" s="17"/>
      <c r="M19" s="16"/>
      <c r="N19" s="17"/>
      <c r="P19" s="13"/>
      <c r="X19" s="14"/>
      <c r="Y19" s="11"/>
      <c r="AJ19" s="4" t="s">
        <v>130</v>
      </c>
      <c r="AK19" s="81">
        <v>1</v>
      </c>
      <c r="AL19" s="81">
        <v>0.58000000000000007</v>
      </c>
      <c r="AP19" s="4" t="s">
        <v>130</v>
      </c>
      <c r="AS19" s="82">
        <v>74</v>
      </c>
      <c r="AT19">
        <v>69</v>
      </c>
      <c r="AU19">
        <v>58</v>
      </c>
    </row>
    <row r="20" spans="1:47" x14ac:dyDescent="0.3">
      <c r="A20" s="11"/>
      <c r="B20" s="11"/>
      <c r="D20" s="18"/>
      <c r="E20" s="19"/>
      <c r="G20" s="18"/>
      <c r="H20" s="19"/>
      <c r="J20" s="18"/>
      <c r="K20" s="19"/>
      <c r="M20" s="18"/>
      <c r="N20" s="19"/>
      <c r="P20" s="13"/>
      <c r="X20" s="14"/>
      <c r="Y20" s="11"/>
      <c r="AJ20" s="80" t="s">
        <v>74</v>
      </c>
      <c r="AK20" s="81">
        <v>0.7</v>
      </c>
      <c r="AL20" s="81">
        <v>0.53</v>
      </c>
      <c r="AP20" s="4" t="s">
        <v>131</v>
      </c>
      <c r="AS20" s="82">
        <v>57</v>
      </c>
      <c r="AT20">
        <v>88</v>
      </c>
      <c r="AU20">
        <v>51</v>
      </c>
    </row>
    <row r="21" spans="1:47" x14ac:dyDescent="0.3">
      <c r="A21" s="11"/>
      <c r="B21" s="11"/>
      <c r="D21" s="18"/>
      <c r="E21" s="19"/>
      <c r="G21" s="18"/>
      <c r="H21" s="19"/>
      <c r="J21" s="18"/>
      <c r="K21" s="19"/>
      <c r="M21" s="18"/>
      <c r="N21" s="19"/>
      <c r="P21" s="13"/>
      <c r="X21" s="14"/>
      <c r="Y21" s="11"/>
      <c r="AJ21" s="80" t="s">
        <v>126</v>
      </c>
      <c r="AK21" s="81">
        <v>0.25</v>
      </c>
      <c r="AL21" s="81">
        <v>0</v>
      </c>
      <c r="AP21" s="4" t="s">
        <v>128</v>
      </c>
      <c r="AQ21">
        <v>69</v>
      </c>
      <c r="AR21">
        <v>74</v>
      </c>
      <c r="AS21" s="82">
        <v>80</v>
      </c>
      <c r="AT21">
        <v>82</v>
      </c>
      <c r="AU21">
        <v>72</v>
      </c>
    </row>
    <row r="22" spans="1:47" x14ac:dyDescent="0.3">
      <c r="A22" s="11"/>
      <c r="B22" s="11"/>
      <c r="D22" s="18"/>
      <c r="E22" s="19"/>
      <c r="G22" s="18"/>
      <c r="H22" s="19"/>
      <c r="J22" s="18"/>
      <c r="K22" s="19"/>
      <c r="M22" s="18"/>
      <c r="N22" s="19"/>
      <c r="P22" s="13"/>
      <c r="X22" s="14"/>
      <c r="Y22" s="11"/>
      <c r="AJ22" s="80" t="s">
        <v>77</v>
      </c>
      <c r="AK22" s="81">
        <v>0.05</v>
      </c>
      <c r="AL22" s="81">
        <v>0.05</v>
      </c>
      <c r="AP22" s="4" t="s">
        <v>129</v>
      </c>
      <c r="AS22" s="82">
        <v>68</v>
      </c>
      <c r="AT22">
        <v>76</v>
      </c>
      <c r="AU22">
        <v>52</v>
      </c>
    </row>
    <row r="23" spans="1:47" x14ac:dyDescent="0.3">
      <c r="A23" s="11"/>
      <c r="B23" s="11"/>
      <c r="D23" s="18"/>
      <c r="E23" s="19"/>
      <c r="G23" s="18"/>
      <c r="H23" s="19"/>
      <c r="J23" s="18"/>
      <c r="K23" s="19"/>
      <c r="M23" s="18"/>
      <c r="N23" s="19"/>
      <c r="P23" s="13"/>
      <c r="X23" s="14"/>
      <c r="Y23" s="11"/>
      <c r="AJ23" s="4" t="s">
        <v>131</v>
      </c>
      <c r="AK23" s="81">
        <v>1</v>
      </c>
      <c r="AL23" s="81">
        <v>0.5</v>
      </c>
    </row>
    <row r="24" spans="1:47" x14ac:dyDescent="0.3">
      <c r="A24" s="11"/>
      <c r="B24" s="11"/>
      <c r="D24" s="18"/>
      <c r="E24" s="19"/>
      <c r="G24" s="18"/>
      <c r="H24" s="19"/>
      <c r="J24" s="18"/>
      <c r="K24" s="19"/>
      <c r="M24" s="18"/>
      <c r="N24" s="19"/>
      <c r="P24" s="13"/>
      <c r="X24" s="14"/>
      <c r="Y24" s="11"/>
      <c r="AJ24" s="80" t="s">
        <v>74</v>
      </c>
      <c r="AK24" s="81">
        <v>0.7</v>
      </c>
      <c r="AL24" s="81">
        <v>0.46</v>
      </c>
    </row>
    <row r="25" spans="1:47" x14ac:dyDescent="0.3">
      <c r="A25" s="11"/>
      <c r="B25" s="11"/>
      <c r="D25" s="18"/>
      <c r="E25" s="19"/>
      <c r="G25" s="18"/>
      <c r="H25" s="19"/>
      <c r="J25" s="18"/>
      <c r="K25" s="19"/>
      <c r="M25" s="18"/>
      <c r="N25" s="19"/>
      <c r="P25" s="13"/>
      <c r="X25" s="14"/>
      <c r="Y25" s="11"/>
      <c r="AJ25" s="80" t="s">
        <v>126</v>
      </c>
      <c r="AK25" s="81">
        <v>0.25</v>
      </c>
      <c r="AL25" s="81">
        <v>0</v>
      </c>
    </row>
    <row r="26" spans="1:47" x14ac:dyDescent="0.3">
      <c r="A26" s="11"/>
      <c r="B26" s="11"/>
      <c r="D26" s="18"/>
      <c r="E26" s="19"/>
      <c r="G26" s="18"/>
      <c r="H26" s="19"/>
      <c r="J26" s="18"/>
      <c r="K26" s="19"/>
      <c r="M26" s="18"/>
      <c r="N26" s="19"/>
      <c r="P26" s="13"/>
      <c r="X26" s="14"/>
      <c r="Y26" s="11"/>
      <c r="AJ26" s="80" t="s">
        <v>77</v>
      </c>
      <c r="AK26" s="81">
        <v>0.05</v>
      </c>
      <c r="AL26" s="81">
        <v>0.04</v>
      </c>
    </row>
    <row r="27" spans="1:47" x14ac:dyDescent="0.3">
      <c r="A27" s="11"/>
      <c r="B27" s="11"/>
      <c r="D27" s="20"/>
      <c r="E27" s="21"/>
      <c r="G27" s="20"/>
      <c r="H27" s="21"/>
      <c r="J27" s="20"/>
      <c r="K27" s="21"/>
      <c r="M27" s="20"/>
      <c r="N27" s="21"/>
      <c r="P27" s="13"/>
      <c r="X27" s="14"/>
      <c r="Y27" s="11"/>
      <c r="AJ27" s="4" t="s">
        <v>128</v>
      </c>
      <c r="AK27" s="81">
        <v>1</v>
      </c>
      <c r="AL27" s="81">
        <v>0.72</v>
      </c>
    </row>
    <row r="28" spans="1:47" x14ac:dyDescent="0.3">
      <c r="A28" s="11"/>
      <c r="B28" s="11"/>
      <c r="D28" s="16"/>
      <c r="E28" s="17"/>
      <c r="G28" s="16"/>
      <c r="H28" s="17"/>
      <c r="J28" s="16"/>
      <c r="K28" s="17"/>
      <c r="M28" s="16"/>
      <c r="N28" s="17"/>
      <c r="P28" s="13"/>
      <c r="X28" s="14"/>
      <c r="Y28" s="11"/>
      <c r="AJ28" s="80" t="s">
        <v>124</v>
      </c>
      <c r="AK28" s="81">
        <v>0.3</v>
      </c>
      <c r="AL28" s="81">
        <v>0.19</v>
      </c>
    </row>
    <row r="29" spans="1:47" x14ac:dyDescent="0.3">
      <c r="A29" s="11"/>
      <c r="B29" s="11"/>
      <c r="D29" s="18"/>
      <c r="E29" s="19"/>
      <c r="G29" s="18"/>
      <c r="H29" s="19"/>
      <c r="J29" s="18"/>
      <c r="K29" s="19"/>
      <c r="M29" s="18"/>
      <c r="N29" s="19"/>
      <c r="P29" s="13"/>
      <c r="X29" s="14"/>
      <c r="Y29" s="11"/>
      <c r="AJ29" s="80" t="s">
        <v>127</v>
      </c>
      <c r="AK29" s="81">
        <v>0.1</v>
      </c>
      <c r="AL29" s="81">
        <v>0.09</v>
      </c>
    </row>
    <row r="30" spans="1:47" x14ac:dyDescent="0.3">
      <c r="A30" s="11"/>
      <c r="B30" s="11"/>
      <c r="D30" s="18"/>
      <c r="E30" s="19"/>
      <c r="G30" s="18"/>
      <c r="H30" s="19"/>
      <c r="J30" s="18"/>
      <c r="K30" s="19"/>
      <c r="M30" s="18"/>
      <c r="N30" s="19"/>
      <c r="P30" s="13"/>
      <c r="X30" s="14"/>
      <c r="Y30" s="11"/>
      <c r="AJ30" s="80" t="s">
        <v>126</v>
      </c>
      <c r="AK30" s="81">
        <v>0.3</v>
      </c>
      <c r="AL30" s="81">
        <v>0.23</v>
      </c>
    </row>
    <row r="31" spans="1:47" x14ac:dyDescent="0.3">
      <c r="A31" s="11"/>
      <c r="B31" s="11"/>
      <c r="D31" s="18"/>
      <c r="E31" s="19"/>
      <c r="G31" s="18"/>
      <c r="H31" s="19"/>
      <c r="J31" s="18"/>
      <c r="K31" s="19"/>
      <c r="M31" s="18"/>
      <c r="N31" s="19"/>
      <c r="P31" s="13"/>
      <c r="X31" s="14"/>
      <c r="Y31" s="11"/>
      <c r="AJ31" s="80" t="s">
        <v>125</v>
      </c>
      <c r="AK31" s="81">
        <v>0.3</v>
      </c>
      <c r="AL31" s="81">
        <v>0.21</v>
      </c>
    </row>
    <row r="32" spans="1:47" x14ac:dyDescent="0.3">
      <c r="A32" s="11"/>
      <c r="B32" s="11"/>
      <c r="D32" s="18"/>
      <c r="E32" s="19"/>
      <c r="G32" s="18"/>
      <c r="H32" s="19"/>
      <c r="J32" s="18"/>
      <c r="K32" s="19"/>
      <c r="M32" s="18"/>
      <c r="N32" s="19"/>
      <c r="P32" s="13"/>
      <c r="X32" s="14"/>
      <c r="Y32" s="11"/>
      <c r="AJ32" s="4" t="s">
        <v>129</v>
      </c>
      <c r="AK32" s="81">
        <v>1</v>
      </c>
      <c r="AL32" s="81">
        <v>0.52</v>
      </c>
    </row>
    <row r="33" spans="1:38" x14ac:dyDescent="0.3">
      <c r="A33" s="11"/>
      <c r="B33" s="11"/>
      <c r="D33" s="18"/>
      <c r="E33" s="19"/>
      <c r="G33" s="18"/>
      <c r="H33" s="19"/>
      <c r="J33" s="18"/>
      <c r="K33" s="19"/>
      <c r="M33" s="18"/>
      <c r="N33" s="19"/>
      <c r="P33" s="13"/>
      <c r="X33" s="14"/>
      <c r="Y33" s="11"/>
      <c r="AJ33" s="80" t="s">
        <v>74</v>
      </c>
      <c r="AK33" s="81">
        <v>0.7</v>
      </c>
      <c r="AL33" s="81">
        <v>0.47</v>
      </c>
    </row>
    <row r="34" spans="1:38" x14ac:dyDescent="0.3">
      <c r="A34" s="11"/>
      <c r="B34" s="11"/>
      <c r="D34" s="18"/>
      <c r="E34" s="19"/>
      <c r="G34" s="18"/>
      <c r="H34" s="19"/>
      <c r="J34" s="18"/>
      <c r="K34" s="19"/>
      <c r="M34" s="18"/>
      <c r="N34" s="19"/>
      <c r="P34" s="13"/>
      <c r="X34" s="14"/>
      <c r="Y34" s="11"/>
      <c r="AJ34" s="80" t="s">
        <v>126</v>
      </c>
      <c r="AK34" s="81">
        <v>0.25</v>
      </c>
      <c r="AL34" s="81">
        <v>0</v>
      </c>
    </row>
    <row r="35" spans="1:38" x14ac:dyDescent="0.3">
      <c r="A35" s="11"/>
      <c r="B35" s="11"/>
      <c r="D35" s="18"/>
      <c r="E35" s="19"/>
      <c r="G35" s="18"/>
      <c r="H35" s="19"/>
      <c r="J35" s="18"/>
      <c r="K35" s="19"/>
      <c r="M35" s="18"/>
      <c r="N35" s="19"/>
      <c r="P35" s="13"/>
      <c r="X35" s="14"/>
      <c r="Y35" s="11"/>
      <c r="AJ35" s="80" t="s">
        <v>77</v>
      </c>
      <c r="AK35" s="81">
        <v>0.05</v>
      </c>
      <c r="AL35" s="81">
        <v>0.05</v>
      </c>
    </row>
    <row r="36" spans="1:38" x14ac:dyDescent="0.3">
      <c r="A36" s="11"/>
      <c r="B36" s="11"/>
      <c r="D36" s="20"/>
      <c r="E36" s="21"/>
      <c r="G36" s="20"/>
      <c r="H36" s="21"/>
      <c r="J36" s="20"/>
      <c r="K36" s="21"/>
      <c r="M36" s="20"/>
      <c r="N36" s="21"/>
      <c r="P36" s="13"/>
      <c r="X36" s="14"/>
      <c r="Y36" s="11"/>
    </row>
    <row r="37" spans="1:38" x14ac:dyDescent="0.3">
      <c r="A37" s="11"/>
      <c r="B37" s="11"/>
      <c r="D37" s="16"/>
      <c r="E37" s="17"/>
      <c r="G37" s="16"/>
      <c r="H37" s="17"/>
      <c r="J37" s="16"/>
      <c r="K37" s="17"/>
      <c r="M37" s="16"/>
      <c r="N37" s="17"/>
      <c r="P37" s="13"/>
      <c r="X37" s="14"/>
      <c r="Y37" s="11"/>
    </row>
    <row r="38" spans="1:38" x14ac:dyDescent="0.3">
      <c r="A38" s="11"/>
      <c r="B38" s="11"/>
      <c r="D38" s="18"/>
      <c r="E38" s="19"/>
      <c r="G38" s="18"/>
      <c r="H38" s="19"/>
      <c r="J38" s="18"/>
      <c r="K38" s="19"/>
      <c r="M38" s="18"/>
      <c r="N38" s="19"/>
      <c r="P38" s="13"/>
      <c r="X38" s="14"/>
      <c r="Y38" s="11"/>
    </row>
    <row r="39" spans="1:38" x14ac:dyDescent="0.3">
      <c r="A39" s="11"/>
      <c r="B39" s="11"/>
      <c r="D39" s="18"/>
      <c r="E39" s="19"/>
      <c r="G39" s="18"/>
      <c r="H39" s="19"/>
      <c r="J39" s="18"/>
      <c r="K39" s="19"/>
      <c r="L39" s="18"/>
      <c r="N39" s="19"/>
      <c r="P39" s="13"/>
      <c r="X39" s="14"/>
      <c r="Y39" s="11"/>
    </row>
    <row r="40" spans="1:38" x14ac:dyDescent="0.3">
      <c r="A40" s="11"/>
      <c r="B40" s="11"/>
      <c r="D40" s="18"/>
      <c r="E40" s="19"/>
      <c r="G40" s="18"/>
      <c r="H40" s="19"/>
      <c r="J40" s="18"/>
      <c r="K40" s="19"/>
      <c r="M40" s="18"/>
      <c r="N40" s="19"/>
      <c r="P40" s="13"/>
      <c r="X40" s="14"/>
      <c r="Y40" s="11"/>
    </row>
    <row r="41" spans="1:38" x14ac:dyDescent="0.3">
      <c r="A41" s="11"/>
      <c r="B41" s="11"/>
      <c r="D41" s="18"/>
      <c r="E41" s="19"/>
      <c r="G41" s="18"/>
      <c r="H41" s="19"/>
      <c r="J41" s="18"/>
      <c r="K41" s="19"/>
      <c r="M41" s="18"/>
      <c r="N41" s="19"/>
      <c r="P41" s="13"/>
      <c r="X41" s="14"/>
      <c r="Y41" s="11"/>
    </row>
    <row r="42" spans="1:38" x14ac:dyDescent="0.3">
      <c r="A42" s="11"/>
      <c r="B42" s="11"/>
      <c r="D42" s="18"/>
      <c r="E42" s="19"/>
      <c r="G42" s="18"/>
      <c r="H42" s="19"/>
      <c r="J42" s="18"/>
      <c r="K42" s="19"/>
      <c r="M42" s="18"/>
      <c r="N42" s="19"/>
      <c r="P42" s="13"/>
      <c r="X42" s="14"/>
      <c r="Y42" s="11"/>
    </row>
    <row r="43" spans="1:38" x14ac:dyDescent="0.3">
      <c r="A43" s="11"/>
      <c r="B43" s="11"/>
      <c r="D43" s="18"/>
      <c r="E43" s="19"/>
      <c r="G43" s="18"/>
      <c r="H43" s="19"/>
      <c r="J43" s="18"/>
      <c r="K43" s="19"/>
      <c r="M43" s="18"/>
      <c r="N43" s="19"/>
      <c r="P43" s="13"/>
      <c r="X43" s="14"/>
      <c r="Y43" s="11"/>
    </row>
    <row r="44" spans="1:38" x14ac:dyDescent="0.3">
      <c r="A44" s="11"/>
      <c r="B44" s="11"/>
      <c r="D44" s="18"/>
      <c r="E44" s="19"/>
      <c r="G44" s="18"/>
      <c r="H44" s="19"/>
      <c r="J44" s="18"/>
      <c r="K44" s="19"/>
      <c r="M44" s="18"/>
      <c r="N44" s="19"/>
      <c r="P44" s="13"/>
      <c r="X44" s="14"/>
      <c r="Y44" s="11"/>
    </row>
    <row r="45" spans="1:38" x14ac:dyDescent="0.3">
      <c r="A45" s="11"/>
      <c r="B45" s="11"/>
      <c r="D45" s="20"/>
      <c r="E45" s="21"/>
      <c r="G45" s="20"/>
      <c r="H45" s="21"/>
      <c r="J45" s="20"/>
      <c r="K45" s="21"/>
      <c r="M45" s="20"/>
      <c r="N45" s="21"/>
      <c r="P45" s="13"/>
      <c r="X45" s="14"/>
      <c r="Y45" s="11"/>
    </row>
    <row r="46" spans="1:38" x14ac:dyDescent="0.3">
      <c r="A46" s="11"/>
      <c r="B46" s="11"/>
      <c r="D46" s="16"/>
      <c r="E46" s="17"/>
      <c r="G46" s="16"/>
      <c r="H46" s="17"/>
      <c r="J46" s="16"/>
      <c r="K46" s="17"/>
      <c r="M46" s="16"/>
      <c r="N46" s="17"/>
      <c r="P46" s="13"/>
      <c r="X46" s="14"/>
      <c r="Y46" s="11"/>
    </row>
    <row r="47" spans="1:38" x14ac:dyDescent="0.3">
      <c r="A47" s="11"/>
      <c r="B47" s="11"/>
      <c r="D47" s="18"/>
      <c r="E47" s="19"/>
      <c r="G47" s="18"/>
      <c r="H47" s="19"/>
      <c r="J47" s="18"/>
      <c r="K47" s="19"/>
      <c r="M47" s="18"/>
      <c r="N47" s="19"/>
      <c r="P47" s="13"/>
      <c r="X47" s="14"/>
      <c r="Y47" s="11"/>
    </row>
    <row r="48" spans="1:38" x14ac:dyDescent="0.3">
      <c r="A48" s="11"/>
      <c r="B48" s="11"/>
      <c r="D48" s="18"/>
      <c r="E48" s="19"/>
      <c r="G48" s="18"/>
      <c r="H48" s="19"/>
      <c r="J48" s="18"/>
      <c r="K48" s="19"/>
      <c r="M48" s="18"/>
      <c r="N48" s="19"/>
      <c r="P48" s="13"/>
      <c r="X48" s="14"/>
      <c r="Y48" s="11"/>
    </row>
    <row r="49" spans="1:25" x14ac:dyDescent="0.3">
      <c r="A49" s="11"/>
      <c r="B49" s="11"/>
      <c r="D49" s="18"/>
      <c r="E49" s="19"/>
      <c r="G49" s="18"/>
      <c r="H49" s="19"/>
      <c r="J49" s="18"/>
      <c r="K49" s="19"/>
      <c r="M49" s="18"/>
      <c r="N49" s="19"/>
      <c r="P49" s="13"/>
      <c r="X49" s="14"/>
      <c r="Y49" s="11"/>
    </row>
    <row r="50" spans="1:25" x14ac:dyDescent="0.3">
      <c r="A50" s="11"/>
      <c r="B50" s="11"/>
      <c r="D50" s="18"/>
      <c r="E50" s="19"/>
      <c r="G50" s="18"/>
      <c r="H50" s="19"/>
      <c r="J50" s="18"/>
      <c r="K50" s="19"/>
      <c r="M50" s="18"/>
      <c r="N50" s="19"/>
      <c r="P50" s="13"/>
      <c r="X50" s="14"/>
      <c r="Y50" s="11"/>
    </row>
    <row r="51" spans="1:25" x14ac:dyDescent="0.3">
      <c r="A51" s="11"/>
      <c r="B51" s="11"/>
      <c r="D51" s="18"/>
      <c r="E51" s="19"/>
      <c r="G51" s="18"/>
      <c r="H51" s="19"/>
      <c r="J51" s="18"/>
      <c r="K51" s="19"/>
      <c r="M51" s="18"/>
      <c r="N51" s="19"/>
      <c r="P51" s="13"/>
      <c r="X51" s="14"/>
      <c r="Y51" s="11"/>
    </row>
    <row r="52" spans="1:25" x14ac:dyDescent="0.3">
      <c r="A52" s="11"/>
      <c r="B52" s="11"/>
      <c r="D52" s="18"/>
      <c r="E52" s="19"/>
      <c r="G52" s="18"/>
      <c r="H52" s="19"/>
      <c r="J52" s="18"/>
      <c r="K52" s="19"/>
      <c r="M52" s="18"/>
      <c r="N52" s="19"/>
      <c r="P52" s="13"/>
      <c r="X52" s="14"/>
      <c r="Y52" s="11"/>
    </row>
    <row r="53" spans="1:25" x14ac:dyDescent="0.3">
      <c r="A53" s="11"/>
      <c r="B53" s="11"/>
      <c r="D53" s="18"/>
      <c r="E53" s="19"/>
      <c r="G53" s="18"/>
      <c r="H53" s="19"/>
      <c r="J53" s="18"/>
      <c r="K53" s="19"/>
      <c r="M53" s="18"/>
      <c r="N53" s="19"/>
      <c r="P53" s="13"/>
      <c r="X53" s="14"/>
      <c r="Y53" s="11"/>
    </row>
    <row r="54" spans="1:25" x14ac:dyDescent="0.3">
      <c r="A54" s="11"/>
      <c r="B54" s="11"/>
      <c r="D54" s="18"/>
      <c r="E54" s="19"/>
      <c r="G54" s="18"/>
      <c r="H54" s="19"/>
      <c r="J54" s="18"/>
      <c r="K54" s="19"/>
      <c r="M54" s="18"/>
      <c r="N54" s="19"/>
      <c r="P54" s="13"/>
      <c r="X54" s="14"/>
      <c r="Y54" s="11"/>
    </row>
    <row r="55" spans="1:25" x14ac:dyDescent="0.3">
      <c r="A55" s="11"/>
      <c r="B55" s="11"/>
      <c r="D55" s="18"/>
      <c r="E55" s="19"/>
      <c r="G55" s="18"/>
      <c r="H55" s="19"/>
      <c r="J55" s="18"/>
      <c r="K55" s="19"/>
      <c r="M55" s="18"/>
      <c r="N55" s="19"/>
      <c r="P55" s="13"/>
      <c r="X55" s="14"/>
      <c r="Y55" s="11"/>
    </row>
    <row r="56" spans="1:25" x14ac:dyDescent="0.3">
      <c r="A56" s="11"/>
      <c r="B56" s="11"/>
      <c r="D56" s="18"/>
      <c r="E56" s="19"/>
      <c r="G56" s="18"/>
      <c r="H56" s="19"/>
      <c r="J56" s="18"/>
      <c r="K56" s="19"/>
      <c r="M56" s="18"/>
      <c r="N56" s="19"/>
      <c r="P56" s="13"/>
      <c r="X56" s="14"/>
      <c r="Y56" s="11"/>
    </row>
    <row r="57" spans="1:25" x14ac:dyDescent="0.3">
      <c r="A57" s="11"/>
      <c r="B57" s="11"/>
      <c r="D57" s="18"/>
      <c r="E57" s="19"/>
      <c r="G57" s="18"/>
      <c r="H57" s="19"/>
      <c r="J57" s="18"/>
      <c r="K57" s="19"/>
      <c r="M57" s="18"/>
      <c r="N57" s="19"/>
      <c r="P57" s="13"/>
      <c r="X57" s="14"/>
      <c r="Y57" s="11"/>
    </row>
    <row r="58" spans="1:25" x14ac:dyDescent="0.3">
      <c r="A58" s="11"/>
      <c r="B58" s="11"/>
      <c r="D58" s="20"/>
      <c r="E58" s="21"/>
      <c r="G58" s="20"/>
      <c r="H58" s="21"/>
      <c r="J58" s="20"/>
      <c r="K58" s="21"/>
      <c r="M58" s="20"/>
      <c r="N58" s="21"/>
      <c r="P58" s="13"/>
      <c r="X58" s="14"/>
      <c r="Y58" s="11"/>
    </row>
    <row r="59" spans="1:25" ht="15" thickBot="1" x14ac:dyDescent="0.35">
      <c r="A59" s="11"/>
      <c r="B59" s="11"/>
      <c r="P59" s="22"/>
      <c r="Q59" s="23"/>
      <c r="R59" s="23"/>
      <c r="S59" s="23"/>
      <c r="T59" s="23"/>
      <c r="U59" s="23"/>
      <c r="V59" s="23"/>
      <c r="W59" s="23"/>
      <c r="X59" s="24"/>
      <c r="Y59" s="11"/>
    </row>
    <row r="60" spans="1:25"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5" thickBot="1" x14ac:dyDescent="0.35"/>
    <row r="62" spans="1:25" x14ac:dyDescent="0.3">
      <c r="A62" s="8"/>
      <c r="B62" s="9"/>
      <c r="C62" s="9"/>
      <c r="D62" s="9"/>
      <c r="E62" s="25" t="s">
        <v>88</v>
      </c>
      <c r="F62" s="25"/>
      <c r="G62" s="9"/>
      <c r="H62" s="9"/>
      <c r="I62" s="1053" t="s">
        <v>89</v>
      </c>
      <c r="J62" s="1053"/>
      <c r="K62" s="10"/>
    </row>
    <row r="63" spans="1:25" x14ac:dyDescent="0.3">
      <c r="A63" s="1054" t="s">
        <v>128</v>
      </c>
      <c r="B63" s="1055"/>
      <c r="C63" s="1055"/>
      <c r="E63" s="1052" t="s">
        <v>90</v>
      </c>
      <c r="F63" s="1052"/>
      <c r="I63" s="27" t="s">
        <v>91</v>
      </c>
      <c r="J63" s="27">
        <v>0</v>
      </c>
      <c r="K63" s="14"/>
    </row>
    <row r="64" spans="1:25" x14ac:dyDescent="0.3">
      <c r="A64" s="28" t="s">
        <v>92</v>
      </c>
      <c r="E64" s="27" t="s">
        <v>93</v>
      </c>
      <c r="F64" s="29">
        <v>20</v>
      </c>
      <c r="I64" s="27" t="s">
        <v>94</v>
      </c>
      <c r="J64" s="27">
        <v>0</v>
      </c>
      <c r="K64" s="14"/>
    </row>
    <row r="65" spans="1:11" x14ac:dyDescent="0.3">
      <c r="A65" s="30" t="s">
        <v>124</v>
      </c>
      <c r="B65" s="31">
        <v>0.3</v>
      </c>
      <c r="C65" s="31">
        <v>0.7</v>
      </c>
      <c r="D65" s="32"/>
      <c r="E65" s="27" t="s">
        <v>95</v>
      </c>
      <c r="F65" s="29">
        <v>20</v>
      </c>
      <c r="I65" s="27" t="s">
        <v>96</v>
      </c>
      <c r="J65" s="27">
        <v>0</v>
      </c>
      <c r="K65" s="14"/>
    </row>
    <row r="66" spans="1:11" x14ac:dyDescent="0.3">
      <c r="A66" s="30" t="s">
        <v>125</v>
      </c>
      <c r="B66" s="31">
        <v>0.3</v>
      </c>
      <c r="C66" s="31">
        <v>0.7</v>
      </c>
      <c r="D66" s="32"/>
      <c r="E66" s="27" t="s">
        <v>97</v>
      </c>
      <c r="F66" s="29">
        <v>20</v>
      </c>
      <c r="I66" s="27" t="s">
        <v>98</v>
      </c>
      <c r="J66" s="27">
        <v>0</v>
      </c>
      <c r="K66" s="14"/>
    </row>
    <row r="67" spans="1:11" x14ac:dyDescent="0.3">
      <c r="A67" s="30" t="s">
        <v>126</v>
      </c>
      <c r="B67" s="31">
        <v>0.3</v>
      </c>
      <c r="C67" s="31">
        <v>0.7</v>
      </c>
      <c r="D67" s="32"/>
      <c r="E67" s="27" t="s">
        <v>99</v>
      </c>
      <c r="F67" s="29">
        <v>20</v>
      </c>
      <c r="I67" s="27" t="s">
        <v>100</v>
      </c>
      <c r="J67" s="27">
        <v>0</v>
      </c>
      <c r="K67" s="14"/>
    </row>
    <row r="68" spans="1:11" x14ac:dyDescent="0.3">
      <c r="A68" s="30" t="s">
        <v>127</v>
      </c>
      <c r="B68" s="31">
        <v>0.1</v>
      </c>
      <c r="C68" s="31">
        <v>0.9</v>
      </c>
      <c r="D68" s="32"/>
      <c r="E68" s="27" t="s">
        <v>101</v>
      </c>
      <c r="F68" s="29">
        <v>20</v>
      </c>
      <c r="I68" s="27" t="s">
        <v>102</v>
      </c>
      <c r="J68" s="27">
        <v>0</v>
      </c>
      <c r="K68" s="14"/>
    </row>
    <row r="69" spans="1:11" x14ac:dyDescent="0.3">
      <c r="A69" s="13"/>
      <c r="B69" s="32"/>
      <c r="C69" s="32"/>
      <c r="D69" s="32"/>
      <c r="E69" s="27" t="s">
        <v>103</v>
      </c>
      <c r="F69" s="29">
        <v>100</v>
      </c>
      <c r="I69" s="27" t="s">
        <v>104</v>
      </c>
      <c r="J69" s="27">
        <v>0</v>
      </c>
      <c r="K69" s="14"/>
    </row>
    <row r="70" spans="1:11" x14ac:dyDescent="0.3">
      <c r="A70" s="28" t="s">
        <v>88</v>
      </c>
      <c r="B70" s="32"/>
      <c r="C70" s="32"/>
      <c r="D70" s="32"/>
      <c r="E70" s="27"/>
      <c r="F70" s="29"/>
      <c r="I70" s="27" t="s">
        <v>105</v>
      </c>
      <c r="J70" s="33">
        <f>+F71</f>
        <v>72</v>
      </c>
      <c r="K70" s="14"/>
    </row>
    <row r="71" spans="1:11" x14ac:dyDescent="0.3">
      <c r="A71" s="30" t="s">
        <v>124</v>
      </c>
      <c r="B71" s="31">
        <v>0.65</v>
      </c>
      <c r="C71" s="31">
        <v>0.35</v>
      </c>
      <c r="D71" s="32"/>
      <c r="E71" s="27" t="s">
        <v>106</v>
      </c>
      <c r="F71" s="34">
        <v>72</v>
      </c>
      <c r="G71" s="35"/>
      <c r="H71" s="35"/>
      <c r="I71" s="27" t="s">
        <v>107</v>
      </c>
      <c r="J71" s="36"/>
      <c r="K71" s="14"/>
    </row>
    <row r="72" spans="1:11" x14ac:dyDescent="0.3">
      <c r="A72" s="30" t="s">
        <v>125</v>
      </c>
      <c r="B72" s="31">
        <v>0.7</v>
      </c>
      <c r="C72" s="31">
        <v>0.3</v>
      </c>
      <c r="D72" s="32"/>
      <c r="E72" s="27"/>
      <c r="F72" s="29"/>
      <c r="G72" s="37">
        <v>20</v>
      </c>
      <c r="H72" s="37"/>
      <c r="I72" s="27" t="s">
        <v>108</v>
      </c>
      <c r="J72" s="38">
        <v>20</v>
      </c>
      <c r="K72" s="14"/>
    </row>
    <row r="73" spans="1:11" x14ac:dyDescent="0.3">
      <c r="A73" s="30" t="s">
        <v>126</v>
      </c>
      <c r="B73" s="31">
        <v>0.75</v>
      </c>
      <c r="C73" s="31">
        <v>0.25</v>
      </c>
      <c r="D73" s="32"/>
      <c r="E73" s="27" t="s">
        <v>109</v>
      </c>
      <c r="F73" s="29">
        <f>+F71-F74/2</f>
        <v>70.5</v>
      </c>
      <c r="G73" s="37">
        <v>20</v>
      </c>
      <c r="H73" s="37"/>
      <c r="I73" s="27" t="s">
        <v>110</v>
      </c>
      <c r="J73" s="38">
        <v>20</v>
      </c>
      <c r="K73" s="14"/>
    </row>
    <row r="74" spans="1:11" x14ac:dyDescent="0.3">
      <c r="A74" s="30" t="s">
        <v>127</v>
      </c>
      <c r="B74" s="31">
        <v>0.92</v>
      </c>
      <c r="C74" s="31">
        <v>0.08</v>
      </c>
      <c r="D74" s="32"/>
      <c r="E74" s="27" t="s">
        <v>111</v>
      </c>
      <c r="F74" s="29">
        <v>3</v>
      </c>
      <c r="G74" s="37"/>
      <c r="H74" s="37"/>
      <c r="I74" s="27" t="s">
        <v>112</v>
      </c>
      <c r="J74" s="38"/>
      <c r="K74" s="14"/>
    </row>
    <row r="75" spans="1:11" ht="15" thickBot="1" x14ac:dyDescent="0.35">
      <c r="A75" s="22"/>
      <c r="B75" s="23"/>
      <c r="C75" s="23"/>
      <c r="D75" s="23"/>
      <c r="E75" s="39" t="s">
        <v>113</v>
      </c>
      <c r="F75" s="40">
        <f>SUM(F64:F69)-F73-F74</f>
        <v>126.5</v>
      </c>
      <c r="G75" s="41">
        <v>20</v>
      </c>
      <c r="H75" s="41"/>
      <c r="I75" s="42" t="s">
        <v>97</v>
      </c>
      <c r="J75" s="23"/>
      <c r="K75" s="24"/>
    </row>
    <row r="76" spans="1:11" x14ac:dyDescent="0.3">
      <c r="A76" s="8"/>
      <c r="B76" s="9"/>
      <c r="C76" s="9"/>
      <c r="D76" s="9"/>
      <c r="E76" s="25" t="s">
        <v>88</v>
      </c>
      <c r="F76" s="25"/>
      <c r="G76" s="43">
        <v>20</v>
      </c>
      <c r="H76" s="43"/>
      <c r="I76" s="1053" t="s">
        <v>89</v>
      </c>
      <c r="J76" s="1053"/>
      <c r="K76" s="10"/>
    </row>
    <row r="77" spans="1:11" x14ac:dyDescent="0.3">
      <c r="A77" s="44" t="s">
        <v>129</v>
      </c>
      <c r="B77" s="26"/>
      <c r="C77" s="26"/>
      <c r="E77" s="1052" t="s">
        <v>90</v>
      </c>
      <c r="F77" s="1052"/>
      <c r="G77" s="37"/>
      <c r="H77" s="37"/>
      <c r="I77" s="27" t="s">
        <v>91</v>
      </c>
      <c r="J77" s="27">
        <v>0</v>
      </c>
      <c r="K77" s="14"/>
    </row>
    <row r="78" spans="1:11" x14ac:dyDescent="0.3">
      <c r="A78" s="28" t="s">
        <v>92</v>
      </c>
      <c r="E78" s="27" t="s">
        <v>93</v>
      </c>
      <c r="F78" s="29">
        <v>20</v>
      </c>
      <c r="I78" s="27" t="s">
        <v>94</v>
      </c>
      <c r="J78" s="27">
        <v>0</v>
      </c>
      <c r="K78" s="14"/>
    </row>
    <row r="79" spans="1:11" x14ac:dyDescent="0.3">
      <c r="A79" s="30" t="s">
        <v>74</v>
      </c>
      <c r="B79" s="31">
        <v>0.7</v>
      </c>
      <c r="C79" s="31">
        <v>0.3</v>
      </c>
      <c r="E79" s="27" t="s">
        <v>95</v>
      </c>
      <c r="F79" s="29">
        <v>20</v>
      </c>
      <c r="I79" s="27" t="s">
        <v>96</v>
      </c>
      <c r="J79" s="27">
        <v>0</v>
      </c>
      <c r="K79" s="14"/>
    </row>
    <row r="80" spans="1:11" x14ac:dyDescent="0.3">
      <c r="A80" s="30" t="s">
        <v>77</v>
      </c>
      <c r="B80" s="31">
        <v>0.05</v>
      </c>
      <c r="C80" s="31">
        <v>0.95</v>
      </c>
      <c r="E80" s="27" t="s">
        <v>97</v>
      </c>
      <c r="F80" s="29">
        <v>20</v>
      </c>
      <c r="I80" s="27" t="s">
        <v>98</v>
      </c>
      <c r="J80" s="27">
        <v>0</v>
      </c>
      <c r="K80" s="14"/>
    </row>
    <row r="81" spans="1:11" x14ac:dyDescent="0.3">
      <c r="A81" s="30" t="s">
        <v>126</v>
      </c>
      <c r="B81" s="31">
        <v>0.25</v>
      </c>
      <c r="C81" s="31">
        <v>0.75</v>
      </c>
      <c r="E81" s="27" t="s">
        <v>99</v>
      </c>
      <c r="F81" s="29">
        <v>20</v>
      </c>
      <c r="I81" s="27" t="s">
        <v>100</v>
      </c>
      <c r="J81" s="27">
        <v>0</v>
      </c>
      <c r="K81" s="14"/>
    </row>
    <row r="82" spans="1:11" x14ac:dyDescent="0.3">
      <c r="A82" s="30"/>
      <c r="B82" s="31"/>
      <c r="C82" s="31"/>
      <c r="E82" s="27" t="s">
        <v>101</v>
      </c>
      <c r="F82" s="29">
        <v>20</v>
      </c>
      <c r="I82" s="27" t="s">
        <v>102</v>
      </c>
      <c r="J82" s="27">
        <v>0</v>
      </c>
      <c r="K82" s="14"/>
    </row>
    <row r="83" spans="1:11" x14ac:dyDescent="0.3">
      <c r="A83" s="13"/>
      <c r="B83" s="32"/>
      <c r="C83" s="32"/>
      <c r="E83" s="27" t="s">
        <v>103</v>
      </c>
      <c r="F83" s="29">
        <v>100</v>
      </c>
      <c r="I83" s="27" t="s">
        <v>104</v>
      </c>
      <c r="J83" s="27">
        <v>0</v>
      </c>
      <c r="K83" s="14"/>
    </row>
    <row r="84" spans="1:11" x14ac:dyDescent="0.3">
      <c r="A84" s="28" t="s">
        <v>88</v>
      </c>
      <c r="B84" s="32"/>
      <c r="C84" s="32"/>
      <c r="E84" s="27"/>
      <c r="F84" s="29"/>
      <c r="I84" s="27" t="s">
        <v>105</v>
      </c>
      <c r="J84" s="33">
        <f>+F85</f>
        <v>52</v>
      </c>
      <c r="K84" s="14"/>
    </row>
    <row r="85" spans="1:11" x14ac:dyDescent="0.3">
      <c r="A85" s="30" t="s">
        <v>74</v>
      </c>
      <c r="B85" s="31">
        <v>0.67</v>
      </c>
      <c r="C85" s="31">
        <v>0.33</v>
      </c>
      <c r="E85" s="27" t="s">
        <v>106</v>
      </c>
      <c r="F85" s="34">
        <v>52</v>
      </c>
      <c r="I85" s="27" t="s">
        <v>107</v>
      </c>
      <c r="J85" s="27"/>
      <c r="K85" s="14"/>
    </row>
    <row r="86" spans="1:11" x14ac:dyDescent="0.3">
      <c r="A86" s="30" t="s">
        <v>76</v>
      </c>
      <c r="B86" s="31">
        <v>0.92</v>
      </c>
      <c r="C86" s="31">
        <v>0.08</v>
      </c>
      <c r="E86" s="27"/>
      <c r="F86" s="29"/>
      <c r="I86" s="27" t="s">
        <v>108</v>
      </c>
      <c r="J86" s="27"/>
      <c r="K86" s="14"/>
    </row>
    <row r="87" spans="1:11" x14ac:dyDescent="0.3">
      <c r="A87" s="30" t="s">
        <v>77</v>
      </c>
      <c r="B87" s="31">
        <v>0</v>
      </c>
      <c r="C87" s="31">
        <v>1</v>
      </c>
      <c r="E87" s="27" t="s">
        <v>109</v>
      </c>
      <c r="F87" s="29">
        <f>+F85-F88/2</f>
        <v>50.5</v>
      </c>
      <c r="I87" s="27" t="s">
        <v>110</v>
      </c>
      <c r="J87" s="27"/>
      <c r="K87" s="14"/>
    </row>
    <row r="88" spans="1:11" x14ac:dyDescent="0.3">
      <c r="A88" s="30"/>
      <c r="B88" s="31"/>
      <c r="C88" s="31"/>
      <c r="E88" s="27" t="s">
        <v>111</v>
      </c>
      <c r="F88" s="29">
        <v>3</v>
      </c>
      <c r="I88" s="27" t="s">
        <v>112</v>
      </c>
      <c r="J88" s="27"/>
      <c r="K88" s="14"/>
    </row>
    <row r="89" spans="1:11" ht="15" thickBot="1" x14ac:dyDescent="0.35">
      <c r="A89" s="22"/>
      <c r="B89" s="23"/>
      <c r="C89" s="23"/>
      <c r="D89" s="23"/>
      <c r="E89" s="39" t="s">
        <v>113</v>
      </c>
      <c r="F89" s="40">
        <f>SUM(F78:F83)-F87-F88</f>
        <v>146.5</v>
      </c>
      <c r="G89" s="23"/>
      <c r="H89" s="23"/>
      <c r="I89" s="23"/>
      <c r="J89" s="23"/>
      <c r="K89" s="24"/>
    </row>
    <row r="90" spans="1:11" x14ac:dyDescent="0.3">
      <c r="A90" s="8"/>
      <c r="B90" s="9"/>
      <c r="C90" s="9"/>
      <c r="D90" s="9"/>
      <c r="E90" s="25" t="s">
        <v>88</v>
      </c>
      <c r="F90" s="25"/>
      <c r="G90" s="43">
        <v>20</v>
      </c>
      <c r="H90" s="43"/>
      <c r="I90" s="1053" t="s">
        <v>89</v>
      </c>
      <c r="J90" s="1053"/>
      <c r="K90" s="10"/>
    </row>
    <row r="91" spans="1:11" x14ac:dyDescent="0.3">
      <c r="A91" s="44" t="s">
        <v>130</v>
      </c>
      <c r="B91" s="26"/>
      <c r="C91" s="26"/>
      <c r="E91" s="1052" t="s">
        <v>90</v>
      </c>
      <c r="F91" s="1052"/>
      <c r="G91" s="37"/>
      <c r="H91" s="37"/>
      <c r="I91" s="27" t="s">
        <v>91</v>
      </c>
      <c r="J91" s="27">
        <v>0</v>
      </c>
      <c r="K91" s="14"/>
    </row>
    <row r="92" spans="1:11" x14ac:dyDescent="0.3">
      <c r="A92" s="28" t="s">
        <v>92</v>
      </c>
      <c r="E92" s="27" t="s">
        <v>93</v>
      </c>
      <c r="F92" s="29">
        <v>20</v>
      </c>
      <c r="I92" s="27" t="s">
        <v>94</v>
      </c>
      <c r="J92" s="27">
        <v>0</v>
      </c>
      <c r="K92" s="14"/>
    </row>
    <row r="93" spans="1:11" x14ac:dyDescent="0.3">
      <c r="A93" s="30" t="s">
        <v>74</v>
      </c>
      <c r="B93" s="31">
        <v>0.7</v>
      </c>
      <c r="C93" s="31">
        <v>0.3</v>
      </c>
      <c r="E93" s="27" t="s">
        <v>95</v>
      </c>
      <c r="F93" s="29">
        <v>20</v>
      </c>
      <c r="I93" s="27" t="s">
        <v>96</v>
      </c>
      <c r="J93" s="27">
        <v>0</v>
      </c>
      <c r="K93" s="14"/>
    </row>
    <row r="94" spans="1:11" x14ac:dyDescent="0.3">
      <c r="A94" s="30" t="s">
        <v>77</v>
      </c>
      <c r="B94" s="31">
        <v>0.05</v>
      </c>
      <c r="C94" s="31">
        <v>0.95</v>
      </c>
      <c r="E94" s="27" t="s">
        <v>97</v>
      </c>
      <c r="F94" s="29">
        <v>20</v>
      </c>
      <c r="I94" s="27" t="s">
        <v>98</v>
      </c>
      <c r="J94" s="27">
        <v>0</v>
      </c>
      <c r="K94" s="14"/>
    </row>
    <row r="95" spans="1:11" x14ac:dyDescent="0.3">
      <c r="A95" s="30" t="s">
        <v>126</v>
      </c>
      <c r="B95" s="31">
        <v>0.25</v>
      </c>
      <c r="C95" s="31">
        <v>0.75</v>
      </c>
      <c r="E95" s="27" t="s">
        <v>99</v>
      </c>
      <c r="F95" s="29">
        <v>20</v>
      </c>
      <c r="I95" s="27" t="s">
        <v>100</v>
      </c>
      <c r="J95" s="27">
        <v>0</v>
      </c>
      <c r="K95" s="14"/>
    </row>
    <row r="96" spans="1:11" x14ac:dyDescent="0.3">
      <c r="A96" s="30"/>
      <c r="B96" s="31"/>
      <c r="C96" s="31"/>
      <c r="E96" s="27" t="s">
        <v>101</v>
      </c>
      <c r="F96" s="29">
        <v>20</v>
      </c>
      <c r="I96" s="27" t="s">
        <v>102</v>
      </c>
      <c r="J96" s="27">
        <v>0</v>
      </c>
      <c r="K96" s="14"/>
    </row>
    <row r="97" spans="1:11" x14ac:dyDescent="0.3">
      <c r="A97" s="13"/>
      <c r="B97" s="32"/>
      <c r="C97" s="32"/>
      <c r="E97" s="27" t="s">
        <v>103</v>
      </c>
      <c r="F97" s="29">
        <v>100</v>
      </c>
      <c r="I97" s="27" t="s">
        <v>104</v>
      </c>
      <c r="J97" s="27">
        <v>0</v>
      </c>
      <c r="K97" s="14"/>
    </row>
    <row r="98" spans="1:11" x14ac:dyDescent="0.3">
      <c r="A98" s="28" t="s">
        <v>88</v>
      </c>
      <c r="B98" s="32"/>
      <c r="C98" s="32"/>
      <c r="E98" s="27"/>
      <c r="F98" s="29"/>
      <c r="I98" s="27" t="s">
        <v>105</v>
      </c>
      <c r="J98" s="33">
        <f>+F99</f>
        <v>58</v>
      </c>
      <c r="K98" s="14"/>
    </row>
    <row r="99" spans="1:11" x14ac:dyDescent="0.3">
      <c r="A99" s="30" t="s">
        <v>74</v>
      </c>
      <c r="B99" s="31">
        <v>0.76</v>
      </c>
      <c r="C99" s="31">
        <v>0.24</v>
      </c>
      <c r="E99" s="27" t="s">
        <v>106</v>
      </c>
      <c r="F99" s="34">
        <v>58</v>
      </c>
      <c r="I99" s="27" t="s">
        <v>107</v>
      </c>
      <c r="J99" s="27"/>
      <c r="K99" s="14"/>
    </row>
    <row r="100" spans="1:11" x14ac:dyDescent="0.3">
      <c r="A100" s="30" t="s">
        <v>77</v>
      </c>
      <c r="B100" s="31">
        <v>0.91</v>
      </c>
      <c r="C100" s="31">
        <v>0.09</v>
      </c>
      <c r="E100" s="27"/>
      <c r="F100" s="29"/>
      <c r="I100" s="27" t="s">
        <v>108</v>
      </c>
      <c r="J100" s="27"/>
      <c r="K100" s="14"/>
    </row>
    <row r="101" spans="1:11" x14ac:dyDescent="0.3">
      <c r="A101" s="30" t="s">
        <v>126</v>
      </c>
      <c r="B101" s="31">
        <v>0</v>
      </c>
      <c r="C101" s="31">
        <v>1</v>
      </c>
      <c r="E101" s="27" t="s">
        <v>109</v>
      </c>
      <c r="F101" s="29">
        <f>+F99-F102/2</f>
        <v>56.5</v>
      </c>
      <c r="I101" s="27" t="s">
        <v>110</v>
      </c>
      <c r="J101" s="27"/>
      <c r="K101" s="14"/>
    </row>
    <row r="102" spans="1:11" x14ac:dyDescent="0.3">
      <c r="A102" s="30"/>
      <c r="B102" s="31">
        <v>0</v>
      </c>
      <c r="C102" s="31">
        <v>0</v>
      </c>
      <c r="E102" s="27" t="s">
        <v>111</v>
      </c>
      <c r="F102" s="29">
        <v>3</v>
      </c>
      <c r="I102" s="27" t="s">
        <v>112</v>
      </c>
      <c r="J102" s="27"/>
      <c r="K102" s="14"/>
    </row>
    <row r="103" spans="1:11" ht="15" thickBot="1" x14ac:dyDescent="0.35">
      <c r="A103" s="22"/>
      <c r="B103" s="23"/>
      <c r="C103" s="23"/>
      <c r="D103" s="23"/>
      <c r="E103" s="39" t="s">
        <v>113</v>
      </c>
      <c r="F103" s="40">
        <f>SUM(F92:F97)-F101-F102</f>
        <v>140.5</v>
      </c>
      <c r="G103" s="23"/>
      <c r="H103" s="23"/>
      <c r="I103" s="23"/>
      <c r="J103" s="23"/>
      <c r="K103" s="24"/>
    </row>
    <row r="104" spans="1:11" x14ac:dyDescent="0.3">
      <c r="A104" s="8"/>
      <c r="B104" s="9"/>
      <c r="C104" s="9"/>
      <c r="D104" s="9"/>
      <c r="E104" s="25" t="s">
        <v>88</v>
      </c>
      <c r="F104" s="25"/>
      <c r="G104" s="43">
        <v>20</v>
      </c>
      <c r="H104" s="43"/>
      <c r="I104" s="1053" t="s">
        <v>89</v>
      </c>
      <c r="J104" s="1053"/>
      <c r="K104" s="10"/>
    </row>
    <row r="105" spans="1:11" x14ac:dyDescent="0.3">
      <c r="A105" s="44" t="s">
        <v>131</v>
      </c>
      <c r="B105" s="26"/>
      <c r="C105" s="26"/>
      <c r="E105" s="1052" t="s">
        <v>90</v>
      </c>
      <c r="F105" s="1052"/>
      <c r="G105" s="37"/>
      <c r="H105" s="37"/>
      <c r="I105" s="27" t="s">
        <v>91</v>
      </c>
      <c r="J105" s="27">
        <v>0</v>
      </c>
      <c r="K105" s="14"/>
    </row>
    <row r="106" spans="1:11" x14ac:dyDescent="0.3">
      <c r="A106" s="28" t="s">
        <v>92</v>
      </c>
      <c r="E106" s="27" t="s">
        <v>93</v>
      </c>
      <c r="F106" s="29">
        <v>20</v>
      </c>
      <c r="I106" s="27" t="s">
        <v>94</v>
      </c>
      <c r="J106" s="27">
        <v>0</v>
      </c>
      <c r="K106" s="14"/>
    </row>
    <row r="107" spans="1:11" x14ac:dyDescent="0.3">
      <c r="A107" s="30" t="s">
        <v>74</v>
      </c>
      <c r="B107" s="31">
        <v>0.7</v>
      </c>
      <c r="C107" s="31">
        <v>0.3</v>
      </c>
      <c r="E107" s="27" t="s">
        <v>95</v>
      </c>
      <c r="F107" s="29">
        <v>20</v>
      </c>
      <c r="I107" s="27" t="s">
        <v>96</v>
      </c>
      <c r="J107" s="27">
        <v>0</v>
      </c>
      <c r="K107" s="14"/>
    </row>
    <row r="108" spans="1:11" x14ac:dyDescent="0.3">
      <c r="A108" s="30" t="s">
        <v>77</v>
      </c>
      <c r="B108" s="31">
        <v>0.05</v>
      </c>
      <c r="C108" s="31">
        <v>0.95</v>
      </c>
      <c r="E108" s="27" t="s">
        <v>97</v>
      </c>
      <c r="F108" s="29">
        <v>20</v>
      </c>
      <c r="I108" s="27" t="s">
        <v>98</v>
      </c>
      <c r="J108" s="27">
        <v>0</v>
      </c>
      <c r="K108" s="14"/>
    </row>
    <row r="109" spans="1:11" x14ac:dyDescent="0.3">
      <c r="A109" s="30" t="s">
        <v>126</v>
      </c>
      <c r="B109" s="31">
        <v>0.25</v>
      </c>
      <c r="C109" s="31">
        <v>0.75</v>
      </c>
      <c r="E109" s="27" t="s">
        <v>99</v>
      </c>
      <c r="F109" s="29">
        <v>20</v>
      </c>
      <c r="I109" s="27" t="s">
        <v>100</v>
      </c>
      <c r="J109" s="27">
        <v>0</v>
      </c>
      <c r="K109" s="14"/>
    </row>
    <row r="110" spans="1:11" x14ac:dyDescent="0.3">
      <c r="A110" s="30"/>
      <c r="B110" s="31"/>
      <c r="C110" s="31"/>
      <c r="E110" s="27" t="s">
        <v>101</v>
      </c>
      <c r="F110" s="29">
        <v>20</v>
      </c>
      <c r="I110" s="27" t="s">
        <v>102</v>
      </c>
      <c r="J110" s="27">
        <v>0</v>
      </c>
      <c r="K110" s="14"/>
    </row>
    <row r="111" spans="1:11" x14ac:dyDescent="0.3">
      <c r="A111" s="13"/>
      <c r="B111" s="32"/>
      <c r="C111" s="32"/>
      <c r="E111" s="27" t="s">
        <v>103</v>
      </c>
      <c r="F111" s="29">
        <v>100</v>
      </c>
      <c r="I111" s="27" t="s">
        <v>104</v>
      </c>
      <c r="J111" s="27">
        <v>0</v>
      </c>
      <c r="K111" s="14"/>
    </row>
    <row r="112" spans="1:11" x14ac:dyDescent="0.3">
      <c r="A112" s="28" t="s">
        <v>88</v>
      </c>
      <c r="B112" s="32"/>
      <c r="C112" s="32"/>
      <c r="E112" s="27"/>
      <c r="F112" s="29"/>
      <c r="I112" s="27" t="s">
        <v>105</v>
      </c>
      <c r="J112" s="33">
        <f>+F113</f>
        <v>51</v>
      </c>
      <c r="K112" s="14"/>
    </row>
    <row r="113" spans="1:11" x14ac:dyDescent="0.3">
      <c r="A113" s="30" t="s">
        <v>74</v>
      </c>
      <c r="B113" s="31">
        <v>0.66</v>
      </c>
      <c r="C113" s="31">
        <v>0.34</v>
      </c>
      <c r="E113" s="27" t="s">
        <v>106</v>
      </c>
      <c r="F113" s="34">
        <v>51</v>
      </c>
      <c r="I113" s="27" t="s">
        <v>107</v>
      </c>
      <c r="J113" s="27"/>
      <c r="K113" s="14"/>
    </row>
    <row r="114" spans="1:11" x14ac:dyDescent="0.3">
      <c r="A114" s="30" t="s">
        <v>77</v>
      </c>
      <c r="B114" s="31">
        <v>0.88</v>
      </c>
      <c r="C114" s="31">
        <v>0.12</v>
      </c>
      <c r="E114" s="27"/>
      <c r="F114" s="29"/>
      <c r="I114" s="27" t="s">
        <v>108</v>
      </c>
      <c r="J114" s="27"/>
      <c r="K114" s="14"/>
    </row>
    <row r="115" spans="1:11" x14ac:dyDescent="0.3">
      <c r="A115" s="30" t="s">
        <v>126</v>
      </c>
      <c r="B115" s="31">
        <v>0</v>
      </c>
      <c r="C115" s="31">
        <v>1</v>
      </c>
      <c r="E115" s="27" t="s">
        <v>109</v>
      </c>
      <c r="F115" s="29">
        <f>+F113-F116/2</f>
        <v>49.5</v>
      </c>
      <c r="I115" s="27" t="s">
        <v>110</v>
      </c>
      <c r="J115" s="27"/>
      <c r="K115" s="14"/>
    </row>
    <row r="116" spans="1:11" x14ac:dyDescent="0.3">
      <c r="A116" s="30"/>
      <c r="B116" s="31"/>
      <c r="C116" s="31"/>
      <c r="E116" s="27" t="s">
        <v>111</v>
      </c>
      <c r="F116" s="29">
        <v>3</v>
      </c>
      <c r="I116" s="27" t="s">
        <v>112</v>
      </c>
      <c r="J116" s="27"/>
      <c r="K116" s="14"/>
    </row>
    <row r="117" spans="1:11" ht="15" thickBot="1" x14ac:dyDescent="0.35">
      <c r="A117" s="22"/>
      <c r="B117" s="23"/>
      <c r="C117" s="23"/>
      <c r="D117" s="23"/>
      <c r="E117" s="39" t="s">
        <v>113</v>
      </c>
      <c r="F117" s="40">
        <f>SUM(F106:F111)-F115-F116</f>
        <v>147.5</v>
      </c>
      <c r="G117" s="23"/>
      <c r="H117" s="23"/>
      <c r="I117" s="23"/>
      <c r="J117" s="23"/>
      <c r="K117" s="24"/>
    </row>
    <row r="120" spans="1:11" x14ac:dyDescent="0.3">
      <c r="B120" s="15"/>
      <c r="C120" s="15"/>
    </row>
  </sheetData>
  <mergeCells count="23">
    <mergeCell ref="E91:F91"/>
    <mergeCell ref="I104:J104"/>
    <mergeCell ref="E105:F105"/>
    <mergeCell ref="I62:J62"/>
    <mergeCell ref="A63:C63"/>
    <mergeCell ref="E63:F63"/>
    <mergeCell ref="I76:J76"/>
    <mergeCell ref="E77:F77"/>
    <mergeCell ref="I90:J90"/>
    <mergeCell ref="D8:E8"/>
    <mergeCell ref="G8:H8"/>
    <mergeCell ref="J8:K8"/>
    <mergeCell ref="M8:N8"/>
    <mergeCell ref="D9:E9"/>
    <mergeCell ref="G9:H9"/>
    <mergeCell ref="J9:K9"/>
    <mergeCell ref="M9:N9"/>
    <mergeCell ref="A1:B6"/>
    <mergeCell ref="F1:O1"/>
    <mergeCell ref="F2:O2"/>
    <mergeCell ref="F3:O3"/>
    <mergeCell ref="F4:O4"/>
    <mergeCell ref="F5:O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9795-A47D-44E8-AED5-18FA900E53D7}">
  <dimension ref="A1:AV120"/>
  <sheetViews>
    <sheetView showGridLines="0" zoomScale="65" zoomScaleNormal="65" workbookViewId="0">
      <selection activeCell="AJ47" sqref="AJ47"/>
    </sheetView>
  </sheetViews>
  <sheetFormatPr baseColWidth="10" defaultRowHeight="14.4" x14ac:dyDescent="0.3"/>
  <cols>
    <col min="3" max="3" width="6.44140625" customWidth="1"/>
    <col min="4" max="5" width="23.44140625" customWidth="1"/>
    <col min="6" max="6" width="6" customWidth="1"/>
    <col min="7" max="8" width="23.5546875" customWidth="1"/>
    <col min="9" max="9" width="6" customWidth="1"/>
    <col min="10" max="11" width="23.5546875" customWidth="1"/>
    <col min="12" max="12" width="6" customWidth="1"/>
    <col min="13" max="14" width="23.5546875" customWidth="1"/>
    <col min="15" max="15" width="6" customWidth="1"/>
    <col min="25" max="25" width="22.6640625" customWidth="1"/>
    <col min="36" max="36" width="53.5546875" bestFit="1" customWidth="1"/>
    <col min="37" max="37" width="26.6640625" bestFit="1" customWidth="1"/>
    <col min="38" max="38" width="30" bestFit="1" customWidth="1"/>
    <col min="39" max="39" width="21" bestFit="1" customWidth="1"/>
    <col min="42" max="42" width="32.21875" bestFit="1" customWidth="1"/>
    <col min="43" max="43" width="21.21875" bestFit="1" customWidth="1"/>
    <col min="44" max="44" width="26.33203125" bestFit="1" customWidth="1"/>
    <col min="45" max="45" width="22.6640625" bestFit="1" customWidth="1"/>
    <col min="46" max="46" width="25.44140625" bestFit="1" customWidth="1"/>
    <col min="47" max="47" width="33" bestFit="1" customWidth="1"/>
    <col min="48" max="48" width="22.109375" bestFit="1" customWidth="1"/>
  </cols>
  <sheetData>
    <row r="1" spans="1:48" ht="21" x14ac:dyDescent="0.4">
      <c r="A1" s="1042"/>
      <c r="B1" s="1042"/>
      <c r="F1" s="1043" t="s">
        <v>85</v>
      </c>
      <c r="G1" s="1043"/>
      <c r="H1" s="1043"/>
      <c r="I1" s="1043"/>
      <c r="J1" s="1043"/>
      <c r="K1" s="1043"/>
      <c r="L1" s="1043"/>
      <c r="M1" s="1043"/>
      <c r="N1" s="1043"/>
      <c r="O1" s="1043"/>
      <c r="P1" s="8"/>
      <c r="Q1" s="9"/>
      <c r="R1" s="9"/>
      <c r="S1" s="9"/>
      <c r="T1" s="9"/>
      <c r="U1" s="9"/>
      <c r="V1" s="9"/>
      <c r="W1" s="9"/>
      <c r="X1" s="10"/>
      <c r="Y1" s="11"/>
      <c r="AJ1" s="27" t="s">
        <v>114</v>
      </c>
      <c r="AK1" s="27" t="s">
        <v>115</v>
      </c>
      <c r="AL1" s="45" t="s">
        <v>92</v>
      </c>
      <c r="AM1" s="45" t="s">
        <v>88</v>
      </c>
      <c r="AP1" s="417" t="s">
        <v>116</v>
      </c>
      <c r="AQ1" s="418" t="s">
        <v>105</v>
      </c>
      <c r="AR1" s="418" t="s">
        <v>107</v>
      </c>
      <c r="AS1" s="418" t="s">
        <v>108</v>
      </c>
      <c r="AT1" s="416" t="s">
        <v>110</v>
      </c>
      <c r="AU1" s="416" t="s">
        <v>796</v>
      </c>
      <c r="AV1" s="416" t="s">
        <v>94</v>
      </c>
    </row>
    <row r="2" spans="1:48" ht="15" thickBot="1" x14ac:dyDescent="0.35">
      <c r="A2" s="1042"/>
      <c r="B2" s="1042"/>
      <c r="F2" s="1044" t="s">
        <v>86</v>
      </c>
      <c r="G2" s="1044"/>
      <c r="H2" s="1044"/>
      <c r="I2" s="1044"/>
      <c r="J2" s="1044"/>
      <c r="K2" s="1044"/>
      <c r="L2" s="1044"/>
      <c r="M2" s="1044"/>
      <c r="N2" s="1044"/>
      <c r="O2" s="1044"/>
      <c r="P2" s="13"/>
      <c r="X2" s="14"/>
      <c r="Y2" s="11"/>
      <c r="AJ2" s="46" t="s">
        <v>128</v>
      </c>
      <c r="AK2" s="30" t="s">
        <v>124</v>
      </c>
      <c r="AL2" s="47">
        <f>+B65</f>
        <v>0.3</v>
      </c>
      <c r="AM2" s="47">
        <v>0.21</v>
      </c>
      <c r="AP2" s="46" t="s">
        <v>128</v>
      </c>
      <c r="AQ2" s="27">
        <v>69</v>
      </c>
      <c r="AR2" s="27">
        <v>74</v>
      </c>
      <c r="AS2" s="50">
        <v>80</v>
      </c>
      <c r="AT2" s="27">
        <v>82</v>
      </c>
      <c r="AU2" s="27">
        <v>72</v>
      </c>
      <c r="AV2" s="27">
        <v>72</v>
      </c>
    </row>
    <row r="3" spans="1:48" ht="15" customHeight="1" thickBot="1" x14ac:dyDescent="0.35">
      <c r="A3" s="1042"/>
      <c r="B3" s="1042"/>
      <c r="F3" s="1045" t="s">
        <v>117</v>
      </c>
      <c r="G3" s="1046"/>
      <c r="H3" s="1046"/>
      <c r="I3" s="1046"/>
      <c r="J3" s="1046"/>
      <c r="K3" s="1046"/>
      <c r="L3" s="1046"/>
      <c r="M3" s="1046"/>
      <c r="N3" s="1046"/>
      <c r="O3" s="1046"/>
      <c r="P3" s="13"/>
      <c r="X3" s="14"/>
      <c r="Y3" s="11"/>
      <c r="AJ3" s="46" t="s">
        <v>128</v>
      </c>
      <c r="AK3" s="30" t="s">
        <v>125</v>
      </c>
      <c r="AL3" s="47">
        <f>+B66</f>
        <v>0.3</v>
      </c>
      <c r="AM3" s="47">
        <v>0.19</v>
      </c>
      <c r="AP3" s="48" t="s">
        <v>129</v>
      </c>
      <c r="AQ3" s="27"/>
      <c r="AR3" s="27"/>
      <c r="AS3" s="50">
        <v>68</v>
      </c>
      <c r="AT3" s="27">
        <v>76</v>
      </c>
      <c r="AU3" s="27">
        <v>52</v>
      </c>
      <c r="AV3" s="27">
        <v>92</v>
      </c>
    </row>
    <row r="4" spans="1:48" ht="22.8" customHeight="1" thickBot="1" x14ac:dyDescent="0.4">
      <c r="A4" s="1042"/>
      <c r="B4" s="1042"/>
      <c r="F4" s="1047" t="s">
        <v>118</v>
      </c>
      <c r="G4" s="1047"/>
      <c r="H4" s="1047"/>
      <c r="I4" s="1047"/>
      <c r="J4" s="1047"/>
      <c r="K4" s="1047"/>
      <c r="L4" s="1047"/>
      <c r="M4" s="1047"/>
      <c r="N4" s="1047"/>
      <c r="O4" s="1047"/>
      <c r="P4" s="13"/>
      <c r="X4" s="14"/>
      <c r="Y4" s="11"/>
      <c r="AJ4" s="46" t="s">
        <v>128</v>
      </c>
      <c r="AK4" s="30" t="s">
        <v>126</v>
      </c>
      <c r="AL4" s="47">
        <f>+B67</f>
        <v>0.3</v>
      </c>
      <c r="AM4" s="47">
        <v>0.23</v>
      </c>
      <c r="AP4" s="48" t="s">
        <v>130</v>
      </c>
      <c r="AQ4" s="27"/>
      <c r="AR4" s="27"/>
      <c r="AS4" s="50">
        <v>74</v>
      </c>
      <c r="AT4" s="27">
        <v>69</v>
      </c>
      <c r="AU4" s="27">
        <v>58</v>
      </c>
      <c r="AV4" s="27">
        <v>54</v>
      </c>
    </row>
    <row r="5" spans="1:48" ht="15" thickBot="1" x14ac:dyDescent="0.35">
      <c r="A5" s="1042"/>
      <c r="B5" s="1042"/>
      <c r="F5" s="1048" t="s">
        <v>873</v>
      </c>
      <c r="G5" s="1049"/>
      <c r="H5" s="1049"/>
      <c r="I5" s="1049"/>
      <c r="J5" s="1049"/>
      <c r="K5" s="1049"/>
      <c r="L5" s="1049"/>
      <c r="M5" s="1049"/>
      <c r="N5" s="1049"/>
      <c r="O5" s="1049"/>
      <c r="P5" s="13"/>
      <c r="X5" s="14"/>
      <c r="Y5" s="11"/>
      <c r="AJ5" s="46" t="s">
        <v>128</v>
      </c>
      <c r="AK5" s="30" t="s">
        <v>127</v>
      </c>
      <c r="AL5" s="47">
        <f>+B68</f>
        <v>0.1</v>
      </c>
      <c r="AM5" s="47">
        <v>0.09</v>
      </c>
      <c r="AP5" s="48" t="s">
        <v>131</v>
      </c>
      <c r="AQ5" s="27"/>
      <c r="AR5" s="27"/>
      <c r="AS5" s="50">
        <v>57</v>
      </c>
      <c r="AT5" s="27">
        <v>88</v>
      </c>
      <c r="AU5" s="27">
        <v>51</v>
      </c>
      <c r="AV5" s="27">
        <v>51</v>
      </c>
    </row>
    <row r="6" spans="1:48" x14ac:dyDescent="0.3">
      <c r="A6" s="1042"/>
      <c r="B6" s="1042"/>
      <c r="P6" s="13"/>
      <c r="X6" s="14"/>
      <c r="Y6" s="11"/>
      <c r="AJ6" s="48" t="s">
        <v>129</v>
      </c>
      <c r="AK6" s="30" t="s">
        <v>74</v>
      </c>
      <c r="AL6" s="47">
        <v>0.7</v>
      </c>
      <c r="AM6" s="47">
        <v>0.64</v>
      </c>
    </row>
    <row r="7" spans="1:48" ht="15" thickBot="1" x14ac:dyDescent="0.35">
      <c r="A7" s="11"/>
      <c r="B7" s="11"/>
      <c r="P7" s="13"/>
      <c r="X7" s="14"/>
      <c r="Y7" s="11"/>
      <c r="AJ7" s="48" t="s">
        <v>129</v>
      </c>
      <c r="AK7" s="30" t="s">
        <v>77</v>
      </c>
      <c r="AL7" s="47">
        <v>0.05</v>
      </c>
      <c r="AM7" s="47">
        <v>0.05</v>
      </c>
    </row>
    <row r="8" spans="1:48" ht="15" thickBot="1" x14ac:dyDescent="0.35">
      <c r="A8" s="11"/>
      <c r="B8" s="11"/>
      <c r="D8" s="1045" t="s">
        <v>119</v>
      </c>
      <c r="E8" s="1050"/>
      <c r="G8" s="1045" t="s">
        <v>120</v>
      </c>
      <c r="H8" s="1050"/>
      <c r="J8" s="1045" t="s">
        <v>121</v>
      </c>
      <c r="K8" s="1050"/>
      <c r="M8" s="1045" t="s">
        <v>122</v>
      </c>
      <c r="N8" s="1050"/>
      <c r="P8" s="13"/>
      <c r="X8" s="14"/>
      <c r="Y8" s="11"/>
      <c r="AJ8" s="48" t="s">
        <v>129</v>
      </c>
      <c r="AK8" s="30" t="s">
        <v>126</v>
      </c>
      <c r="AL8" s="47">
        <v>0.25</v>
      </c>
      <c r="AM8" s="47">
        <v>0.24</v>
      </c>
    </row>
    <row r="9" spans="1:48" x14ac:dyDescent="0.3">
      <c r="A9" s="11"/>
      <c r="B9" s="11"/>
      <c r="D9" s="1051" t="s">
        <v>87</v>
      </c>
      <c r="E9" s="1051"/>
      <c r="G9" s="1051" t="s">
        <v>87</v>
      </c>
      <c r="H9" s="1051"/>
      <c r="J9" s="1051" t="s">
        <v>87</v>
      </c>
      <c r="K9" s="1051"/>
      <c r="L9" s="15"/>
      <c r="M9" s="1051" t="s">
        <v>87</v>
      </c>
      <c r="N9" s="1051"/>
      <c r="O9" s="15"/>
      <c r="P9" s="13"/>
      <c r="X9" s="14"/>
      <c r="Y9" s="11"/>
      <c r="AJ9" s="48" t="s">
        <v>130</v>
      </c>
      <c r="AK9" s="30" t="s">
        <v>74</v>
      </c>
      <c r="AL9" s="31">
        <v>0.7</v>
      </c>
      <c r="AM9" s="31">
        <v>0.49</v>
      </c>
    </row>
    <row r="10" spans="1:48" x14ac:dyDescent="0.3">
      <c r="A10" s="11"/>
      <c r="B10" s="11"/>
      <c r="D10" s="16"/>
      <c r="E10" s="17"/>
      <c r="G10" s="16"/>
      <c r="H10" s="17"/>
      <c r="J10" s="16"/>
      <c r="K10" s="17"/>
      <c r="M10" s="16"/>
      <c r="N10" s="17"/>
      <c r="P10" s="13"/>
      <c r="X10" s="14"/>
      <c r="Y10" s="11"/>
      <c r="AJ10" s="48" t="s">
        <v>130</v>
      </c>
      <c r="AK10" s="30" t="s">
        <v>77</v>
      </c>
      <c r="AL10" s="31">
        <v>0.05</v>
      </c>
      <c r="AM10" s="31">
        <v>0.05</v>
      </c>
    </row>
    <row r="11" spans="1:48" x14ac:dyDescent="0.3">
      <c r="A11" s="11"/>
      <c r="B11" s="11"/>
      <c r="D11" s="18"/>
      <c r="E11" s="19"/>
      <c r="G11" s="18"/>
      <c r="H11" s="19"/>
      <c r="J11" s="18"/>
      <c r="K11" s="19"/>
      <c r="M11" s="18"/>
      <c r="N11" s="19"/>
      <c r="P11" s="13"/>
      <c r="X11" s="14"/>
      <c r="Y11" s="11"/>
      <c r="AJ11" s="48" t="s">
        <v>130</v>
      </c>
      <c r="AK11" s="30" t="s">
        <v>126</v>
      </c>
      <c r="AL11" s="31">
        <v>0.25</v>
      </c>
      <c r="AM11" s="31">
        <v>0</v>
      </c>
    </row>
    <row r="12" spans="1:48" x14ac:dyDescent="0.3">
      <c r="A12" s="11"/>
      <c r="B12" s="11"/>
      <c r="D12" s="18"/>
      <c r="E12" s="19"/>
      <c r="G12" s="18"/>
      <c r="H12" s="19"/>
      <c r="J12" s="18"/>
      <c r="K12" s="19"/>
      <c r="M12" s="18"/>
      <c r="N12" s="19"/>
      <c r="P12" s="13"/>
      <c r="X12" s="14"/>
      <c r="Y12" s="11"/>
      <c r="AJ12" s="48" t="s">
        <v>131</v>
      </c>
      <c r="AK12" s="30" t="s">
        <v>74</v>
      </c>
      <c r="AL12" s="31">
        <v>0.7</v>
      </c>
      <c r="AM12" s="31">
        <v>0.31</v>
      </c>
    </row>
    <row r="13" spans="1:48" x14ac:dyDescent="0.3">
      <c r="A13" s="11"/>
      <c r="B13" s="11"/>
      <c r="D13" s="18"/>
      <c r="E13" s="19"/>
      <c r="G13" s="18"/>
      <c r="H13" s="19"/>
      <c r="J13" s="18"/>
      <c r="K13" s="19"/>
      <c r="M13" s="18"/>
      <c r="N13" s="19"/>
      <c r="P13" s="13"/>
      <c r="X13" s="14"/>
      <c r="Y13" s="11"/>
      <c r="AJ13" s="48" t="s">
        <v>131</v>
      </c>
      <c r="AK13" s="30" t="s">
        <v>77</v>
      </c>
      <c r="AL13" s="31">
        <v>0.05</v>
      </c>
      <c r="AM13" s="31">
        <v>0.04</v>
      </c>
    </row>
    <row r="14" spans="1:48" x14ac:dyDescent="0.3">
      <c r="A14" s="11"/>
      <c r="B14" s="11"/>
      <c r="D14" s="18"/>
      <c r="E14" s="19"/>
      <c r="G14" s="18"/>
      <c r="H14" s="19"/>
      <c r="J14" s="18"/>
      <c r="K14" s="19"/>
      <c r="M14" s="18"/>
      <c r="N14" s="19"/>
      <c r="P14" s="13"/>
      <c r="X14" s="14"/>
      <c r="Y14" s="11"/>
      <c r="AJ14" s="48" t="s">
        <v>131</v>
      </c>
      <c r="AK14" s="30" t="s">
        <v>126</v>
      </c>
      <c r="AL14" s="31">
        <v>0.25</v>
      </c>
      <c r="AM14" s="31">
        <v>0.16</v>
      </c>
    </row>
    <row r="15" spans="1:48" x14ac:dyDescent="0.3">
      <c r="A15" s="11"/>
      <c r="B15" s="11"/>
      <c r="D15" s="18"/>
      <c r="E15" s="19"/>
      <c r="G15" s="18"/>
      <c r="H15" s="19"/>
      <c r="J15" s="18"/>
      <c r="K15" s="19"/>
      <c r="M15" s="18"/>
      <c r="N15" s="19"/>
      <c r="P15" s="13"/>
      <c r="X15" s="14"/>
      <c r="Y15" s="11"/>
    </row>
    <row r="16" spans="1:48" x14ac:dyDescent="0.3">
      <c r="A16" s="11"/>
      <c r="B16" s="11"/>
      <c r="D16" s="18"/>
      <c r="E16" s="19"/>
      <c r="G16" s="18"/>
      <c r="H16" s="19"/>
      <c r="J16" s="18"/>
      <c r="K16" s="19"/>
      <c r="M16" s="18"/>
      <c r="N16" s="19"/>
      <c r="P16" s="13"/>
      <c r="X16" s="14"/>
      <c r="Y16" s="11"/>
    </row>
    <row r="17" spans="1:48" x14ac:dyDescent="0.3">
      <c r="A17" s="11"/>
      <c r="B17" s="11"/>
      <c r="D17" s="18"/>
      <c r="E17" s="19"/>
      <c r="G17" s="18"/>
      <c r="H17" s="19"/>
      <c r="J17" s="18"/>
      <c r="K17" s="19"/>
      <c r="M17" s="18"/>
      <c r="N17" s="19"/>
      <c r="P17" s="13"/>
      <c r="X17" s="14"/>
      <c r="Y17" s="11"/>
    </row>
    <row r="18" spans="1:48" x14ac:dyDescent="0.3">
      <c r="A18" s="11"/>
      <c r="B18" s="11"/>
      <c r="D18" s="20"/>
      <c r="E18" s="21"/>
      <c r="G18" s="20"/>
      <c r="H18" s="21"/>
      <c r="J18" s="20"/>
      <c r="K18" s="21"/>
      <c r="M18" s="20"/>
      <c r="N18" s="21"/>
      <c r="P18" s="13"/>
      <c r="X18" s="14"/>
      <c r="Y18" s="11"/>
      <c r="AJ18" s="79" t="s">
        <v>238</v>
      </c>
      <c r="AK18" t="s">
        <v>240</v>
      </c>
      <c r="AL18" t="s">
        <v>241</v>
      </c>
      <c r="AP18" s="79" t="s">
        <v>238</v>
      </c>
      <c r="AQ18" t="s">
        <v>584</v>
      </c>
      <c r="AR18" t="s">
        <v>585</v>
      </c>
      <c r="AS18" t="s">
        <v>586</v>
      </c>
      <c r="AT18" t="s">
        <v>689</v>
      </c>
      <c r="AU18" t="s">
        <v>797</v>
      </c>
      <c r="AV18" t="s">
        <v>874</v>
      </c>
    </row>
    <row r="19" spans="1:48" x14ac:dyDescent="0.3">
      <c r="A19" s="11"/>
      <c r="B19" s="11"/>
      <c r="D19" s="16"/>
      <c r="E19" s="17"/>
      <c r="G19" s="16"/>
      <c r="H19" s="17"/>
      <c r="J19" s="16"/>
      <c r="K19" s="17"/>
      <c r="M19" s="16"/>
      <c r="N19" s="17"/>
      <c r="P19" s="13"/>
      <c r="X19" s="14"/>
      <c r="Y19" s="11"/>
      <c r="AJ19" s="4" t="s">
        <v>130</v>
      </c>
      <c r="AK19" s="81">
        <v>1</v>
      </c>
      <c r="AL19" s="81">
        <v>0.54</v>
      </c>
      <c r="AP19" s="4" t="s">
        <v>130</v>
      </c>
      <c r="AS19" s="82">
        <v>74</v>
      </c>
      <c r="AT19">
        <v>69</v>
      </c>
      <c r="AU19">
        <v>58</v>
      </c>
      <c r="AV19">
        <v>54</v>
      </c>
    </row>
    <row r="20" spans="1:48" x14ac:dyDescent="0.3">
      <c r="A20" s="11"/>
      <c r="B20" s="11"/>
      <c r="D20" s="18"/>
      <c r="E20" s="19"/>
      <c r="G20" s="18"/>
      <c r="H20" s="19"/>
      <c r="J20" s="18"/>
      <c r="K20" s="19"/>
      <c r="M20" s="18"/>
      <c r="N20" s="19"/>
      <c r="P20" s="13"/>
      <c r="X20" s="14"/>
      <c r="Y20" s="11"/>
      <c r="AJ20" s="80" t="s">
        <v>74</v>
      </c>
      <c r="AK20" s="81">
        <v>0.7</v>
      </c>
      <c r="AL20" s="81">
        <v>0.49</v>
      </c>
      <c r="AP20" s="4" t="s">
        <v>131</v>
      </c>
      <c r="AS20" s="82">
        <v>57</v>
      </c>
      <c r="AT20">
        <v>88</v>
      </c>
      <c r="AU20">
        <v>51</v>
      </c>
      <c r="AV20">
        <v>51</v>
      </c>
    </row>
    <row r="21" spans="1:48" x14ac:dyDescent="0.3">
      <c r="A21" s="11"/>
      <c r="B21" s="11"/>
      <c r="D21" s="18"/>
      <c r="E21" s="19"/>
      <c r="G21" s="18"/>
      <c r="H21" s="19"/>
      <c r="J21" s="18"/>
      <c r="K21" s="19"/>
      <c r="M21" s="18"/>
      <c r="N21" s="19"/>
      <c r="P21" s="13"/>
      <c r="X21" s="14"/>
      <c r="Y21" s="11"/>
      <c r="AJ21" s="80" t="s">
        <v>126</v>
      </c>
      <c r="AK21" s="81">
        <v>0.25</v>
      </c>
      <c r="AL21" s="81">
        <v>0</v>
      </c>
      <c r="AP21" s="4" t="s">
        <v>128</v>
      </c>
      <c r="AQ21">
        <v>69</v>
      </c>
      <c r="AR21">
        <v>74</v>
      </c>
      <c r="AS21" s="82">
        <v>80</v>
      </c>
      <c r="AT21">
        <v>82</v>
      </c>
      <c r="AU21">
        <v>72</v>
      </c>
      <c r="AV21">
        <v>72</v>
      </c>
    </row>
    <row r="22" spans="1:48" x14ac:dyDescent="0.3">
      <c r="A22" s="11"/>
      <c r="B22" s="11"/>
      <c r="D22" s="18"/>
      <c r="E22" s="19"/>
      <c r="G22" s="18"/>
      <c r="H22" s="19"/>
      <c r="J22" s="18"/>
      <c r="K22" s="19"/>
      <c r="M22" s="18"/>
      <c r="N22" s="19"/>
      <c r="P22" s="13"/>
      <c r="X22" s="14"/>
      <c r="Y22" s="11"/>
      <c r="AJ22" s="80" t="s">
        <v>77</v>
      </c>
      <c r="AK22" s="81">
        <v>0.05</v>
      </c>
      <c r="AL22" s="81">
        <v>0.05</v>
      </c>
      <c r="AP22" s="4" t="s">
        <v>129</v>
      </c>
      <c r="AS22" s="82">
        <v>68</v>
      </c>
      <c r="AT22">
        <v>76</v>
      </c>
      <c r="AU22">
        <v>52</v>
      </c>
      <c r="AV22">
        <v>92</v>
      </c>
    </row>
    <row r="23" spans="1:48" x14ac:dyDescent="0.3">
      <c r="A23" s="11"/>
      <c r="B23" s="11"/>
      <c r="D23" s="18"/>
      <c r="E23" s="19"/>
      <c r="G23" s="18"/>
      <c r="H23" s="19"/>
      <c r="J23" s="18"/>
      <c r="K23" s="19"/>
      <c r="M23" s="18"/>
      <c r="N23" s="19"/>
      <c r="P23" s="13"/>
      <c r="X23" s="14"/>
      <c r="Y23" s="11"/>
      <c r="AJ23" s="4" t="s">
        <v>131</v>
      </c>
      <c r="AK23" s="81">
        <v>1</v>
      </c>
      <c r="AL23" s="81">
        <v>0.51</v>
      </c>
    </row>
    <row r="24" spans="1:48" x14ac:dyDescent="0.3">
      <c r="A24" s="11"/>
      <c r="B24" s="11"/>
      <c r="D24" s="18"/>
      <c r="E24" s="19"/>
      <c r="G24" s="18"/>
      <c r="H24" s="19"/>
      <c r="J24" s="18"/>
      <c r="K24" s="19"/>
      <c r="M24" s="18"/>
      <c r="N24" s="19"/>
      <c r="P24" s="13"/>
      <c r="X24" s="14"/>
      <c r="Y24" s="11"/>
      <c r="AJ24" s="80" t="s">
        <v>74</v>
      </c>
      <c r="AK24" s="81">
        <v>0.7</v>
      </c>
      <c r="AL24" s="81">
        <v>0.31</v>
      </c>
    </row>
    <row r="25" spans="1:48" x14ac:dyDescent="0.3">
      <c r="A25" s="11"/>
      <c r="B25" s="11"/>
      <c r="D25" s="18"/>
      <c r="E25" s="19"/>
      <c r="G25" s="18"/>
      <c r="H25" s="19"/>
      <c r="J25" s="18"/>
      <c r="K25" s="19"/>
      <c r="M25" s="18"/>
      <c r="N25" s="19"/>
      <c r="P25" s="13"/>
      <c r="X25" s="14"/>
      <c r="Y25" s="11"/>
      <c r="AJ25" s="80" t="s">
        <v>126</v>
      </c>
      <c r="AK25" s="81">
        <v>0.25</v>
      </c>
      <c r="AL25" s="81">
        <v>0.16</v>
      </c>
    </row>
    <row r="26" spans="1:48" x14ac:dyDescent="0.3">
      <c r="A26" s="11"/>
      <c r="B26" s="11"/>
      <c r="D26" s="18"/>
      <c r="E26" s="19"/>
      <c r="G26" s="18"/>
      <c r="H26" s="19"/>
      <c r="J26" s="18"/>
      <c r="K26" s="19"/>
      <c r="M26" s="18"/>
      <c r="N26" s="19"/>
      <c r="P26" s="13"/>
      <c r="X26" s="14"/>
      <c r="Y26" s="11"/>
      <c r="AJ26" s="80" t="s">
        <v>77</v>
      </c>
      <c r="AK26" s="81">
        <v>0.05</v>
      </c>
      <c r="AL26" s="81">
        <v>0.04</v>
      </c>
    </row>
    <row r="27" spans="1:48" x14ac:dyDescent="0.3">
      <c r="A27" s="11"/>
      <c r="B27" s="11"/>
      <c r="D27" s="20"/>
      <c r="E27" s="21"/>
      <c r="G27" s="20"/>
      <c r="H27" s="21"/>
      <c r="J27" s="20"/>
      <c r="K27" s="21"/>
      <c r="M27" s="20"/>
      <c r="N27" s="21"/>
      <c r="P27" s="13"/>
      <c r="X27" s="14"/>
      <c r="Y27" s="11"/>
      <c r="AJ27" s="4" t="s">
        <v>128</v>
      </c>
      <c r="AK27" s="81">
        <v>1</v>
      </c>
      <c r="AL27" s="81">
        <v>0.72</v>
      </c>
    </row>
    <row r="28" spans="1:48" x14ac:dyDescent="0.3">
      <c r="A28" s="11"/>
      <c r="B28" s="11"/>
      <c r="D28" s="16"/>
      <c r="E28" s="17"/>
      <c r="G28" s="16"/>
      <c r="H28" s="17"/>
      <c r="J28" s="16"/>
      <c r="K28" s="17"/>
      <c r="M28" s="16"/>
      <c r="N28" s="17"/>
      <c r="P28" s="13"/>
      <c r="X28" s="14"/>
      <c r="Y28" s="11"/>
      <c r="AJ28" s="80" t="s">
        <v>124</v>
      </c>
      <c r="AK28" s="81">
        <v>0.3</v>
      </c>
      <c r="AL28" s="81">
        <v>0.21</v>
      </c>
    </row>
    <row r="29" spans="1:48" x14ac:dyDescent="0.3">
      <c r="A29" s="11"/>
      <c r="B29" s="11"/>
      <c r="D29" s="18"/>
      <c r="E29" s="19"/>
      <c r="G29" s="18"/>
      <c r="H29" s="19"/>
      <c r="J29" s="18"/>
      <c r="K29" s="19"/>
      <c r="M29" s="18"/>
      <c r="N29" s="19"/>
      <c r="P29" s="13"/>
      <c r="X29" s="14"/>
      <c r="Y29" s="11"/>
      <c r="AJ29" s="80" t="s">
        <v>127</v>
      </c>
      <c r="AK29" s="81">
        <v>0.1</v>
      </c>
      <c r="AL29" s="81">
        <v>0.09</v>
      </c>
    </row>
    <row r="30" spans="1:48" x14ac:dyDescent="0.3">
      <c r="A30" s="11"/>
      <c r="B30" s="11"/>
      <c r="D30" s="18"/>
      <c r="E30" s="19"/>
      <c r="G30" s="18"/>
      <c r="H30" s="19"/>
      <c r="J30" s="18"/>
      <c r="K30" s="19"/>
      <c r="M30" s="18"/>
      <c r="N30" s="19"/>
      <c r="P30" s="13"/>
      <c r="X30" s="14"/>
      <c r="Y30" s="11"/>
      <c r="AJ30" s="80" t="s">
        <v>126</v>
      </c>
      <c r="AK30" s="81">
        <v>0.3</v>
      </c>
      <c r="AL30" s="81">
        <v>0.23</v>
      </c>
    </row>
    <row r="31" spans="1:48" x14ac:dyDescent="0.3">
      <c r="A31" s="11"/>
      <c r="B31" s="11"/>
      <c r="D31" s="18"/>
      <c r="E31" s="19"/>
      <c r="G31" s="18"/>
      <c r="H31" s="19"/>
      <c r="J31" s="18"/>
      <c r="K31" s="19"/>
      <c r="M31" s="18"/>
      <c r="N31" s="19"/>
      <c r="P31" s="13"/>
      <c r="X31" s="14"/>
      <c r="Y31" s="11"/>
      <c r="AJ31" s="80" t="s">
        <v>125</v>
      </c>
      <c r="AK31" s="81">
        <v>0.3</v>
      </c>
      <c r="AL31" s="81">
        <v>0.19</v>
      </c>
    </row>
    <row r="32" spans="1:48" x14ac:dyDescent="0.3">
      <c r="A32" s="11"/>
      <c r="B32" s="11"/>
      <c r="D32" s="18"/>
      <c r="E32" s="19"/>
      <c r="G32" s="18"/>
      <c r="H32" s="19"/>
      <c r="J32" s="18"/>
      <c r="K32" s="19"/>
      <c r="M32" s="18"/>
      <c r="N32" s="19"/>
      <c r="P32" s="13"/>
      <c r="X32" s="14"/>
      <c r="Y32" s="11"/>
      <c r="AJ32" s="4" t="s">
        <v>129</v>
      </c>
      <c r="AK32" s="81">
        <v>1</v>
      </c>
      <c r="AL32" s="81">
        <v>0.93</v>
      </c>
    </row>
    <row r="33" spans="1:38" x14ac:dyDescent="0.3">
      <c r="A33" s="11"/>
      <c r="B33" s="11"/>
      <c r="D33" s="18"/>
      <c r="E33" s="19"/>
      <c r="G33" s="18"/>
      <c r="H33" s="19"/>
      <c r="J33" s="18"/>
      <c r="K33" s="19"/>
      <c r="M33" s="18"/>
      <c r="N33" s="19"/>
      <c r="P33" s="13"/>
      <c r="X33" s="14"/>
      <c r="Y33" s="11"/>
      <c r="AJ33" s="80" t="s">
        <v>74</v>
      </c>
      <c r="AK33" s="81">
        <v>0.7</v>
      </c>
      <c r="AL33" s="81">
        <v>0.64</v>
      </c>
    </row>
    <row r="34" spans="1:38" x14ac:dyDescent="0.3">
      <c r="A34" s="11"/>
      <c r="B34" s="11"/>
      <c r="D34" s="18"/>
      <c r="E34" s="19"/>
      <c r="G34" s="18"/>
      <c r="H34" s="19"/>
      <c r="J34" s="18"/>
      <c r="K34" s="19"/>
      <c r="M34" s="18"/>
      <c r="N34" s="19"/>
      <c r="P34" s="13"/>
      <c r="X34" s="14"/>
      <c r="Y34" s="11"/>
      <c r="AJ34" s="80" t="s">
        <v>126</v>
      </c>
      <c r="AK34" s="81">
        <v>0.25</v>
      </c>
      <c r="AL34" s="81">
        <v>0.24</v>
      </c>
    </row>
    <row r="35" spans="1:38" x14ac:dyDescent="0.3">
      <c r="A35" s="11"/>
      <c r="B35" s="11"/>
      <c r="D35" s="18"/>
      <c r="E35" s="19"/>
      <c r="G35" s="18"/>
      <c r="H35" s="19"/>
      <c r="J35" s="18"/>
      <c r="K35" s="19"/>
      <c r="M35" s="18"/>
      <c r="N35" s="19"/>
      <c r="P35" s="13"/>
      <c r="X35" s="14"/>
      <c r="Y35" s="11"/>
      <c r="AJ35" s="80" t="s">
        <v>77</v>
      </c>
      <c r="AK35" s="81">
        <v>0.05</v>
      </c>
      <c r="AL35" s="81">
        <v>0.05</v>
      </c>
    </row>
    <row r="36" spans="1:38" x14ac:dyDescent="0.3">
      <c r="A36" s="11"/>
      <c r="B36" s="11"/>
      <c r="D36" s="20"/>
      <c r="E36" s="21"/>
      <c r="G36" s="20"/>
      <c r="H36" s="21"/>
      <c r="J36" s="20"/>
      <c r="K36" s="21"/>
      <c r="M36" s="20"/>
      <c r="N36" s="21"/>
      <c r="P36" s="13"/>
      <c r="X36" s="14"/>
      <c r="Y36" s="11"/>
    </row>
    <row r="37" spans="1:38" x14ac:dyDescent="0.3">
      <c r="A37" s="11"/>
      <c r="B37" s="11"/>
      <c r="D37" s="16"/>
      <c r="E37" s="17"/>
      <c r="G37" s="16"/>
      <c r="H37" s="17"/>
      <c r="J37" s="16"/>
      <c r="K37" s="17"/>
      <c r="M37" s="16"/>
      <c r="N37" s="17"/>
      <c r="P37" s="13"/>
      <c r="X37" s="14"/>
      <c r="Y37" s="11"/>
    </row>
    <row r="38" spans="1:38" x14ac:dyDescent="0.3">
      <c r="A38" s="11"/>
      <c r="B38" s="11"/>
      <c r="D38" s="18"/>
      <c r="E38" s="19"/>
      <c r="G38" s="18"/>
      <c r="H38" s="19"/>
      <c r="J38" s="18"/>
      <c r="K38" s="19"/>
      <c r="M38" s="18"/>
      <c r="N38" s="19"/>
      <c r="P38" s="13"/>
      <c r="X38" s="14"/>
      <c r="Y38" s="11"/>
    </row>
    <row r="39" spans="1:38" x14ac:dyDescent="0.3">
      <c r="A39" s="11"/>
      <c r="B39" s="11"/>
      <c r="D39" s="18"/>
      <c r="E39" s="19"/>
      <c r="G39" s="18"/>
      <c r="H39" s="19"/>
      <c r="J39" s="18"/>
      <c r="K39" s="19"/>
      <c r="L39" s="18"/>
      <c r="N39" s="19"/>
      <c r="P39" s="13"/>
      <c r="X39" s="14"/>
      <c r="Y39" s="11"/>
    </row>
    <row r="40" spans="1:38" x14ac:dyDescent="0.3">
      <c r="A40" s="11"/>
      <c r="B40" s="11"/>
      <c r="D40" s="18"/>
      <c r="E40" s="19"/>
      <c r="G40" s="18"/>
      <c r="H40" s="19"/>
      <c r="J40" s="18"/>
      <c r="K40" s="19"/>
      <c r="M40" s="18"/>
      <c r="N40" s="19"/>
      <c r="P40" s="13"/>
      <c r="X40" s="14"/>
      <c r="Y40" s="11"/>
    </row>
    <row r="41" spans="1:38" x14ac:dyDescent="0.3">
      <c r="A41" s="11"/>
      <c r="B41" s="11"/>
      <c r="D41" s="18"/>
      <c r="E41" s="19"/>
      <c r="G41" s="18"/>
      <c r="H41" s="19"/>
      <c r="J41" s="18"/>
      <c r="K41" s="19"/>
      <c r="M41" s="18"/>
      <c r="N41" s="19"/>
      <c r="P41" s="13"/>
      <c r="X41" s="14"/>
      <c r="Y41" s="11"/>
    </row>
    <row r="42" spans="1:38" x14ac:dyDescent="0.3">
      <c r="A42" s="11"/>
      <c r="B42" s="11"/>
      <c r="D42" s="18"/>
      <c r="E42" s="19"/>
      <c r="G42" s="18"/>
      <c r="H42" s="19"/>
      <c r="J42" s="18"/>
      <c r="K42" s="19"/>
      <c r="M42" s="18"/>
      <c r="N42" s="19"/>
      <c r="P42" s="13"/>
      <c r="X42" s="14"/>
      <c r="Y42" s="11"/>
    </row>
    <row r="43" spans="1:38" x14ac:dyDescent="0.3">
      <c r="A43" s="11"/>
      <c r="B43" s="11"/>
      <c r="D43" s="18"/>
      <c r="E43" s="19"/>
      <c r="G43" s="18"/>
      <c r="H43" s="19"/>
      <c r="J43" s="18"/>
      <c r="K43" s="19"/>
      <c r="M43" s="18"/>
      <c r="N43" s="19"/>
      <c r="P43" s="13"/>
      <c r="X43" s="14"/>
      <c r="Y43" s="11"/>
    </row>
    <row r="44" spans="1:38" x14ac:dyDescent="0.3">
      <c r="A44" s="11"/>
      <c r="B44" s="11"/>
      <c r="D44" s="18"/>
      <c r="E44" s="19"/>
      <c r="G44" s="18"/>
      <c r="H44" s="19"/>
      <c r="J44" s="18"/>
      <c r="K44" s="19"/>
      <c r="M44" s="18"/>
      <c r="N44" s="19"/>
      <c r="P44" s="13"/>
      <c r="X44" s="14"/>
      <c r="Y44" s="11"/>
    </row>
    <row r="45" spans="1:38" x14ac:dyDescent="0.3">
      <c r="A45" s="11"/>
      <c r="B45" s="11"/>
      <c r="D45" s="20"/>
      <c r="E45" s="21"/>
      <c r="G45" s="20"/>
      <c r="H45" s="21"/>
      <c r="J45" s="20"/>
      <c r="K45" s="21"/>
      <c r="M45" s="20"/>
      <c r="N45" s="21"/>
      <c r="P45" s="13"/>
      <c r="X45" s="14"/>
      <c r="Y45" s="11"/>
    </row>
    <row r="46" spans="1:38" x14ac:dyDescent="0.3">
      <c r="A46" s="11"/>
      <c r="B46" s="11"/>
      <c r="D46" s="16"/>
      <c r="E46" s="17"/>
      <c r="G46" s="16"/>
      <c r="H46" s="17"/>
      <c r="J46" s="16"/>
      <c r="K46" s="17"/>
      <c r="M46" s="16"/>
      <c r="N46" s="17"/>
      <c r="P46" s="13"/>
      <c r="X46" s="14"/>
      <c r="Y46" s="11"/>
    </row>
    <row r="47" spans="1:38" x14ac:dyDescent="0.3">
      <c r="A47" s="11"/>
      <c r="B47" s="11"/>
      <c r="D47" s="18"/>
      <c r="E47" s="19"/>
      <c r="G47" s="18"/>
      <c r="H47" s="19"/>
      <c r="J47" s="18"/>
      <c r="K47" s="19"/>
      <c r="M47" s="18"/>
      <c r="N47" s="19"/>
      <c r="P47" s="13"/>
      <c r="X47" s="14"/>
      <c r="Y47" s="11"/>
    </row>
    <row r="48" spans="1:38" x14ac:dyDescent="0.3">
      <c r="A48" s="11"/>
      <c r="B48" s="11"/>
      <c r="D48" s="18"/>
      <c r="E48" s="19"/>
      <c r="G48" s="18"/>
      <c r="H48" s="19"/>
      <c r="J48" s="18"/>
      <c r="K48" s="19"/>
      <c r="M48" s="18"/>
      <c r="N48" s="19"/>
      <c r="P48" s="13"/>
      <c r="X48" s="14"/>
      <c r="Y48" s="11"/>
    </row>
    <row r="49" spans="1:25" x14ac:dyDescent="0.3">
      <c r="A49" s="11"/>
      <c r="B49" s="11"/>
      <c r="D49" s="18"/>
      <c r="E49" s="19"/>
      <c r="G49" s="18"/>
      <c r="H49" s="19"/>
      <c r="J49" s="18"/>
      <c r="K49" s="19"/>
      <c r="M49" s="18"/>
      <c r="N49" s="19"/>
      <c r="P49" s="13"/>
      <c r="X49" s="14"/>
      <c r="Y49" s="11"/>
    </row>
    <row r="50" spans="1:25" x14ac:dyDescent="0.3">
      <c r="A50" s="11"/>
      <c r="B50" s="11"/>
      <c r="D50" s="18"/>
      <c r="E50" s="19"/>
      <c r="G50" s="18"/>
      <c r="H50" s="19"/>
      <c r="J50" s="18"/>
      <c r="K50" s="19"/>
      <c r="M50" s="18"/>
      <c r="N50" s="19"/>
      <c r="P50" s="13"/>
      <c r="X50" s="14"/>
      <c r="Y50" s="11"/>
    </row>
    <row r="51" spans="1:25" x14ac:dyDescent="0.3">
      <c r="A51" s="11"/>
      <c r="B51" s="11"/>
      <c r="D51" s="18"/>
      <c r="E51" s="19"/>
      <c r="G51" s="18"/>
      <c r="H51" s="19"/>
      <c r="J51" s="18"/>
      <c r="K51" s="19"/>
      <c r="M51" s="18"/>
      <c r="N51" s="19"/>
      <c r="P51" s="13"/>
      <c r="X51" s="14"/>
      <c r="Y51" s="11"/>
    </row>
    <row r="52" spans="1:25" x14ac:dyDescent="0.3">
      <c r="A52" s="11"/>
      <c r="B52" s="11"/>
      <c r="D52" s="18"/>
      <c r="E52" s="19"/>
      <c r="G52" s="18"/>
      <c r="H52" s="19"/>
      <c r="J52" s="18"/>
      <c r="K52" s="19"/>
      <c r="M52" s="18"/>
      <c r="N52" s="19"/>
      <c r="P52" s="13"/>
      <c r="X52" s="14"/>
      <c r="Y52" s="11"/>
    </row>
    <row r="53" spans="1:25" x14ac:dyDescent="0.3">
      <c r="A53" s="11"/>
      <c r="B53" s="11"/>
      <c r="D53" s="18"/>
      <c r="E53" s="19"/>
      <c r="G53" s="18"/>
      <c r="H53" s="19"/>
      <c r="J53" s="18"/>
      <c r="K53" s="19"/>
      <c r="M53" s="18"/>
      <c r="N53" s="19"/>
      <c r="P53" s="13"/>
      <c r="X53" s="14"/>
      <c r="Y53" s="11"/>
    </row>
    <row r="54" spans="1:25" x14ac:dyDescent="0.3">
      <c r="A54" s="11"/>
      <c r="B54" s="11"/>
      <c r="D54" s="18"/>
      <c r="E54" s="19"/>
      <c r="G54" s="18"/>
      <c r="H54" s="19"/>
      <c r="J54" s="18"/>
      <c r="K54" s="19"/>
      <c r="M54" s="18"/>
      <c r="N54" s="19"/>
      <c r="P54" s="13"/>
      <c r="X54" s="14"/>
      <c r="Y54" s="11"/>
    </row>
    <row r="55" spans="1:25" x14ac:dyDescent="0.3">
      <c r="A55" s="11"/>
      <c r="B55" s="11"/>
      <c r="D55" s="18"/>
      <c r="E55" s="19"/>
      <c r="G55" s="18"/>
      <c r="H55" s="19"/>
      <c r="J55" s="18"/>
      <c r="K55" s="19"/>
      <c r="M55" s="18"/>
      <c r="N55" s="19"/>
      <c r="P55" s="13"/>
      <c r="X55" s="14"/>
      <c r="Y55" s="11"/>
    </row>
    <row r="56" spans="1:25" x14ac:dyDescent="0.3">
      <c r="A56" s="11"/>
      <c r="B56" s="11"/>
      <c r="D56" s="18"/>
      <c r="E56" s="19"/>
      <c r="G56" s="18"/>
      <c r="H56" s="19"/>
      <c r="J56" s="18"/>
      <c r="K56" s="19"/>
      <c r="M56" s="18"/>
      <c r="N56" s="19"/>
      <c r="P56" s="13"/>
      <c r="X56" s="14"/>
      <c r="Y56" s="11"/>
    </row>
    <row r="57" spans="1:25" x14ac:dyDescent="0.3">
      <c r="A57" s="11"/>
      <c r="B57" s="11"/>
      <c r="D57" s="18"/>
      <c r="E57" s="19"/>
      <c r="G57" s="18"/>
      <c r="H57" s="19"/>
      <c r="J57" s="18"/>
      <c r="K57" s="19"/>
      <c r="M57" s="18"/>
      <c r="N57" s="19"/>
      <c r="P57" s="13"/>
      <c r="X57" s="14"/>
      <c r="Y57" s="11"/>
    </row>
    <row r="58" spans="1:25" x14ac:dyDescent="0.3">
      <c r="A58" s="11"/>
      <c r="B58" s="11"/>
      <c r="D58" s="20"/>
      <c r="E58" s="21"/>
      <c r="G58" s="20"/>
      <c r="H58" s="21"/>
      <c r="J58" s="20"/>
      <c r="K58" s="21"/>
      <c r="M58" s="20"/>
      <c r="N58" s="21"/>
      <c r="P58" s="13"/>
      <c r="X58" s="14"/>
      <c r="Y58" s="11"/>
    </row>
    <row r="59" spans="1:25" ht="15" thickBot="1" x14ac:dyDescent="0.35">
      <c r="A59" s="11"/>
      <c r="B59" s="11"/>
      <c r="P59" s="22"/>
      <c r="Q59" s="23"/>
      <c r="R59" s="23"/>
      <c r="S59" s="23"/>
      <c r="T59" s="23"/>
      <c r="U59" s="23"/>
      <c r="V59" s="23"/>
      <c r="W59" s="23"/>
      <c r="X59" s="24"/>
      <c r="Y59" s="11"/>
    </row>
    <row r="60" spans="1:25"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5" thickBot="1" x14ac:dyDescent="0.35"/>
    <row r="62" spans="1:25" x14ac:dyDescent="0.3">
      <c r="A62" s="8"/>
      <c r="B62" s="9"/>
      <c r="C62" s="9"/>
      <c r="D62" s="9"/>
      <c r="E62" s="25" t="s">
        <v>88</v>
      </c>
      <c r="F62" s="25"/>
      <c r="G62" s="9"/>
      <c r="H62" s="9"/>
      <c r="I62" s="1053" t="s">
        <v>89</v>
      </c>
      <c r="J62" s="1053"/>
      <c r="K62" s="10"/>
    </row>
    <row r="63" spans="1:25" x14ac:dyDescent="0.3">
      <c r="A63" s="1054" t="s">
        <v>128</v>
      </c>
      <c r="B63" s="1055"/>
      <c r="C63" s="1055"/>
      <c r="E63" s="1052" t="s">
        <v>90</v>
      </c>
      <c r="F63" s="1052"/>
      <c r="I63" s="27" t="s">
        <v>91</v>
      </c>
      <c r="J63" s="27">
        <v>0</v>
      </c>
      <c r="K63" s="14"/>
    </row>
    <row r="64" spans="1:25" x14ac:dyDescent="0.3">
      <c r="A64" s="28" t="s">
        <v>92</v>
      </c>
      <c r="E64" s="27" t="s">
        <v>93</v>
      </c>
      <c r="F64" s="29">
        <v>20</v>
      </c>
      <c r="I64" s="27" t="s">
        <v>94</v>
      </c>
      <c r="J64" s="27">
        <v>0</v>
      </c>
      <c r="K64" s="14"/>
    </row>
    <row r="65" spans="1:11" x14ac:dyDescent="0.3">
      <c r="A65" s="30" t="s">
        <v>124</v>
      </c>
      <c r="B65" s="31">
        <v>0.3</v>
      </c>
      <c r="C65" s="31">
        <v>0.7</v>
      </c>
      <c r="D65" s="32"/>
      <c r="E65" s="27" t="s">
        <v>95</v>
      </c>
      <c r="F65" s="29">
        <v>20</v>
      </c>
      <c r="I65" s="27" t="s">
        <v>96</v>
      </c>
      <c r="J65" s="27">
        <v>0</v>
      </c>
      <c r="K65" s="14"/>
    </row>
    <row r="66" spans="1:11" x14ac:dyDescent="0.3">
      <c r="A66" s="30" t="s">
        <v>125</v>
      </c>
      <c r="B66" s="31">
        <v>0.3</v>
      </c>
      <c r="C66" s="31">
        <v>0.7</v>
      </c>
      <c r="D66" s="32"/>
      <c r="E66" s="27" t="s">
        <v>97</v>
      </c>
      <c r="F66" s="29">
        <v>20</v>
      </c>
      <c r="I66" s="27" t="s">
        <v>98</v>
      </c>
      <c r="J66" s="27">
        <v>0</v>
      </c>
      <c r="K66" s="14"/>
    </row>
    <row r="67" spans="1:11" x14ac:dyDescent="0.3">
      <c r="A67" s="30" t="s">
        <v>126</v>
      </c>
      <c r="B67" s="31">
        <v>0.3</v>
      </c>
      <c r="C67" s="31">
        <v>0.7</v>
      </c>
      <c r="D67" s="32"/>
      <c r="E67" s="27" t="s">
        <v>99</v>
      </c>
      <c r="F67" s="29">
        <v>20</v>
      </c>
      <c r="I67" s="27" t="s">
        <v>100</v>
      </c>
      <c r="J67" s="27">
        <v>0</v>
      </c>
      <c r="K67" s="14"/>
    </row>
    <row r="68" spans="1:11" x14ac:dyDescent="0.3">
      <c r="A68" s="30" t="s">
        <v>127</v>
      </c>
      <c r="B68" s="31">
        <v>0.1</v>
      </c>
      <c r="C68" s="31">
        <v>0.9</v>
      </c>
      <c r="D68" s="32"/>
      <c r="E68" s="27" t="s">
        <v>101</v>
      </c>
      <c r="F68" s="29">
        <v>20</v>
      </c>
      <c r="I68" s="27" t="s">
        <v>102</v>
      </c>
      <c r="J68" s="27">
        <v>0</v>
      </c>
      <c r="K68" s="14"/>
    </row>
    <row r="69" spans="1:11" x14ac:dyDescent="0.3">
      <c r="A69" s="13"/>
      <c r="B69" s="32"/>
      <c r="C69" s="32"/>
      <c r="D69" s="32"/>
      <c r="E69" s="27" t="s">
        <v>103</v>
      </c>
      <c r="F69" s="29">
        <v>100</v>
      </c>
      <c r="I69" s="27" t="s">
        <v>104</v>
      </c>
      <c r="J69" s="27">
        <v>0</v>
      </c>
      <c r="K69" s="14"/>
    </row>
    <row r="70" spans="1:11" x14ac:dyDescent="0.3">
      <c r="A70" s="28" t="s">
        <v>88</v>
      </c>
      <c r="B70" s="32"/>
      <c r="C70" s="32"/>
      <c r="D70" s="32"/>
      <c r="E70" s="27"/>
      <c r="F70" s="29"/>
      <c r="I70" s="27" t="s">
        <v>105</v>
      </c>
      <c r="J70" s="33">
        <f>+F71</f>
        <v>72</v>
      </c>
      <c r="K70" s="14"/>
    </row>
    <row r="71" spans="1:11" x14ac:dyDescent="0.3">
      <c r="A71" s="30" t="s">
        <v>124</v>
      </c>
      <c r="B71" s="31">
        <v>0.71</v>
      </c>
      <c r="C71" s="31">
        <v>0.28999999999999998</v>
      </c>
      <c r="D71" s="32"/>
      <c r="E71" s="27" t="s">
        <v>106</v>
      </c>
      <c r="F71" s="34">
        <v>72</v>
      </c>
      <c r="G71" s="35"/>
      <c r="H71" s="35"/>
      <c r="I71" s="27" t="s">
        <v>107</v>
      </c>
      <c r="J71" s="36"/>
      <c r="K71" s="14"/>
    </row>
    <row r="72" spans="1:11" x14ac:dyDescent="0.3">
      <c r="A72" s="30" t="s">
        <v>125</v>
      </c>
      <c r="B72" s="31">
        <v>0.62</v>
      </c>
      <c r="C72" s="31">
        <v>0.38</v>
      </c>
      <c r="D72" s="32"/>
      <c r="E72" s="27"/>
      <c r="F72" s="29"/>
      <c r="G72" s="37">
        <v>20</v>
      </c>
      <c r="H72" s="37"/>
      <c r="I72" s="27" t="s">
        <v>108</v>
      </c>
      <c r="J72" s="38">
        <v>20</v>
      </c>
      <c r="K72" s="14"/>
    </row>
    <row r="73" spans="1:11" x14ac:dyDescent="0.3">
      <c r="A73" s="30" t="s">
        <v>126</v>
      </c>
      <c r="B73" s="31">
        <v>0.76</v>
      </c>
      <c r="C73" s="31">
        <v>0.24</v>
      </c>
      <c r="D73" s="32"/>
      <c r="E73" s="27" t="s">
        <v>109</v>
      </c>
      <c r="F73" s="29">
        <f>+F71-F74/2</f>
        <v>70.5</v>
      </c>
      <c r="G73" s="37">
        <v>20</v>
      </c>
      <c r="H73" s="37"/>
      <c r="I73" s="27" t="s">
        <v>110</v>
      </c>
      <c r="J73" s="38">
        <v>20</v>
      </c>
      <c r="K73" s="14"/>
    </row>
    <row r="74" spans="1:11" x14ac:dyDescent="0.3">
      <c r="A74" s="30" t="s">
        <v>127</v>
      </c>
      <c r="B74" s="31">
        <v>0.92</v>
      </c>
      <c r="C74" s="31">
        <v>0.08</v>
      </c>
      <c r="D74" s="32"/>
      <c r="E74" s="27" t="s">
        <v>111</v>
      </c>
      <c r="F74" s="29">
        <v>3</v>
      </c>
      <c r="G74" s="37"/>
      <c r="H74" s="37"/>
      <c r="I74" s="27" t="s">
        <v>112</v>
      </c>
      <c r="J74" s="38"/>
      <c r="K74" s="14"/>
    </row>
    <row r="75" spans="1:11" ht="15" thickBot="1" x14ac:dyDescent="0.35">
      <c r="A75" s="22"/>
      <c r="B75" s="23"/>
      <c r="C75" s="23"/>
      <c r="D75" s="23"/>
      <c r="E75" s="39" t="s">
        <v>113</v>
      </c>
      <c r="F75" s="40">
        <f>SUM(F64:F69)-F73-F74</f>
        <v>126.5</v>
      </c>
      <c r="G75" s="41">
        <v>20</v>
      </c>
      <c r="H75" s="41"/>
      <c r="I75" s="42" t="s">
        <v>97</v>
      </c>
      <c r="J75" s="23"/>
      <c r="K75" s="24"/>
    </row>
    <row r="76" spans="1:11" x14ac:dyDescent="0.3">
      <c r="A76" s="8"/>
      <c r="B76" s="9"/>
      <c r="C76" s="9"/>
      <c r="D76" s="9"/>
      <c r="E76" s="25" t="s">
        <v>88</v>
      </c>
      <c r="F76" s="25"/>
      <c r="G76" s="43">
        <v>20</v>
      </c>
      <c r="H76" s="43"/>
      <c r="I76" s="1053" t="s">
        <v>89</v>
      </c>
      <c r="J76" s="1053"/>
      <c r="K76" s="10"/>
    </row>
    <row r="77" spans="1:11" x14ac:dyDescent="0.3">
      <c r="A77" s="44" t="s">
        <v>129</v>
      </c>
      <c r="B77" s="26"/>
      <c r="C77" s="26"/>
      <c r="E77" s="1052" t="s">
        <v>90</v>
      </c>
      <c r="F77" s="1052"/>
      <c r="G77" s="37"/>
      <c r="H77" s="37"/>
      <c r="I77" s="27" t="s">
        <v>91</v>
      </c>
      <c r="J77" s="27">
        <v>0</v>
      </c>
      <c r="K77" s="14"/>
    </row>
    <row r="78" spans="1:11" x14ac:dyDescent="0.3">
      <c r="A78" s="28" t="s">
        <v>92</v>
      </c>
      <c r="E78" s="27" t="s">
        <v>93</v>
      </c>
      <c r="F78" s="29">
        <v>20</v>
      </c>
      <c r="I78" s="27" t="s">
        <v>94</v>
      </c>
      <c r="J78" s="27">
        <v>0</v>
      </c>
      <c r="K78" s="14"/>
    </row>
    <row r="79" spans="1:11" x14ac:dyDescent="0.3">
      <c r="A79" s="30" t="s">
        <v>74</v>
      </c>
      <c r="B79" s="31">
        <v>0.7</v>
      </c>
      <c r="C79" s="31">
        <v>0.3</v>
      </c>
      <c r="E79" s="27" t="s">
        <v>95</v>
      </c>
      <c r="F79" s="29">
        <v>20</v>
      </c>
      <c r="I79" s="27" t="s">
        <v>96</v>
      </c>
      <c r="J79" s="27">
        <v>0</v>
      </c>
      <c r="K79" s="14"/>
    </row>
    <row r="80" spans="1:11" x14ac:dyDescent="0.3">
      <c r="A80" s="30" t="s">
        <v>77</v>
      </c>
      <c r="B80" s="31">
        <v>0.05</v>
      </c>
      <c r="C80" s="31">
        <v>0.95</v>
      </c>
      <c r="E80" s="27" t="s">
        <v>97</v>
      </c>
      <c r="F80" s="29">
        <v>20</v>
      </c>
      <c r="I80" s="27" t="s">
        <v>98</v>
      </c>
      <c r="J80" s="27">
        <v>0</v>
      </c>
      <c r="K80" s="14"/>
    </row>
    <row r="81" spans="1:11" x14ac:dyDescent="0.3">
      <c r="A81" s="30" t="s">
        <v>126</v>
      </c>
      <c r="B81" s="31">
        <v>0.25</v>
      </c>
      <c r="C81" s="31">
        <v>0.75</v>
      </c>
      <c r="E81" s="27" t="s">
        <v>99</v>
      </c>
      <c r="F81" s="29">
        <v>20</v>
      </c>
      <c r="I81" s="27" t="s">
        <v>100</v>
      </c>
      <c r="J81" s="27">
        <v>0</v>
      </c>
      <c r="K81" s="14"/>
    </row>
    <row r="82" spans="1:11" x14ac:dyDescent="0.3">
      <c r="A82" s="30"/>
      <c r="B82" s="31"/>
      <c r="C82" s="31"/>
      <c r="E82" s="27" t="s">
        <v>101</v>
      </c>
      <c r="F82" s="29">
        <v>20</v>
      </c>
      <c r="I82" s="27" t="s">
        <v>102</v>
      </c>
      <c r="J82" s="27">
        <v>0</v>
      </c>
      <c r="K82" s="14"/>
    </row>
    <row r="83" spans="1:11" x14ac:dyDescent="0.3">
      <c r="A83" s="13"/>
      <c r="B83" s="32"/>
      <c r="C83" s="32"/>
      <c r="E83" s="27" t="s">
        <v>103</v>
      </c>
      <c r="F83" s="29">
        <v>100</v>
      </c>
      <c r="I83" s="27" t="s">
        <v>104</v>
      </c>
      <c r="J83" s="27">
        <v>0</v>
      </c>
      <c r="K83" s="14"/>
    </row>
    <row r="84" spans="1:11" x14ac:dyDescent="0.3">
      <c r="A84" s="28" t="s">
        <v>88</v>
      </c>
      <c r="B84" s="32"/>
      <c r="C84" s="32"/>
      <c r="E84" s="27"/>
      <c r="F84" s="29"/>
      <c r="I84" s="27" t="s">
        <v>105</v>
      </c>
      <c r="J84" s="33">
        <f>+F85</f>
        <v>92</v>
      </c>
      <c r="K84" s="14"/>
    </row>
    <row r="85" spans="1:11" x14ac:dyDescent="0.3">
      <c r="A85" s="30" t="s">
        <v>74</v>
      </c>
      <c r="B85" s="31">
        <v>0.92</v>
      </c>
      <c r="C85" s="31">
        <v>0.08</v>
      </c>
      <c r="E85" s="27" t="s">
        <v>106</v>
      </c>
      <c r="F85" s="34">
        <v>92</v>
      </c>
      <c r="I85" s="27" t="s">
        <v>107</v>
      </c>
      <c r="J85" s="27"/>
      <c r="K85" s="14"/>
    </row>
    <row r="86" spans="1:11" x14ac:dyDescent="0.3">
      <c r="A86" s="30" t="s">
        <v>76</v>
      </c>
      <c r="B86" s="31">
        <v>0.92</v>
      </c>
      <c r="C86" s="31">
        <v>0.08</v>
      </c>
      <c r="E86" s="27"/>
      <c r="F86" s="29"/>
      <c r="I86" s="27" t="s">
        <v>108</v>
      </c>
      <c r="J86" s="27"/>
      <c r="K86" s="14"/>
    </row>
    <row r="87" spans="1:11" x14ac:dyDescent="0.3">
      <c r="A87" s="30" t="s">
        <v>77</v>
      </c>
      <c r="B87" s="31">
        <v>0.94</v>
      </c>
      <c r="C87" s="31">
        <v>0.06</v>
      </c>
      <c r="E87" s="27" t="s">
        <v>109</v>
      </c>
      <c r="F87" s="29">
        <f>+F85-F88/2</f>
        <v>90.5</v>
      </c>
      <c r="I87" s="27" t="s">
        <v>110</v>
      </c>
      <c r="J87" s="27"/>
      <c r="K87" s="14"/>
    </row>
    <row r="88" spans="1:11" x14ac:dyDescent="0.3">
      <c r="A88" s="30"/>
      <c r="B88" s="31"/>
      <c r="C88" s="31"/>
      <c r="E88" s="27" t="s">
        <v>111</v>
      </c>
      <c r="F88" s="29">
        <v>3</v>
      </c>
      <c r="I88" s="27" t="s">
        <v>112</v>
      </c>
      <c r="J88" s="27"/>
      <c r="K88" s="14"/>
    </row>
    <row r="89" spans="1:11" ht="15" thickBot="1" x14ac:dyDescent="0.35">
      <c r="A89" s="22"/>
      <c r="B89" s="23"/>
      <c r="C89" s="23"/>
      <c r="D89" s="23"/>
      <c r="E89" s="39" t="s">
        <v>113</v>
      </c>
      <c r="F89" s="40">
        <f>SUM(F78:F83)-F87-F88</f>
        <v>106.5</v>
      </c>
      <c r="G89" s="23"/>
      <c r="H89" s="23"/>
      <c r="I89" s="23"/>
      <c r="J89" s="23"/>
      <c r="K89" s="24"/>
    </row>
    <row r="90" spans="1:11" x14ac:dyDescent="0.3">
      <c r="A90" s="8"/>
      <c r="B90" s="9"/>
      <c r="C90" s="9"/>
      <c r="D90" s="9"/>
      <c r="E90" s="25" t="s">
        <v>88</v>
      </c>
      <c r="F90" s="25"/>
      <c r="G90" s="43">
        <v>20</v>
      </c>
      <c r="H90" s="43"/>
      <c r="I90" s="1053" t="s">
        <v>89</v>
      </c>
      <c r="J90" s="1053"/>
      <c r="K90" s="10"/>
    </row>
    <row r="91" spans="1:11" x14ac:dyDescent="0.3">
      <c r="A91" s="44" t="s">
        <v>130</v>
      </c>
      <c r="B91" s="26"/>
      <c r="C91" s="26"/>
      <c r="E91" s="1052" t="s">
        <v>90</v>
      </c>
      <c r="F91" s="1052"/>
      <c r="G91" s="37"/>
      <c r="H91" s="37"/>
      <c r="I91" s="27" t="s">
        <v>91</v>
      </c>
      <c r="J91" s="27">
        <v>0</v>
      </c>
      <c r="K91" s="14"/>
    </row>
    <row r="92" spans="1:11" x14ac:dyDescent="0.3">
      <c r="A92" s="28" t="s">
        <v>92</v>
      </c>
      <c r="E92" s="27" t="s">
        <v>93</v>
      </c>
      <c r="F92" s="29">
        <v>20</v>
      </c>
      <c r="I92" s="27" t="s">
        <v>94</v>
      </c>
      <c r="J92" s="27">
        <v>0</v>
      </c>
      <c r="K92" s="14"/>
    </row>
    <row r="93" spans="1:11" x14ac:dyDescent="0.3">
      <c r="A93" s="30" t="s">
        <v>74</v>
      </c>
      <c r="B93" s="31">
        <v>0.7</v>
      </c>
      <c r="C93" s="31">
        <v>0.3</v>
      </c>
      <c r="E93" s="27" t="s">
        <v>95</v>
      </c>
      <c r="F93" s="29">
        <v>20</v>
      </c>
      <c r="I93" s="27" t="s">
        <v>96</v>
      </c>
      <c r="J93" s="27">
        <v>0</v>
      </c>
      <c r="K93" s="14"/>
    </row>
    <row r="94" spans="1:11" x14ac:dyDescent="0.3">
      <c r="A94" s="30" t="s">
        <v>77</v>
      </c>
      <c r="B94" s="31">
        <v>0.05</v>
      </c>
      <c r="C94" s="31">
        <v>0.95</v>
      </c>
      <c r="E94" s="27" t="s">
        <v>97</v>
      </c>
      <c r="F94" s="29">
        <v>20</v>
      </c>
      <c r="I94" s="27" t="s">
        <v>98</v>
      </c>
      <c r="J94" s="27">
        <v>0</v>
      </c>
      <c r="K94" s="14"/>
    </row>
    <row r="95" spans="1:11" x14ac:dyDescent="0.3">
      <c r="A95" s="30" t="s">
        <v>126</v>
      </c>
      <c r="B95" s="31">
        <v>0.25</v>
      </c>
      <c r="C95" s="31">
        <v>0.75</v>
      </c>
      <c r="E95" s="27" t="s">
        <v>99</v>
      </c>
      <c r="F95" s="29">
        <v>20</v>
      </c>
      <c r="I95" s="27" t="s">
        <v>100</v>
      </c>
      <c r="J95" s="27">
        <v>0</v>
      </c>
      <c r="K95" s="14"/>
    </row>
    <row r="96" spans="1:11" x14ac:dyDescent="0.3">
      <c r="A96" s="30"/>
      <c r="B96" s="31"/>
      <c r="C96" s="31"/>
      <c r="E96" s="27" t="s">
        <v>101</v>
      </c>
      <c r="F96" s="29">
        <v>20</v>
      </c>
      <c r="I96" s="27" t="s">
        <v>102</v>
      </c>
      <c r="J96" s="27">
        <v>0</v>
      </c>
      <c r="K96" s="14"/>
    </row>
    <row r="97" spans="1:11" x14ac:dyDescent="0.3">
      <c r="A97" s="13"/>
      <c r="B97" s="32"/>
      <c r="C97" s="32"/>
      <c r="E97" s="27" t="s">
        <v>103</v>
      </c>
      <c r="F97" s="29">
        <v>100</v>
      </c>
      <c r="I97" s="27" t="s">
        <v>104</v>
      </c>
      <c r="J97" s="27">
        <v>0</v>
      </c>
      <c r="K97" s="14"/>
    </row>
    <row r="98" spans="1:11" x14ac:dyDescent="0.3">
      <c r="A98" s="28" t="s">
        <v>88</v>
      </c>
      <c r="B98" s="32"/>
      <c r="C98" s="32"/>
      <c r="E98" s="27"/>
      <c r="F98" s="29"/>
      <c r="I98" s="27" t="s">
        <v>105</v>
      </c>
      <c r="J98" s="33">
        <f>+F99</f>
        <v>54</v>
      </c>
      <c r="K98" s="14"/>
    </row>
    <row r="99" spans="1:11" x14ac:dyDescent="0.3">
      <c r="A99" s="30" t="s">
        <v>74</v>
      </c>
      <c r="B99" s="31">
        <v>0.71</v>
      </c>
      <c r="C99" s="31">
        <v>0.28999999999999998</v>
      </c>
      <c r="E99" s="27" t="s">
        <v>106</v>
      </c>
      <c r="F99" s="34">
        <v>54</v>
      </c>
      <c r="I99" s="27" t="s">
        <v>107</v>
      </c>
      <c r="J99" s="27"/>
      <c r="K99" s="14"/>
    </row>
    <row r="100" spans="1:11" x14ac:dyDescent="0.3">
      <c r="A100" s="30" t="s">
        <v>77</v>
      </c>
      <c r="B100" s="31">
        <v>0.91</v>
      </c>
      <c r="C100" s="31">
        <v>0.09</v>
      </c>
      <c r="E100" s="27"/>
      <c r="F100" s="29"/>
      <c r="I100" s="27" t="s">
        <v>108</v>
      </c>
      <c r="J100" s="27"/>
      <c r="K100" s="14"/>
    </row>
    <row r="101" spans="1:11" x14ac:dyDescent="0.3">
      <c r="A101" s="30" t="s">
        <v>126</v>
      </c>
      <c r="B101" s="31">
        <v>0</v>
      </c>
      <c r="C101" s="31">
        <v>1</v>
      </c>
      <c r="E101" s="27" t="s">
        <v>109</v>
      </c>
      <c r="F101" s="29">
        <f>+F99-F102/2</f>
        <v>52.5</v>
      </c>
      <c r="I101" s="27" t="s">
        <v>110</v>
      </c>
      <c r="J101" s="27"/>
      <c r="K101" s="14"/>
    </row>
    <row r="102" spans="1:11" x14ac:dyDescent="0.3">
      <c r="A102" s="30"/>
      <c r="B102" s="31">
        <v>0</v>
      </c>
      <c r="C102" s="31">
        <v>0</v>
      </c>
      <c r="E102" s="27" t="s">
        <v>111</v>
      </c>
      <c r="F102" s="29">
        <v>3</v>
      </c>
      <c r="I102" s="27" t="s">
        <v>112</v>
      </c>
      <c r="J102" s="27"/>
      <c r="K102" s="14"/>
    </row>
    <row r="103" spans="1:11" ht="15" thickBot="1" x14ac:dyDescent="0.35">
      <c r="A103" s="22"/>
      <c r="B103" s="23"/>
      <c r="C103" s="23"/>
      <c r="D103" s="23"/>
      <c r="E103" s="39" t="s">
        <v>113</v>
      </c>
      <c r="F103" s="40">
        <f>SUM(F92:F97)-F101-F102</f>
        <v>144.5</v>
      </c>
      <c r="G103" s="23"/>
      <c r="H103" s="23"/>
      <c r="I103" s="23"/>
      <c r="J103" s="23"/>
      <c r="K103" s="24"/>
    </row>
    <row r="104" spans="1:11" x14ac:dyDescent="0.3">
      <c r="A104" s="8"/>
      <c r="B104" s="9"/>
      <c r="C104" s="9"/>
      <c r="D104" s="9"/>
      <c r="E104" s="25" t="s">
        <v>88</v>
      </c>
      <c r="F104" s="25"/>
      <c r="G104" s="43">
        <v>20</v>
      </c>
      <c r="H104" s="43"/>
      <c r="I104" s="1053" t="s">
        <v>89</v>
      </c>
      <c r="J104" s="1053"/>
      <c r="K104" s="10"/>
    </row>
    <row r="105" spans="1:11" x14ac:dyDescent="0.3">
      <c r="A105" s="44" t="s">
        <v>131</v>
      </c>
      <c r="B105" s="26"/>
      <c r="C105" s="26"/>
      <c r="E105" s="1052" t="s">
        <v>90</v>
      </c>
      <c r="F105" s="1052"/>
      <c r="G105" s="37"/>
      <c r="H105" s="37"/>
      <c r="I105" s="27" t="s">
        <v>91</v>
      </c>
      <c r="J105" s="27">
        <v>0</v>
      </c>
      <c r="K105" s="14"/>
    </row>
    <row r="106" spans="1:11" x14ac:dyDescent="0.3">
      <c r="A106" s="28" t="s">
        <v>92</v>
      </c>
      <c r="E106" s="27" t="s">
        <v>93</v>
      </c>
      <c r="F106" s="29">
        <v>20</v>
      </c>
      <c r="I106" s="27" t="s">
        <v>94</v>
      </c>
      <c r="J106" s="27">
        <v>0</v>
      </c>
      <c r="K106" s="14"/>
    </row>
    <row r="107" spans="1:11" x14ac:dyDescent="0.3">
      <c r="A107" s="30" t="s">
        <v>74</v>
      </c>
      <c r="B107" s="31">
        <v>0.7</v>
      </c>
      <c r="C107" s="31">
        <v>0.3</v>
      </c>
      <c r="E107" s="27" t="s">
        <v>95</v>
      </c>
      <c r="F107" s="29">
        <v>20</v>
      </c>
      <c r="I107" s="27" t="s">
        <v>96</v>
      </c>
      <c r="J107" s="27">
        <v>0</v>
      </c>
      <c r="K107" s="14"/>
    </row>
    <row r="108" spans="1:11" x14ac:dyDescent="0.3">
      <c r="A108" s="30" t="s">
        <v>77</v>
      </c>
      <c r="B108" s="31">
        <v>0.05</v>
      </c>
      <c r="C108" s="31">
        <v>0.95</v>
      </c>
      <c r="E108" s="27" t="s">
        <v>97</v>
      </c>
      <c r="F108" s="29">
        <v>20</v>
      </c>
      <c r="I108" s="27" t="s">
        <v>98</v>
      </c>
      <c r="J108" s="27">
        <v>0</v>
      </c>
      <c r="K108" s="14"/>
    </row>
    <row r="109" spans="1:11" x14ac:dyDescent="0.3">
      <c r="A109" s="30" t="s">
        <v>126</v>
      </c>
      <c r="B109" s="31">
        <v>0.25</v>
      </c>
      <c r="C109" s="31">
        <v>0.75</v>
      </c>
      <c r="E109" s="27" t="s">
        <v>99</v>
      </c>
      <c r="F109" s="29">
        <v>20</v>
      </c>
      <c r="I109" s="27" t="s">
        <v>100</v>
      </c>
      <c r="J109" s="27">
        <v>0</v>
      </c>
      <c r="K109" s="14"/>
    </row>
    <row r="110" spans="1:11" x14ac:dyDescent="0.3">
      <c r="A110" s="30"/>
      <c r="B110" s="31"/>
      <c r="C110" s="31"/>
      <c r="E110" s="27" t="s">
        <v>101</v>
      </c>
      <c r="F110" s="29">
        <v>20</v>
      </c>
      <c r="I110" s="27" t="s">
        <v>102</v>
      </c>
      <c r="J110" s="27">
        <v>0</v>
      </c>
      <c r="K110" s="14"/>
    </row>
    <row r="111" spans="1:11" x14ac:dyDescent="0.3">
      <c r="A111" s="13"/>
      <c r="B111" s="32"/>
      <c r="C111" s="32"/>
      <c r="E111" s="27" t="s">
        <v>103</v>
      </c>
      <c r="F111" s="29">
        <v>100</v>
      </c>
      <c r="I111" s="27" t="s">
        <v>104</v>
      </c>
      <c r="J111" s="27">
        <v>0</v>
      </c>
      <c r="K111" s="14"/>
    </row>
    <row r="112" spans="1:11" x14ac:dyDescent="0.3">
      <c r="A112" s="28" t="s">
        <v>88</v>
      </c>
      <c r="B112" s="32"/>
      <c r="C112" s="32"/>
      <c r="E112" s="27"/>
      <c r="F112" s="29"/>
      <c r="I112" s="27" t="s">
        <v>105</v>
      </c>
      <c r="J112" s="33">
        <f>+F113</f>
        <v>51</v>
      </c>
      <c r="K112" s="14"/>
    </row>
    <row r="113" spans="1:11" x14ac:dyDescent="0.3">
      <c r="A113" s="30" t="s">
        <v>74</v>
      </c>
      <c r="B113" s="31">
        <v>0.45</v>
      </c>
      <c r="C113" s="31">
        <v>0.34</v>
      </c>
      <c r="E113" s="27" t="s">
        <v>106</v>
      </c>
      <c r="F113" s="34">
        <v>51</v>
      </c>
      <c r="I113" s="27" t="s">
        <v>107</v>
      </c>
      <c r="J113" s="27"/>
      <c r="K113" s="14"/>
    </row>
    <row r="114" spans="1:11" x14ac:dyDescent="0.3">
      <c r="A114" s="30" t="s">
        <v>77</v>
      </c>
      <c r="B114" s="31">
        <v>0.88</v>
      </c>
      <c r="C114" s="31">
        <v>0.12</v>
      </c>
      <c r="E114" s="27"/>
      <c r="F114" s="29"/>
      <c r="I114" s="27" t="s">
        <v>108</v>
      </c>
      <c r="J114" s="27"/>
      <c r="K114" s="14"/>
    </row>
    <row r="115" spans="1:11" x14ac:dyDescent="0.3">
      <c r="A115" s="30" t="s">
        <v>126</v>
      </c>
      <c r="B115" s="31">
        <v>0.62</v>
      </c>
      <c r="C115" s="31">
        <v>1</v>
      </c>
      <c r="E115" s="27" t="s">
        <v>109</v>
      </c>
      <c r="F115" s="29">
        <f>+F113-F116/2</f>
        <v>49.5</v>
      </c>
      <c r="I115" s="27" t="s">
        <v>110</v>
      </c>
      <c r="J115" s="27"/>
      <c r="K115" s="14"/>
    </row>
    <row r="116" spans="1:11" x14ac:dyDescent="0.3">
      <c r="A116" s="30"/>
      <c r="B116" s="31"/>
      <c r="C116" s="31"/>
      <c r="E116" s="27" t="s">
        <v>111</v>
      </c>
      <c r="F116" s="29">
        <v>3</v>
      </c>
      <c r="I116" s="27" t="s">
        <v>112</v>
      </c>
      <c r="J116" s="27"/>
      <c r="K116" s="14"/>
    </row>
    <row r="117" spans="1:11" ht="15" thickBot="1" x14ac:dyDescent="0.35">
      <c r="A117" s="22"/>
      <c r="B117" s="23"/>
      <c r="C117" s="23"/>
      <c r="D117" s="23"/>
      <c r="E117" s="39" t="s">
        <v>113</v>
      </c>
      <c r="F117" s="40">
        <f>SUM(F106:F111)-F115-F116</f>
        <v>147.5</v>
      </c>
      <c r="G117" s="23"/>
      <c r="H117" s="23"/>
      <c r="I117" s="23"/>
      <c r="J117" s="23"/>
      <c r="K117" s="24"/>
    </row>
    <row r="120" spans="1:11" x14ac:dyDescent="0.3">
      <c r="B120" s="15"/>
      <c r="C120" s="15"/>
    </row>
  </sheetData>
  <mergeCells count="23">
    <mergeCell ref="A1:B6"/>
    <mergeCell ref="F1:O1"/>
    <mergeCell ref="F2:O2"/>
    <mergeCell ref="F3:O3"/>
    <mergeCell ref="F4:O4"/>
    <mergeCell ref="F5:O5"/>
    <mergeCell ref="D8:E8"/>
    <mergeCell ref="G8:H8"/>
    <mergeCell ref="J8:K8"/>
    <mergeCell ref="M8:N8"/>
    <mergeCell ref="D9:E9"/>
    <mergeCell ref="G9:H9"/>
    <mergeCell ref="J9:K9"/>
    <mergeCell ref="M9:N9"/>
    <mergeCell ref="E91:F91"/>
    <mergeCell ref="I104:J104"/>
    <mergeCell ref="E105:F105"/>
    <mergeCell ref="I62:J62"/>
    <mergeCell ref="A63:C63"/>
    <mergeCell ref="E63:F63"/>
    <mergeCell ref="I76:J76"/>
    <mergeCell ref="E77:F77"/>
    <mergeCell ref="I90:J90"/>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9C62-0AAD-464F-8AC3-B8A609512F72}">
  <dimension ref="A1:AW120"/>
  <sheetViews>
    <sheetView showGridLines="0" zoomScale="65" zoomScaleNormal="65" workbookViewId="0">
      <selection activeCell="F5" sqref="F5:O5"/>
    </sheetView>
  </sheetViews>
  <sheetFormatPr baseColWidth="10" defaultRowHeight="14.4" x14ac:dyDescent="0.3"/>
  <cols>
    <col min="3" max="3" width="6.44140625" customWidth="1"/>
    <col min="4" max="5" width="23.44140625" customWidth="1"/>
    <col min="6" max="6" width="6" customWidth="1"/>
    <col min="7" max="8" width="23.5546875" customWidth="1"/>
    <col min="9" max="9" width="6" customWidth="1"/>
    <col min="10" max="11" width="23.5546875" customWidth="1"/>
    <col min="12" max="12" width="6" customWidth="1"/>
    <col min="13" max="14" width="23.5546875" customWidth="1"/>
    <col min="15" max="15" width="6" customWidth="1"/>
    <col min="25" max="25" width="22.6640625" customWidth="1"/>
    <col min="36" max="36" width="53.5546875" bestFit="1" customWidth="1"/>
    <col min="37" max="37" width="26.6640625" bestFit="1" customWidth="1"/>
    <col min="38" max="38" width="30" bestFit="1" customWidth="1"/>
    <col min="39" max="39" width="21" bestFit="1" customWidth="1"/>
    <col min="42" max="42" width="34.6640625" bestFit="1" customWidth="1"/>
    <col min="43" max="43" width="21.21875" bestFit="1" customWidth="1"/>
    <col min="44" max="44" width="26.33203125" bestFit="1" customWidth="1"/>
    <col min="45" max="45" width="22.6640625" bestFit="1" customWidth="1"/>
    <col min="46" max="46" width="25.44140625" bestFit="1" customWidth="1"/>
    <col min="47" max="47" width="33" bestFit="1" customWidth="1"/>
    <col min="48" max="48" width="22.109375" bestFit="1" customWidth="1"/>
    <col min="49" max="49" width="19.88671875" bestFit="1" customWidth="1"/>
  </cols>
  <sheetData>
    <row r="1" spans="1:49" ht="21" x14ac:dyDescent="0.4">
      <c r="A1" s="1042"/>
      <c r="B1" s="1042"/>
      <c r="F1" s="1043" t="s">
        <v>85</v>
      </c>
      <c r="G1" s="1043"/>
      <c r="H1" s="1043"/>
      <c r="I1" s="1043"/>
      <c r="J1" s="1043"/>
      <c r="K1" s="1043"/>
      <c r="L1" s="1043"/>
      <c r="M1" s="1043"/>
      <c r="N1" s="1043"/>
      <c r="O1" s="1043"/>
      <c r="P1" s="8"/>
      <c r="Q1" s="9"/>
      <c r="R1" s="9"/>
      <c r="S1" s="9"/>
      <c r="T1" s="9"/>
      <c r="U1" s="9"/>
      <c r="V1" s="9"/>
      <c r="W1" s="9"/>
      <c r="X1" s="10"/>
      <c r="Y1" s="11"/>
      <c r="AJ1" s="27" t="s">
        <v>114</v>
      </c>
      <c r="AK1" s="27" t="s">
        <v>115</v>
      </c>
      <c r="AL1" s="45" t="s">
        <v>92</v>
      </c>
      <c r="AM1" s="45" t="s">
        <v>88</v>
      </c>
      <c r="AP1" s="417" t="s">
        <v>116</v>
      </c>
      <c r="AQ1" s="418" t="s">
        <v>105</v>
      </c>
      <c r="AR1" s="418" t="s">
        <v>107</v>
      </c>
      <c r="AS1" s="418" t="s">
        <v>108</v>
      </c>
      <c r="AT1" s="416" t="s">
        <v>110</v>
      </c>
      <c r="AU1" s="416" t="s">
        <v>796</v>
      </c>
      <c r="AV1" s="416" t="s">
        <v>94</v>
      </c>
      <c r="AW1" s="416" t="s">
        <v>96</v>
      </c>
    </row>
    <row r="2" spans="1:49" ht="15" thickBot="1" x14ac:dyDescent="0.35">
      <c r="A2" s="1042"/>
      <c r="B2" s="1042"/>
      <c r="F2" s="1044" t="s">
        <v>86</v>
      </c>
      <c r="G2" s="1044"/>
      <c r="H2" s="1044"/>
      <c r="I2" s="1044"/>
      <c r="J2" s="1044"/>
      <c r="K2" s="1044"/>
      <c r="L2" s="1044"/>
      <c r="M2" s="1044"/>
      <c r="N2" s="1044"/>
      <c r="O2" s="1044"/>
      <c r="P2" s="13"/>
      <c r="X2" s="14"/>
      <c r="Y2" s="11"/>
      <c r="AJ2" s="46" t="s">
        <v>128</v>
      </c>
      <c r="AK2" s="30" t="s">
        <v>124</v>
      </c>
      <c r="AL2" s="47">
        <f>+B65</f>
        <v>0.3</v>
      </c>
      <c r="AM2" s="47">
        <v>0.22</v>
      </c>
      <c r="AP2" s="46" t="s">
        <v>128</v>
      </c>
      <c r="AQ2" s="27">
        <v>69</v>
      </c>
      <c r="AR2" s="27">
        <v>74</v>
      </c>
      <c r="AS2" s="50">
        <v>80</v>
      </c>
      <c r="AT2" s="27">
        <v>82</v>
      </c>
      <c r="AU2" s="27">
        <v>72</v>
      </c>
      <c r="AV2" s="27">
        <v>72</v>
      </c>
      <c r="AW2" s="27">
        <v>85</v>
      </c>
    </row>
    <row r="3" spans="1:49" ht="15" customHeight="1" thickBot="1" x14ac:dyDescent="0.35">
      <c r="A3" s="1042"/>
      <c r="B3" s="1042"/>
      <c r="F3" s="1045" t="s">
        <v>117</v>
      </c>
      <c r="G3" s="1046"/>
      <c r="H3" s="1046"/>
      <c r="I3" s="1046"/>
      <c r="J3" s="1046"/>
      <c r="K3" s="1046"/>
      <c r="L3" s="1046"/>
      <c r="M3" s="1046"/>
      <c r="N3" s="1046"/>
      <c r="O3" s="1046"/>
      <c r="P3" s="13"/>
      <c r="X3" s="14"/>
      <c r="Y3" s="11"/>
      <c r="AJ3" s="46" t="s">
        <v>128</v>
      </c>
      <c r="AK3" s="30" t="s">
        <v>125</v>
      </c>
      <c r="AL3" s="47">
        <f>+B66</f>
        <v>0.3</v>
      </c>
      <c r="AM3" s="47">
        <v>0.25</v>
      </c>
      <c r="AP3" s="48" t="s">
        <v>129</v>
      </c>
      <c r="AQ3" s="27"/>
      <c r="AR3" s="27"/>
      <c r="AS3" s="50">
        <v>68</v>
      </c>
      <c r="AT3" s="27">
        <v>76</v>
      </c>
      <c r="AU3" s="27">
        <v>52</v>
      </c>
      <c r="AV3" s="27">
        <v>92</v>
      </c>
      <c r="AW3" s="27">
        <v>94</v>
      </c>
    </row>
    <row r="4" spans="1:49" ht="22.8" customHeight="1" thickBot="1" x14ac:dyDescent="0.4">
      <c r="A4" s="1042"/>
      <c r="B4" s="1042"/>
      <c r="F4" s="1047" t="s">
        <v>949</v>
      </c>
      <c r="G4" s="1047"/>
      <c r="H4" s="1047"/>
      <c r="I4" s="1047"/>
      <c r="J4" s="1047"/>
      <c r="K4" s="1047"/>
      <c r="L4" s="1047"/>
      <c r="M4" s="1047"/>
      <c r="N4" s="1047"/>
      <c r="O4" s="1047"/>
      <c r="P4" s="13"/>
      <c r="X4" s="14"/>
      <c r="Y4" s="11"/>
      <c r="AJ4" s="46" t="s">
        <v>128</v>
      </c>
      <c r="AK4" s="30" t="s">
        <v>126</v>
      </c>
      <c r="AL4" s="47">
        <f>+B67</f>
        <v>0.3</v>
      </c>
      <c r="AM4" s="47">
        <v>0.28000000000000003</v>
      </c>
      <c r="AP4" s="48" t="s">
        <v>965</v>
      </c>
      <c r="AQ4" s="27"/>
      <c r="AR4" s="27"/>
      <c r="AS4" s="50">
        <v>74</v>
      </c>
      <c r="AT4" s="27">
        <v>69</v>
      </c>
      <c r="AU4" s="27">
        <v>58</v>
      </c>
      <c r="AV4" s="27">
        <v>54</v>
      </c>
      <c r="AW4" s="27">
        <v>89</v>
      </c>
    </row>
    <row r="5" spans="1:49" ht="15" thickBot="1" x14ac:dyDescent="0.35">
      <c r="A5" s="1042"/>
      <c r="B5" s="1042"/>
      <c r="F5" s="1048" t="s">
        <v>948</v>
      </c>
      <c r="G5" s="1049"/>
      <c r="H5" s="1049"/>
      <c r="I5" s="1049"/>
      <c r="J5" s="1049"/>
      <c r="K5" s="1049"/>
      <c r="L5" s="1049"/>
      <c r="M5" s="1049"/>
      <c r="N5" s="1049"/>
      <c r="O5" s="1049"/>
      <c r="P5" s="13"/>
      <c r="X5" s="14"/>
      <c r="Y5" s="11"/>
      <c r="AJ5" s="46" t="s">
        <v>128</v>
      </c>
      <c r="AK5" s="30" t="s">
        <v>127</v>
      </c>
      <c r="AL5" s="47">
        <f>+B68</f>
        <v>0.1</v>
      </c>
      <c r="AM5" s="47">
        <v>0.09</v>
      </c>
      <c r="AP5" s="48" t="s">
        <v>966</v>
      </c>
      <c r="AQ5" s="27"/>
      <c r="AR5" s="27"/>
      <c r="AS5" s="50">
        <v>57</v>
      </c>
      <c r="AT5" s="27">
        <v>88</v>
      </c>
      <c r="AU5" s="27">
        <v>51</v>
      </c>
      <c r="AV5" s="27">
        <v>51</v>
      </c>
      <c r="AW5" s="27">
        <v>80</v>
      </c>
    </row>
    <row r="6" spans="1:49" x14ac:dyDescent="0.3">
      <c r="A6" s="1042"/>
      <c r="B6" s="1042"/>
      <c r="P6" s="13"/>
      <c r="X6" s="14"/>
      <c r="Y6" s="11"/>
      <c r="AJ6" s="48" t="s">
        <v>129</v>
      </c>
      <c r="AK6" s="30" t="s">
        <v>74</v>
      </c>
      <c r="AL6" s="47">
        <v>0.7</v>
      </c>
      <c r="AM6" s="47">
        <v>0.65</v>
      </c>
    </row>
    <row r="7" spans="1:49" ht="15" thickBot="1" x14ac:dyDescent="0.35">
      <c r="A7" s="11"/>
      <c r="B7" s="11"/>
      <c r="P7" s="13"/>
      <c r="X7" s="14"/>
      <c r="Y7" s="11"/>
      <c r="AJ7" s="48" t="s">
        <v>129</v>
      </c>
      <c r="AK7" s="30" t="s">
        <v>77</v>
      </c>
      <c r="AL7" s="47">
        <v>0.05</v>
      </c>
      <c r="AM7" s="47">
        <v>0.05</v>
      </c>
    </row>
    <row r="8" spans="1:49" ht="15" thickBot="1" x14ac:dyDescent="0.35">
      <c r="A8" s="11"/>
      <c r="B8" s="11"/>
      <c r="D8" s="1045" t="s">
        <v>119</v>
      </c>
      <c r="E8" s="1050"/>
      <c r="G8" s="1045" t="s">
        <v>120</v>
      </c>
      <c r="H8" s="1050"/>
      <c r="J8" s="1045" t="s">
        <v>121</v>
      </c>
      <c r="K8" s="1050"/>
      <c r="M8" s="1045" t="s">
        <v>950</v>
      </c>
      <c r="N8" s="1050"/>
      <c r="P8" s="13"/>
      <c r="X8" s="14"/>
      <c r="Y8" s="11"/>
      <c r="AJ8" s="48" t="s">
        <v>129</v>
      </c>
      <c r="AK8" s="30" t="s">
        <v>126</v>
      </c>
      <c r="AL8" s="47">
        <v>0.25</v>
      </c>
      <c r="AM8" s="47">
        <v>0.25</v>
      </c>
    </row>
    <row r="9" spans="1:49" x14ac:dyDescent="0.3">
      <c r="A9" s="11"/>
      <c r="B9" s="11"/>
      <c r="D9" s="1051" t="s">
        <v>87</v>
      </c>
      <c r="E9" s="1051"/>
      <c r="G9" s="1051" t="s">
        <v>87</v>
      </c>
      <c r="H9" s="1051"/>
      <c r="J9" s="1051" t="s">
        <v>87</v>
      </c>
      <c r="K9" s="1051"/>
      <c r="L9" s="15"/>
      <c r="M9" s="1051" t="s">
        <v>87</v>
      </c>
      <c r="N9" s="1051"/>
      <c r="O9" s="15"/>
      <c r="P9" s="13"/>
      <c r="X9" s="14"/>
      <c r="Y9" s="11"/>
      <c r="AJ9" s="48" t="s">
        <v>130</v>
      </c>
      <c r="AK9" s="30" t="s">
        <v>74</v>
      </c>
      <c r="AL9" s="31">
        <v>0.7</v>
      </c>
      <c r="AM9" s="31">
        <v>0.63</v>
      </c>
    </row>
    <row r="10" spans="1:49" x14ac:dyDescent="0.3">
      <c r="A10" s="11"/>
      <c r="B10" s="11"/>
      <c r="D10" s="16"/>
      <c r="E10" s="17"/>
      <c r="G10" s="16"/>
      <c r="H10" s="17"/>
      <c r="J10" s="16"/>
      <c r="K10" s="17"/>
      <c r="M10" s="16"/>
      <c r="N10" s="17"/>
      <c r="P10" s="13"/>
      <c r="X10" s="14"/>
      <c r="Y10" s="11"/>
      <c r="AJ10" s="48" t="s">
        <v>130</v>
      </c>
      <c r="AK10" s="30" t="s">
        <v>77</v>
      </c>
      <c r="AL10" s="31">
        <v>0.05</v>
      </c>
      <c r="AM10" s="31">
        <v>0.05</v>
      </c>
    </row>
    <row r="11" spans="1:49" x14ac:dyDescent="0.3">
      <c r="A11" s="11"/>
      <c r="B11" s="11"/>
      <c r="D11" s="18"/>
      <c r="E11" s="19"/>
      <c r="G11" s="18"/>
      <c r="H11" s="19"/>
      <c r="J11" s="18"/>
      <c r="K11" s="19"/>
      <c r="M11" s="18"/>
      <c r="N11" s="19"/>
      <c r="P11" s="13"/>
      <c r="X11" s="14"/>
      <c r="Y11" s="11"/>
      <c r="AJ11" s="48" t="s">
        <v>130</v>
      </c>
      <c r="AK11" s="30" t="s">
        <v>126</v>
      </c>
      <c r="AL11" s="31">
        <v>0.25</v>
      </c>
      <c r="AM11" s="31">
        <v>0.21</v>
      </c>
    </row>
    <row r="12" spans="1:49" x14ac:dyDescent="0.3">
      <c r="A12" s="11"/>
      <c r="B12" s="11"/>
      <c r="D12" s="18"/>
      <c r="E12" s="19"/>
      <c r="G12" s="18"/>
      <c r="H12" s="19"/>
      <c r="J12" s="18"/>
      <c r="K12" s="19"/>
      <c r="M12" s="18"/>
      <c r="N12" s="19"/>
      <c r="P12" s="13"/>
      <c r="X12" s="14"/>
      <c r="Y12" s="11"/>
      <c r="AJ12" s="48" t="s">
        <v>131</v>
      </c>
      <c r="AK12" s="30" t="s">
        <v>74</v>
      </c>
      <c r="AL12" s="31">
        <v>0.6</v>
      </c>
      <c r="AM12" s="31">
        <v>0.56000000000000005</v>
      </c>
    </row>
    <row r="13" spans="1:49" x14ac:dyDescent="0.3">
      <c r="A13" s="11"/>
      <c r="B13" s="11"/>
      <c r="D13" s="18"/>
      <c r="E13" s="19"/>
      <c r="G13" s="18"/>
      <c r="H13" s="19"/>
      <c r="J13" s="18"/>
      <c r="K13" s="19"/>
      <c r="M13" s="18"/>
      <c r="N13" s="19"/>
      <c r="P13" s="13"/>
      <c r="X13" s="14"/>
      <c r="Y13" s="11"/>
      <c r="AJ13" s="48" t="s">
        <v>131</v>
      </c>
      <c r="AK13" s="30" t="s">
        <v>77</v>
      </c>
      <c r="AL13" s="31">
        <v>0</v>
      </c>
      <c r="AM13" s="31">
        <v>0</v>
      </c>
    </row>
    <row r="14" spans="1:49" x14ac:dyDescent="0.3">
      <c r="A14" s="11"/>
      <c r="B14" s="11"/>
      <c r="D14" s="18"/>
      <c r="E14" s="19"/>
      <c r="G14" s="18"/>
      <c r="H14" s="19"/>
      <c r="J14" s="18"/>
      <c r="K14" s="19"/>
      <c r="M14" s="18"/>
      <c r="N14" s="19"/>
      <c r="P14" s="13"/>
      <c r="X14" s="14"/>
      <c r="Y14" s="11"/>
      <c r="AJ14" s="48" t="s">
        <v>131</v>
      </c>
      <c r="AK14" s="30" t="s">
        <v>126</v>
      </c>
      <c r="AL14" s="31">
        <v>0.4</v>
      </c>
      <c r="AM14" s="31">
        <v>0.24</v>
      </c>
    </row>
    <row r="15" spans="1:49" x14ac:dyDescent="0.3">
      <c r="A15" s="11"/>
      <c r="B15" s="11"/>
      <c r="D15" s="18"/>
      <c r="E15" s="19"/>
      <c r="G15" s="18"/>
      <c r="H15" s="19"/>
      <c r="J15" s="18"/>
      <c r="K15" s="19"/>
      <c r="M15" s="18"/>
      <c r="N15" s="19"/>
      <c r="P15" s="13"/>
      <c r="X15" s="14"/>
      <c r="Y15" s="11"/>
    </row>
    <row r="16" spans="1:49" x14ac:dyDescent="0.3">
      <c r="A16" s="11"/>
      <c r="B16" s="11"/>
      <c r="D16" s="18"/>
      <c r="E16" s="19"/>
      <c r="G16" s="18"/>
      <c r="H16" s="19"/>
      <c r="J16" s="18"/>
      <c r="K16" s="19"/>
      <c r="M16" s="18"/>
      <c r="N16" s="19"/>
      <c r="P16" s="13"/>
      <c r="X16" s="14"/>
      <c r="Y16" s="11"/>
    </row>
    <row r="17" spans="1:49" x14ac:dyDescent="0.3">
      <c r="A17" s="11"/>
      <c r="B17" s="11"/>
      <c r="D17" s="18"/>
      <c r="E17" s="19"/>
      <c r="G17" s="18"/>
      <c r="H17" s="19"/>
      <c r="J17" s="18"/>
      <c r="K17" s="19"/>
      <c r="M17" s="18"/>
      <c r="N17" s="19"/>
      <c r="P17" s="13"/>
      <c r="X17" s="14"/>
      <c r="Y17" s="11"/>
    </row>
    <row r="18" spans="1:49" x14ac:dyDescent="0.3">
      <c r="A18" s="11"/>
      <c r="B18" s="11"/>
      <c r="D18" s="20"/>
      <c r="E18" s="21"/>
      <c r="G18" s="20"/>
      <c r="H18" s="21"/>
      <c r="J18" s="20"/>
      <c r="K18" s="21"/>
      <c r="M18" s="20"/>
      <c r="N18" s="21"/>
      <c r="P18" s="13"/>
      <c r="X18" s="14"/>
      <c r="Y18" s="11"/>
      <c r="AJ18" s="79" t="s">
        <v>238</v>
      </c>
      <c r="AK18" t="s">
        <v>240</v>
      </c>
      <c r="AL18" t="s">
        <v>241</v>
      </c>
      <c r="AP18" s="79" t="s">
        <v>238</v>
      </c>
      <c r="AQ18" t="s">
        <v>584</v>
      </c>
      <c r="AR18" t="s">
        <v>585</v>
      </c>
      <c r="AS18" t="s">
        <v>586</v>
      </c>
      <c r="AT18" t="s">
        <v>689</v>
      </c>
      <c r="AU18" t="s">
        <v>797</v>
      </c>
      <c r="AV18" t="s">
        <v>874</v>
      </c>
      <c r="AW18" t="s">
        <v>967</v>
      </c>
    </row>
    <row r="19" spans="1:49" x14ac:dyDescent="0.3">
      <c r="A19" s="11"/>
      <c r="B19" s="11"/>
      <c r="D19" s="16"/>
      <c r="E19" s="17"/>
      <c r="G19" s="16"/>
      <c r="H19" s="17"/>
      <c r="J19" s="16"/>
      <c r="K19" s="17"/>
      <c r="M19" s="16"/>
      <c r="N19" s="17"/>
      <c r="P19" s="13"/>
      <c r="X19" s="14"/>
      <c r="Y19" s="11"/>
      <c r="AJ19" s="4" t="s">
        <v>130</v>
      </c>
      <c r="AK19" s="81">
        <v>1</v>
      </c>
      <c r="AL19" s="81">
        <v>0.89</v>
      </c>
      <c r="AP19" s="4" t="s">
        <v>128</v>
      </c>
      <c r="AQ19">
        <v>69</v>
      </c>
      <c r="AR19">
        <v>74</v>
      </c>
      <c r="AS19" s="82">
        <v>80</v>
      </c>
      <c r="AT19">
        <v>82</v>
      </c>
      <c r="AU19">
        <v>72</v>
      </c>
      <c r="AV19">
        <v>72</v>
      </c>
      <c r="AW19">
        <v>85</v>
      </c>
    </row>
    <row r="20" spans="1:49" x14ac:dyDescent="0.3">
      <c r="A20" s="11"/>
      <c r="B20" s="11"/>
      <c r="D20" s="18"/>
      <c r="E20" s="19"/>
      <c r="G20" s="18"/>
      <c r="H20" s="19"/>
      <c r="J20" s="18"/>
      <c r="K20" s="19"/>
      <c r="M20" s="18"/>
      <c r="N20" s="19"/>
      <c r="P20" s="13"/>
      <c r="X20" s="14"/>
      <c r="Y20" s="11"/>
      <c r="AJ20" s="80" t="s">
        <v>74</v>
      </c>
      <c r="AK20" s="81">
        <v>0.7</v>
      </c>
      <c r="AL20" s="81">
        <v>0.63</v>
      </c>
      <c r="AP20" s="4" t="s">
        <v>129</v>
      </c>
      <c r="AS20" s="82">
        <v>68</v>
      </c>
      <c r="AT20">
        <v>76</v>
      </c>
      <c r="AU20">
        <v>52</v>
      </c>
      <c r="AV20">
        <v>92</v>
      </c>
      <c r="AW20">
        <v>94</v>
      </c>
    </row>
    <row r="21" spans="1:49" x14ac:dyDescent="0.3">
      <c r="A21" s="11"/>
      <c r="B21" s="11"/>
      <c r="D21" s="18"/>
      <c r="E21" s="19"/>
      <c r="G21" s="18"/>
      <c r="H21" s="19"/>
      <c r="J21" s="18"/>
      <c r="K21" s="19"/>
      <c r="M21" s="18"/>
      <c r="N21" s="19"/>
      <c r="P21" s="13"/>
      <c r="X21" s="14"/>
      <c r="Y21" s="11"/>
      <c r="AJ21" s="80" t="s">
        <v>126</v>
      </c>
      <c r="AK21" s="81">
        <v>0.25</v>
      </c>
      <c r="AL21" s="81">
        <v>0.21</v>
      </c>
      <c r="AP21" s="4" t="s">
        <v>965</v>
      </c>
      <c r="AS21" s="82">
        <v>74</v>
      </c>
      <c r="AT21">
        <v>69</v>
      </c>
      <c r="AU21">
        <v>58</v>
      </c>
      <c r="AV21">
        <v>54</v>
      </c>
      <c r="AW21">
        <v>89</v>
      </c>
    </row>
    <row r="22" spans="1:49" x14ac:dyDescent="0.3">
      <c r="A22" s="11"/>
      <c r="B22" s="11"/>
      <c r="D22" s="18"/>
      <c r="E22" s="19"/>
      <c r="G22" s="18"/>
      <c r="H22" s="19"/>
      <c r="J22" s="18"/>
      <c r="K22" s="19"/>
      <c r="M22" s="18"/>
      <c r="N22" s="19"/>
      <c r="P22" s="13"/>
      <c r="X22" s="14"/>
      <c r="Y22" s="11"/>
      <c r="AJ22" s="80" t="s">
        <v>77</v>
      </c>
      <c r="AK22" s="81">
        <v>0.05</v>
      </c>
      <c r="AL22" s="81">
        <v>0.05</v>
      </c>
      <c r="AP22" s="4" t="s">
        <v>966</v>
      </c>
      <c r="AS22" s="82">
        <v>57</v>
      </c>
      <c r="AT22">
        <v>88</v>
      </c>
      <c r="AU22">
        <v>51</v>
      </c>
      <c r="AV22">
        <v>51</v>
      </c>
      <c r="AW22">
        <v>80</v>
      </c>
    </row>
    <row r="23" spans="1:49" x14ac:dyDescent="0.3">
      <c r="A23" s="11"/>
      <c r="B23" s="11"/>
      <c r="D23" s="18"/>
      <c r="E23" s="19"/>
      <c r="G23" s="18"/>
      <c r="H23" s="19"/>
      <c r="J23" s="18"/>
      <c r="K23" s="19"/>
      <c r="M23" s="18"/>
      <c r="N23" s="19"/>
      <c r="P23" s="13"/>
      <c r="X23" s="14"/>
      <c r="Y23" s="11"/>
      <c r="AJ23" s="4" t="s">
        <v>131</v>
      </c>
      <c r="AK23" s="81">
        <v>1</v>
      </c>
      <c r="AL23" s="81">
        <v>0.8</v>
      </c>
    </row>
    <row r="24" spans="1:49" x14ac:dyDescent="0.3">
      <c r="A24" s="11"/>
      <c r="B24" s="11"/>
      <c r="D24" s="18"/>
      <c r="E24" s="19"/>
      <c r="G24" s="18"/>
      <c r="H24" s="19"/>
      <c r="J24" s="18"/>
      <c r="K24" s="19"/>
      <c r="M24" s="18"/>
      <c r="N24" s="19"/>
      <c r="P24" s="13"/>
      <c r="X24" s="14"/>
      <c r="Y24" s="11"/>
      <c r="AJ24" s="80" t="s">
        <v>74</v>
      </c>
      <c r="AK24" s="81">
        <v>0.6</v>
      </c>
      <c r="AL24" s="81">
        <v>0.56000000000000005</v>
      </c>
    </row>
    <row r="25" spans="1:49" x14ac:dyDescent="0.3">
      <c r="A25" s="11"/>
      <c r="B25" s="11"/>
      <c r="D25" s="18"/>
      <c r="E25" s="19"/>
      <c r="G25" s="18"/>
      <c r="H25" s="19"/>
      <c r="J25" s="18"/>
      <c r="K25" s="19"/>
      <c r="M25" s="18"/>
      <c r="N25" s="19"/>
      <c r="P25" s="13"/>
      <c r="X25" s="14"/>
      <c r="Y25" s="11"/>
      <c r="AJ25" s="80" t="s">
        <v>126</v>
      </c>
      <c r="AK25" s="81">
        <v>0.4</v>
      </c>
      <c r="AL25" s="81">
        <v>0.24</v>
      </c>
    </row>
    <row r="26" spans="1:49" x14ac:dyDescent="0.3">
      <c r="A26" s="11"/>
      <c r="B26" s="11"/>
      <c r="D26" s="18"/>
      <c r="E26" s="19"/>
      <c r="G26" s="18"/>
      <c r="H26" s="19"/>
      <c r="J26" s="18"/>
      <c r="K26" s="19"/>
      <c r="M26" s="18"/>
      <c r="N26" s="19"/>
      <c r="P26" s="13"/>
      <c r="X26" s="14"/>
      <c r="Y26" s="11"/>
      <c r="AJ26" s="80" t="s">
        <v>77</v>
      </c>
      <c r="AK26" s="81">
        <v>0</v>
      </c>
      <c r="AL26" s="81">
        <v>0</v>
      </c>
    </row>
    <row r="27" spans="1:49" x14ac:dyDescent="0.3">
      <c r="A27" s="11"/>
      <c r="B27" s="11"/>
      <c r="D27" s="20"/>
      <c r="E27" s="21"/>
      <c r="G27" s="20"/>
      <c r="H27" s="21"/>
      <c r="J27" s="20"/>
      <c r="K27" s="21"/>
      <c r="M27" s="20"/>
      <c r="N27" s="21"/>
      <c r="P27" s="13"/>
      <c r="X27" s="14"/>
      <c r="Y27" s="11"/>
      <c r="AJ27" s="4" t="s">
        <v>128</v>
      </c>
      <c r="AK27" s="81">
        <v>1</v>
      </c>
      <c r="AL27" s="81">
        <v>0.84000000000000008</v>
      </c>
    </row>
    <row r="28" spans="1:49" x14ac:dyDescent="0.3">
      <c r="A28" s="11"/>
      <c r="B28" s="11"/>
      <c r="D28" s="16"/>
      <c r="E28" s="17"/>
      <c r="G28" s="16"/>
      <c r="H28" s="17"/>
      <c r="J28" s="16"/>
      <c r="K28" s="17"/>
      <c r="M28" s="16"/>
      <c r="N28" s="17"/>
      <c r="P28" s="13"/>
      <c r="X28" s="14"/>
      <c r="Y28" s="11"/>
      <c r="AJ28" s="80" t="s">
        <v>124</v>
      </c>
      <c r="AK28" s="81">
        <v>0.3</v>
      </c>
      <c r="AL28" s="81">
        <v>0.22</v>
      </c>
    </row>
    <row r="29" spans="1:49" x14ac:dyDescent="0.3">
      <c r="A29" s="11"/>
      <c r="B29" s="11"/>
      <c r="D29" s="18"/>
      <c r="E29" s="19"/>
      <c r="G29" s="18"/>
      <c r="H29" s="19"/>
      <c r="J29" s="18"/>
      <c r="K29" s="19"/>
      <c r="M29" s="18"/>
      <c r="N29" s="19"/>
      <c r="P29" s="13"/>
      <c r="X29" s="14"/>
      <c r="Y29" s="11"/>
      <c r="AJ29" s="80" t="s">
        <v>127</v>
      </c>
      <c r="AK29" s="81">
        <v>0.1</v>
      </c>
      <c r="AL29" s="81">
        <v>0.09</v>
      </c>
    </row>
    <row r="30" spans="1:49" x14ac:dyDescent="0.3">
      <c r="A30" s="11"/>
      <c r="B30" s="11"/>
      <c r="D30" s="18"/>
      <c r="E30" s="19"/>
      <c r="G30" s="18"/>
      <c r="H30" s="19"/>
      <c r="J30" s="18"/>
      <c r="K30" s="19"/>
      <c r="M30" s="18"/>
      <c r="N30" s="19"/>
      <c r="P30" s="13"/>
      <c r="X30" s="14"/>
      <c r="Y30" s="11"/>
      <c r="AJ30" s="80" t="s">
        <v>126</v>
      </c>
      <c r="AK30" s="81">
        <v>0.3</v>
      </c>
      <c r="AL30" s="81">
        <v>0.28000000000000003</v>
      </c>
    </row>
    <row r="31" spans="1:49" x14ac:dyDescent="0.3">
      <c r="A31" s="11"/>
      <c r="B31" s="11"/>
      <c r="D31" s="18"/>
      <c r="E31" s="19"/>
      <c r="G31" s="18"/>
      <c r="H31" s="19"/>
      <c r="J31" s="18"/>
      <c r="K31" s="19"/>
      <c r="M31" s="18"/>
      <c r="N31" s="19"/>
      <c r="P31" s="13"/>
      <c r="X31" s="14"/>
      <c r="Y31" s="11"/>
      <c r="AJ31" s="80" t="s">
        <v>125</v>
      </c>
      <c r="AK31" s="81">
        <v>0.3</v>
      </c>
      <c r="AL31" s="81">
        <v>0.25</v>
      </c>
    </row>
    <row r="32" spans="1:49" x14ac:dyDescent="0.3">
      <c r="A32" s="11"/>
      <c r="B32" s="11"/>
      <c r="D32" s="18"/>
      <c r="E32" s="19"/>
      <c r="G32" s="18"/>
      <c r="H32" s="19"/>
      <c r="J32" s="18"/>
      <c r="K32" s="19"/>
      <c r="M32" s="18"/>
      <c r="N32" s="19"/>
      <c r="P32" s="13"/>
      <c r="X32" s="14"/>
      <c r="Y32" s="11"/>
      <c r="AJ32" s="4" t="s">
        <v>129</v>
      </c>
      <c r="AK32" s="81">
        <v>1</v>
      </c>
      <c r="AL32" s="81">
        <v>0.95000000000000007</v>
      </c>
    </row>
    <row r="33" spans="1:38" x14ac:dyDescent="0.3">
      <c r="A33" s="11"/>
      <c r="B33" s="11"/>
      <c r="D33" s="18"/>
      <c r="E33" s="19"/>
      <c r="G33" s="18"/>
      <c r="H33" s="19"/>
      <c r="J33" s="18"/>
      <c r="K33" s="19"/>
      <c r="M33" s="18"/>
      <c r="N33" s="19"/>
      <c r="P33" s="13"/>
      <c r="X33" s="14"/>
      <c r="Y33" s="11"/>
      <c r="AJ33" s="80" t="s">
        <v>74</v>
      </c>
      <c r="AK33" s="81">
        <v>0.7</v>
      </c>
      <c r="AL33" s="81">
        <v>0.65</v>
      </c>
    </row>
    <row r="34" spans="1:38" x14ac:dyDescent="0.3">
      <c r="A34" s="11"/>
      <c r="B34" s="11"/>
      <c r="D34" s="18"/>
      <c r="E34" s="19"/>
      <c r="G34" s="18"/>
      <c r="H34" s="19"/>
      <c r="J34" s="18"/>
      <c r="K34" s="19"/>
      <c r="M34" s="18"/>
      <c r="N34" s="19"/>
      <c r="P34" s="13"/>
      <c r="X34" s="14"/>
      <c r="Y34" s="11"/>
      <c r="AJ34" s="80" t="s">
        <v>126</v>
      </c>
      <c r="AK34" s="81">
        <v>0.25</v>
      </c>
      <c r="AL34" s="81">
        <v>0.25</v>
      </c>
    </row>
    <row r="35" spans="1:38" x14ac:dyDescent="0.3">
      <c r="A35" s="11"/>
      <c r="B35" s="11"/>
      <c r="D35" s="18"/>
      <c r="E35" s="19"/>
      <c r="G35" s="18"/>
      <c r="H35" s="19"/>
      <c r="J35" s="18"/>
      <c r="K35" s="19"/>
      <c r="M35" s="18"/>
      <c r="N35" s="19"/>
      <c r="P35" s="13"/>
      <c r="X35" s="14"/>
      <c r="Y35" s="11"/>
      <c r="AJ35" s="80" t="s">
        <v>77</v>
      </c>
      <c r="AK35" s="81">
        <v>0.05</v>
      </c>
      <c r="AL35" s="81">
        <v>0.05</v>
      </c>
    </row>
    <row r="36" spans="1:38" x14ac:dyDescent="0.3">
      <c r="A36" s="11"/>
      <c r="B36" s="11"/>
      <c r="D36" s="20"/>
      <c r="E36" s="21"/>
      <c r="G36" s="20"/>
      <c r="H36" s="21"/>
      <c r="J36" s="20"/>
      <c r="K36" s="21"/>
      <c r="M36" s="20"/>
      <c r="N36" s="21"/>
      <c r="P36" s="13"/>
      <c r="X36" s="14"/>
      <c r="Y36" s="11"/>
    </row>
    <row r="37" spans="1:38" x14ac:dyDescent="0.3">
      <c r="A37" s="11"/>
      <c r="B37" s="11"/>
      <c r="D37" s="16"/>
      <c r="E37" s="17"/>
      <c r="G37" s="16"/>
      <c r="H37" s="17"/>
      <c r="J37" s="16"/>
      <c r="K37" s="17"/>
      <c r="M37" s="16"/>
      <c r="N37" s="17"/>
      <c r="P37" s="13"/>
      <c r="X37" s="14"/>
      <c r="Y37" s="11"/>
    </row>
    <row r="38" spans="1:38" x14ac:dyDescent="0.3">
      <c r="A38" s="11"/>
      <c r="B38" s="11"/>
      <c r="D38" s="18"/>
      <c r="E38" s="19"/>
      <c r="G38" s="18"/>
      <c r="H38" s="19"/>
      <c r="J38" s="18"/>
      <c r="K38" s="19"/>
      <c r="M38" s="18"/>
      <c r="N38" s="19"/>
      <c r="P38" s="13"/>
      <c r="X38" s="14"/>
      <c r="Y38" s="11"/>
    </row>
    <row r="39" spans="1:38" x14ac:dyDescent="0.3">
      <c r="A39" s="11"/>
      <c r="B39" s="11"/>
      <c r="D39" s="18"/>
      <c r="E39" s="19"/>
      <c r="G39" s="18"/>
      <c r="H39" s="19"/>
      <c r="J39" s="18"/>
      <c r="K39" s="19"/>
      <c r="L39" s="18"/>
      <c r="N39" s="19"/>
      <c r="P39" s="13"/>
      <c r="X39" s="14"/>
      <c r="Y39" s="11"/>
    </row>
    <row r="40" spans="1:38" x14ac:dyDescent="0.3">
      <c r="A40" s="11"/>
      <c r="B40" s="11"/>
      <c r="D40" s="18"/>
      <c r="E40" s="19"/>
      <c r="G40" s="18"/>
      <c r="H40" s="19"/>
      <c r="J40" s="18"/>
      <c r="K40" s="19"/>
      <c r="M40" s="18"/>
      <c r="N40" s="19"/>
      <c r="P40" s="13"/>
      <c r="X40" s="14"/>
      <c r="Y40" s="11"/>
    </row>
    <row r="41" spans="1:38" x14ac:dyDescent="0.3">
      <c r="A41" s="11"/>
      <c r="B41" s="11"/>
      <c r="D41" s="18"/>
      <c r="E41" s="19"/>
      <c r="G41" s="18"/>
      <c r="H41" s="19"/>
      <c r="J41" s="18"/>
      <c r="K41" s="19"/>
      <c r="M41" s="18"/>
      <c r="N41" s="19"/>
      <c r="P41" s="13"/>
      <c r="X41" s="14"/>
      <c r="Y41" s="11"/>
    </row>
    <row r="42" spans="1:38" x14ac:dyDescent="0.3">
      <c r="A42" s="11"/>
      <c r="B42" s="11"/>
      <c r="D42" s="18"/>
      <c r="E42" s="19"/>
      <c r="G42" s="18"/>
      <c r="H42" s="19"/>
      <c r="J42" s="18"/>
      <c r="K42" s="19"/>
      <c r="M42" s="18"/>
      <c r="N42" s="19"/>
      <c r="P42" s="13"/>
      <c r="X42" s="14"/>
      <c r="Y42" s="11"/>
    </row>
    <row r="43" spans="1:38" x14ac:dyDescent="0.3">
      <c r="A43" s="11"/>
      <c r="B43" s="11"/>
      <c r="D43" s="18"/>
      <c r="E43" s="19"/>
      <c r="G43" s="18"/>
      <c r="H43" s="19"/>
      <c r="J43" s="18"/>
      <c r="K43" s="19"/>
      <c r="M43" s="18"/>
      <c r="N43" s="19"/>
      <c r="P43" s="13"/>
      <c r="X43" s="14"/>
      <c r="Y43" s="11"/>
    </row>
    <row r="44" spans="1:38" x14ac:dyDescent="0.3">
      <c r="A44" s="11"/>
      <c r="B44" s="11"/>
      <c r="D44" s="18"/>
      <c r="E44" s="19"/>
      <c r="G44" s="18"/>
      <c r="H44" s="19"/>
      <c r="J44" s="18"/>
      <c r="K44" s="19"/>
      <c r="M44" s="18"/>
      <c r="N44" s="19"/>
      <c r="P44" s="13"/>
      <c r="X44" s="14"/>
      <c r="Y44" s="11"/>
    </row>
    <row r="45" spans="1:38" x14ac:dyDescent="0.3">
      <c r="A45" s="11"/>
      <c r="B45" s="11"/>
      <c r="D45" s="20"/>
      <c r="E45" s="21"/>
      <c r="G45" s="20"/>
      <c r="H45" s="21"/>
      <c r="J45" s="20"/>
      <c r="K45" s="21"/>
      <c r="M45" s="20"/>
      <c r="N45" s="21"/>
      <c r="P45" s="13"/>
      <c r="X45" s="14"/>
      <c r="Y45" s="11"/>
    </row>
    <row r="46" spans="1:38" x14ac:dyDescent="0.3">
      <c r="A46" s="11"/>
      <c r="B46" s="11"/>
      <c r="D46" s="16"/>
      <c r="E46" s="17"/>
      <c r="G46" s="16"/>
      <c r="H46" s="17"/>
      <c r="J46" s="16"/>
      <c r="K46" s="17"/>
      <c r="M46" s="16"/>
      <c r="N46" s="17"/>
      <c r="P46" s="13"/>
      <c r="X46" s="14"/>
      <c r="Y46" s="11"/>
    </row>
    <row r="47" spans="1:38" x14ac:dyDescent="0.3">
      <c r="A47" s="11"/>
      <c r="B47" s="11"/>
      <c r="D47" s="18"/>
      <c r="E47" s="19"/>
      <c r="G47" s="18"/>
      <c r="H47" s="19"/>
      <c r="J47" s="18"/>
      <c r="K47" s="19"/>
      <c r="M47" s="18"/>
      <c r="N47" s="19"/>
      <c r="P47" s="13"/>
      <c r="X47" s="14"/>
      <c r="Y47" s="11"/>
    </row>
    <row r="48" spans="1:38" x14ac:dyDescent="0.3">
      <c r="A48" s="11"/>
      <c r="B48" s="11"/>
      <c r="D48" s="18"/>
      <c r="E48" s="19"/>
      <c r="G48" s="18"/>
      <c r="H48" s="19"/>
      <c r="J48" s="18"/>
      <c r="K48" s="19"/>
      <c r="M48" s="18"/>
      <c r="N48" s="19"/>
      <c r="P48" s="13"/>
      <c r="X48" s="14"/>
      <c r="Y48" s="11"/>
    </row>
    <row r="49" spans="1:25" x14ac:dyDescent="0.3">
      <c r="A49" s="11"/>
      <c r="B49" s="11"/>
      <c r="D49" s="18"/>
      <c r="E49" s="19"/>
      <c r="G49" s="18"/>
      <c r="H49" s="19"/>
      <c r="J49" s="18"/>
      <c r="K49" s="19"/>
      <c r="M49" s="18"/>
      <c r="N49" s="19"/>
      <c r="P49" s="13"/>
      <c r="X49" s="14"/>
      <c r="Y49" s="11"/>
    </row>
    <row r="50" spans="1:25" x14ac:dyDescent="0.3">
      <c r="A50" s="11"/>
      <c r="B50" s="11"/>
      <c r="D50" s="18"/>
      <c r="E50" s="19"/>
      <c r="G50" s="18"/>
      <c r="H50" s="19"/>
      <c r="J50" s="18"/>
      <c r="K50" s="19"/>
      <c r="M50" s="18"/>
      <c r="N50" s="19"/>
      <c r="P50" s="13"/>
      <c r="X50" s="14"/>
      <c r="Y50" s="11"/>
    </row>
    <row r="51" spans="1:25" x14ac:dyDescent="0.3">
      <c r="A51" s="11"/>
      <c r="B51" s="11"/>
      <c r="D51" s="18"/>
      <c r="E51" s="19"/>
      <c r="G51" s="18"/>
      <c r="H51" s="19"/>
      <c r="J51" s="18"/>
      <c r="K51" s="19"/>
      <c r="M51" s="18"/>
      <c r="N51" s="19"/>
      <c r="P51" s="13"/>
      <c r="X51" s="14"/>
      <c r="Y51" s="11"/>
    </row>
    <row r="52" spans="1:25" x14ac:dyDescent="0.3">
      <c r="A52" s="11"/>
      <c r="B52" s="11"/>
      <c r="D52" s="18"/>
      <c r="E52" s="19"/>
      <c r="G52" s="18"/>
      <c r="H52" s="19"/>
      <c r="J52" s="18"/>
      <c r="K52" s="19"/>
      <c r="M52" s="18"/>
      <c r="N52" s="19"/>
      <c r="P52" s="13"/>
      <c r="X52" s="14"/>
      <c r="Y52" s="11"/>
    </row>
    <row r="53" spans="1:25" x14ac:dyDescent="0.3">
      <c r="A53" s="11"/>
      <c r="B53" s="11"/>
      <c r="D53" s="18"/>
      <c r="E53" s="19"/>
      <c r="G53" s="18"/>
      <c r="H53" s="19"/>
      <c r="J53" s="18"/>
      <c r="K53" s="19"/>
      <c r="M53" s="18"/>
      <c r="N53" s="19"/>
      <c r="P53" s="13"/>
      <c r="X53" s="14"/>
      <c r="Y53" s="11"/>
    </row>
    <row r="54" spans="1:25" x14ac:dyDescent="0.3">
      <c r="A54" s="11"/>
      <c r="B54" s="11"/>
      <c r="D54" s="18"/>
      <c r="E54" s="19"/>
      <c r="G54" s="18"/>
      <c r="H54" s="19"/>
      <c r="J54" s="18"/>
      <c r="K54" s="19"/>
      <c r="M54" s="18"/>
      <c r="N54" s="19"/>
      <c r="P54" s="13"/>
      <c r="X54" s="14"/>
      <c r="Y54" s="11"/>
    </row>
    <row r="55" spans="1:25" x14ac:dyDescent="0.3">
      <c r="A55" s="11"/>
      <c r="B55" s="11"/>
      <c r="D55" s="18"/>
      <c r="E55" s="19"/>
      <c r="G55" s="18"/>
      <c r="H55" s="19"/>
      <c r="J55" s="18"/>
      <c r="K55" s="19"/>
      <c r="M55" s="18"/>
      <c r="N55" s="19"/>
      <c r="P55" s="13"/>
      <c r="X55" s="14"/>
      <c r="Y55" s="11"/>
    </row>
    <row r="56" spans="1:25" x14ac:dyDescent="0.3">
      <c r="A56" s="11"/>
      <c r="B56" s="11"/>
      <c r="D56" s="18"/>
      <c r="E56" s="19"/>
      <c r="G56" s="18"/>
      <c r="H56" s="19"/>
      <c r="J56" s="18"/>
      <c r="K56" s="19"/>
      <c r="M56" s="18"/>
      <c r="N56" s="19"/>
      <c r="P56" s="13"/>
      <c r="X56" s="14"/>
      <c r="Y56" s="11"/>
    </row>
    <row r="57" spans="1:25" x14ac:dyDescent="0.3">
      <c r="A57" s="11"/>
      <c r="B57" s="11"/>
      <c r="D57" s="18"/>
      <c r="E57" s="19"/>
      <c r="G57" s="18"/>
      <c r="H57" s="19"/>
      <c r="J57" s="18"/>
      <c r="K57" s="19"/>
      <c r="M57" s="18"/>
      <c r="N57" s="19"/>
      <c r="P57" s="13"/>
      <c r="X57" s="14"/>
      <c r="Y57" s="11"/>
    </row>
    <row r="58" spans="1:25" x14ac:dyDescent="0.3">
      <c r="A58" s="11"/>
      <c r="B58" s="11"/>
      <c r="D58" s="20"/>
      <c r="E58" s="21"/>
      <c r="G58" s="20"/>
      <c r="H58" s="21"/>
      <c r="J58" s="20"/>
      <c r="K58" s="21"/>
      <c r="M58" s="20"/>
      <c r="N58" s="21"/>
      <c r="P58" s="13"/>
      <c r="X58" s="14"/>
      <c r="Y58" s="11"/>
    </row>
    <row r="59" spans="1:25" ht="15" thickBot="1" x14ac:dyDescent="0.35">
      <c r="A59" s="11"/>
      <c r="B59" s="11"/>
      <c r="P59" s="22"/>
      <c r="Q59" s="23"/>
      <c r="R59" s="23"/>
      <c r="S59" s="23"/>
      <c r="T59" s="23"/>
      <c r="U59" s="23"/>
      <c r="V59" s="23"/>
      <c r="W59" s="23"/>
      <c r="X59" s="24"/>
      <c r="Y59" s="11"/>
    </row>
    <row r="60" spans="1:25"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5" thickBot="1" x14ac:dyDescent="0.35"/>
    <row r="62" spans="1:25" x14ac:dyDescent="0.3">
      <c r="A62" s="8"/>
      <c r="B62" s="9"/>
      <c r="C62" s="9"/>
      <c r="D62" s="9"/>
      <c r="E62" s="25" t="s">
        <v>88</v>
      </c>
      <c r="F62" s="25"/>
      <c r="G62" s="9"/>
      <c r="H62" s="9"/>
      <c r="I62" s="1053" t="s">
        <v>89</v>
      </c>
      <c r="J62" s="1053"/>
      <c r="K62" s="10"/>
    </row>
    <row r="63" spans="1:25" x14ac:dyDescent="0.3">
      <c r="A63" s="1054" t="s">
        <v>128</v>
      </c>
      <c r="B63" s="1055"/>
      <c r="C63" s="1055"/>
      <c r="E63" s="1052" t="s">
        <v>90</v>
      </c>
      <c r="F63" s="1052"/>
      <c r="I63" s="27" t="s">
        <v>91</v>
      </c>
      <c r="J63" s="27">
        <v>0</v>
      </c>
      <c r="K63" s="14"/>
    </row>
    <row r="64" spans="1:25" x14ac:dyDescent="0.3">
      <c r="A64" s="28" t="s">
        <v>92</v>
      </c>
      <c r="E64" s="27" t="s">
        <v>93</v>
      </c>
      <c r="F64" s="29">
        <v>20</v>
      </c>
      <c r="I64" s="27" t="s">
        <v>94</v>
      </c>
      <c r="J64" s="27">
        <v>0</v>
      </c>
      <c r="K64" s="14"/>
    </row>
    <row r="65" spans="1:11" x14ac:dyDescent="0.3">
      <c r="A65" s="30" t="s">
        <v>124</v>
      </c>
      <c r="B65" s="31">
        <v>0.3</v>
      </c>
      <c r="C65" s="31">
        <v>0.7</v>
      </c>
      <c r="D65" s="32"/>
      <c r="E65" s="27" t="s">
        <v>95</v>
      </c>
      <c r="F65" s="29">
        <v>20</v>
      </c>
      <c r="I65" s="27" t="s">
        <v>96</v>
      </c>
      <c r="J65" s="27">
        <v>0</v>
      </c>
      <c r="K65" s="14"/>
    </row>
    <row r="66" spans="1:11" x14ac:dyDescent="0.3">
      <c r="A66" s="30" t="s">
        <v>125</v>
      </c>
      <c r="B66" s="31">
        <v>0.3</v>
      </c>
      <c r="C66" s="31">
        <v>0.7</v>
      </c>
      <c r="D66" s="32"/>
      <c r="E66" s="27" t="s">
        <v>97</v>
      </c>
      <c r="F66" s="29">
        <v>20</v>
      </c>
      <c r="I66" s="27" t="s">
        <v>98</v>
      </c>
      <c r="J66" s="27">
        <v>0</v>
      </c>
      <c r="K66" s="14"/>
    </row>
    <row r="67" spans="1:11" x14ac:dyDescent="0.3">
      <c r="A67" s="30" t="s">
        <v>126</v>
      </c>
      <c r="B67" s="31">
        <v>0.3</v>
      </c>
      <c r="C67" s="31">
        <v>0.7</v>
      </c>
      <c r="D67" s="32"/>
      <c r="E67" s="27" t="s">
        <v>99</v>
      </c>
      <c r="F67" s="29">
        <v>20</v>
      </c>
      <c r="I67" s="27" t="s">
        <v>100</v>
      </c>
      <c r="J67" s="27">
        <v>0</v>
      </c>
      <c r="K67" s="14"/>
    </row>
    <row r="68" spans="1:11" x14ac:dyDescent="0.3">
      <c r="A68" s="30" t="s">
        <v>127</v>
      </c>
      <c r="B68" s="31">
        <v>0.1</v>
      </c>
      <c r="C68" s="31">
        <v>0.9</v>
      </c>
      <c r="D68" s="32"/>
      <c r="E68" s="27" t="s">
        <v>101</v>
      </c>
      <c r="F68" s="29">
        <v>20</v>
      </c>
      <c r="I68" s="27" t="s">
        <v>102</v>
      </c>
      <c r="J68" s="27">
        <v>0</v>
      </c>
      <c r="K68" s="14"/>
    </row>
    <row r="69" spans="1:11" x14ac:dyDescent="0.3">
      <c r="A69" s="13"/>
      <c r="B69" s="32"/>
      <c r="C69" s="32"/>
      <c r="D69" s="32"/>
      <c r="E69" s="27" t="s">
        <v>103</v>
      </c>
      <c r="F69" s="29">
        <v>100</v>
      </c>
      <c r="I69" s="27" t="s">
        <v>104</v>
      </c>
      <c r="J69" s="27">
        <v>0</v>
      </c>
      <c r="K69" s="14"/>
    </row>
    <row r="70" spans="1:11" x14ac:dyDescent="0.3">
      <c r="A70" s="28" t="s">
        <v>88</v>
      </c>
      <c r="B70" s="32"/>
      <c r="C70" s="32"/>
      <c r="D70" s="32"/>
      <c r="E70" s="27"/>
      <c r="F70" s="29"/>
      <c r="I70" s="27" t="s">
        <v>105</v>
      </c>
      <c r="J70" s="33">
        <f>+F71</f>
        <v>85</v>
      </c>
      <c r="K70" s="14"/>
    </row>
    <row r="71" spans="1:11" x14ac:dyDescent="0.3">
      <c r="A71" s="30" t="s">
        <v>124</v>
      </c>
      <c r="B71" s="31">
        <v>0.74</v>
      </c>
      <c r="C71" s="31">
        <v>0.26</v>
      </c>
      <c r="D71" s="32"/>
      <c r="E71" s="27" t="s">
        <v>106</v>
      </c>
      <c r="F71" s="34">
        <v>85</v>
      </c>
      <c r="G71" s="35"/>
      <c r="H71" s="35"/>
      <c r="I71" s="27" t="s">
        <v>107</v>
      </c>
      <c r="J71" s="36"/>
      <c r="K71" s="14"/>
    </row>
    <row r="72" spans="1:11" x14ac:dyDescent="0.3">
      <c r="A72" s="30" t="s">
        <v>125</v>
      </c>
      <c r="B72" s="31">
        <v>0.83</v>
      </c>
      <c r="C72" s="31">
        <v>0.17</v>
      </c>
      <c r="D72" s="32"/>
      <c r="E72" s="27"/>
      <c r="F72" s="29"/>
      <c r="G72" s="37">
        <v>20</v>
      </c>
      <c r="H72" s="37"/>
      <c r="I72" s="27" t="s">
        <v>108</v>
      </c>
      <c r="J72" s="38">
        <v>20</v>
      </c>
      <c r="K72" s="14"/>
    </row>
    <row r="73" spans="1:11" x14ac:dyDescent="0.3">
      <c r="A73" s="30" t="s">
        <v>126</v>
      </c>
      <c r="B73" s="31">
        <v>0.94</v>
      </c>
      <c r="C73" s="31">
        <v>0.06</v>
      </c>
      <c r="D73" s="32"/>
      <c r="E73" s="27" t="s">
        <v>109</v>
      </c>
      <c r="F73" s="29">
        <f>+F71-F74/2</f>
        <v>83.5</v>
      </c>
      <c r="G73" s="37">
        <v>20</v>
      </c>
      <c r="H73" s="37"/>
      <c r="I73" s="27" t="s">
        <v>110</v>
      </c>
      <c r="J73" s="38">
        <v>20</v>
      </c>
      <c r="K73" s="14"/>
    </row>
    <row r="74" spans="1:11" x14ac:dyDescent="0.3">
      <c r="A74" s="30" t="s">
        <v>127</v>
      </c>
      <c r="B74" s="31">
        <v>0.94</v>
      </c>
      <c r="C74" s="31">
        <v>0.06</v>
      </c>
      <c r="D74" s="32"/>
      <c r="E74" s="27" t="s">
        <v>111</v>
      </c>
      <c r="F74" s="29">
        <v>3</v>
      </c>
      <c r="G74" s="37"/>
      <c r="H74" s="37"/>
      <c r="I74" s="27" t="s">
        <v>112</v>
      </c>
      <c r="J74" s="38"/>
      <c r="K74" s="14"/>
    </row>
    <row r="75" spans="1:11" ht="15" thickBot="1" x14ac:dyDescent="0.35">
      <c r="A75" s="22"/>
      <c r="B75" s="23"/>
      <c r="C75" s="23"/>
      <c r="D75" s="23"/>
      <c r="E75" s="39" t="s">
        <v>113</v>
      </c>
      <c r="F75" s="40">
        <f>SUM(F64:F69)-F73-F74</f>
        <v>113.5</v>
      </c>
      <c r="G75" s="41">
        <v>20</v>
      </c>
      <c r="H75" s="41"/>
      <c r="I75" s="42" t="s">
        <v>97</v>
      </c>
      <c r="J75" s="23"/>
      <c r="K75" s="24"/>
    </row>
    <row r="76" spans="1:11" x14ac:dyDescent="0.3">
      <c r="A76" s="8"/>
      <c r="B76" s="9"/>
      <c r="C76" s="9"/>
      <c r="D76" s="9"/>
      <c r="E76" s="25" t="s">
        <v>88</v>
      </c>
      <c r="F76" s="25"/>
      <c r="G76" s="43">
        <v>20</v>
      </c>
      <c r="H76" s="43"/>
      <c r="I76" s="1053" t="s">
        <v>89</v>
      </c>
      <c r="J76" s="1053"/>
      <c r="K76" s="10"/>
    </row>
    <row r="77" spans="1:11" x14ac:dyDescent="0.3">
      <c r="A77" s="44" t="s">
        <v>129</v>
      </c>
      <c r="B77" s="26"/>
      <c r="C77" s="26"/>
      <c r="E77" s="1052" t="s">
        <v>90</v>
      </c>
      <c r="F77" s="1052"/>
      <c r="G77" s="37"/>
      <c r="H77" s="37"/>
      <c r="I77" s="27" t="s">
        <v>91</v>
      </c>
      <c r="J77" s="27">
        <v>0</v>
      </c>
      <c r="K77" s="14"/>
    </row>
    <row r="78" spans="1:11" x14ac:dyDescent="0.3">
      <c r="A78" s="28" t="s">
        <v>92</v>
      </c>
      <c r="E78" s="27" t="s">
        <v>93</v>
      </c>
      <c r="F78" s="29">
        <v>20</v>
      </c>
      <c r="I78" s="27" t="s">
        <v>94</v>
      </c>
      <c r="J78" s="27">
        <v>0</v>
      </c>
      <c r="K78" s="14"/>
    </row>
    <row r="79" spans="1:11" x14ac:dyDescent="0.3">
      <c r="A79" s="30" t="s">
        <v>74</v>
      </c>
      <c r="B79" s="31">
        <v>0.7</v>
      </c>
      <c r="C79" s="31">
        <v>0.3</v>
      </c>
      <c r="E79" s="27" t="s">
        <v>95</v>
      </c>
      <c r="F79" s="29">
        <v>20</v>
      </c>
      <c r="I79" s="27" t="s">
        <v>96</v>
      </c>
      <c r="J79" s="27">
        <v>0</v>
      </c>
      <c r="K79" s="14"/>
    </row>
    <row r="80" spans="1:11" x14ac:dyDescent="0.3">
      <c r="A80" s="30" t="s">
        <v>77</v>
      </c>
      <c r="B80" s="31">
        <v>0.05</v>
      </c>
      <c r="C80" s="31">
        <v>0.95</v>
      </c>
      <c r="E80" s="27" t="s">
        <v>97</v>
      </c>
      <c r="F80" s="29">
        <v>20</v>
      </c>
      <c r="I80" s="27" t="s">
        <v>98</v>
      </c>
      <c r="J80" s="27">
        <v>0</v>
      </c>
      <c r="K80" s="14"/>
    </row>
    <row r="81" spans="1:11" x14ac:dyDescent="0.3">
      <c r="A81" s="30" t="s">
        <v>126</v>
      </c>
      <c r="B81" s="31">
        <v>0.25</v>
      </c>
      <c r="C81" s="31">
        <v>0.75</v>
      </c>
      <c r="E81" s="27" t="s">
        <v>99</v>
      </c>
      <c r="F81" s="29">
        <v>20</v>
      </c>
      <c r="I81" s="27" t="s">
        <v>100</v>
      </c>
      <c r="J81" s="27">
        <v>0</v>
      </c>
      <c r="K81" s="14"/>
    </row>
    <row r="82" spans="1:11" x14ac:dyDescent="0.3">
      <c r="A82" s="30"/>
      <c r="B82" s="31"/>
      <c r="C82" s="31"/>
      <c r="E82" s="27" t="s">
        <v>101</v>
      </c>
      <c r="F82" s="29">
        <v>20</v>
      </c>
      <c r="I82" s="27" t="s">
        <v>102</v>
      </c>
      <c r="J82" s="27">
        <v>0</v>
      </c>
      <c r="K82" s="14"/>
    </row>
    <row r="83" spans="1:11" x14ac:dyDescent="0.3">
      <c r="A83" s="13"/>
      <c r="B83" s="32"/>
      <c r="C83" s="32"/>
      <c r="E83" s="27" t="s">
        <v>103</v>
      </c>
      <c r="F83" s="29">
        <v>100</v>
      </c>
      <c r="I83" s="27" t="s">
        <v>104</v>
      </c>
      <c r="J83" s="27">
        <v>0</v>
      </c>
      <c r="K83" s="14"/>
    </row>
    <row r="84" spans="1:11" x14ac:dyDescent="0.3">
      <c r="A84" s="28" t="s">
        <v>88</v>
      </c>
      <c r="B84" s="32"/>
      <c r="C84" s="32"/>
      <c r="E84" s="27"/>
      <c r="F84" s="29"/>
      <c r="I84" s="27" t="s">
        <v>105</v>
      </c>
      <c r="J84" s="33">
        <f>+F85</f>
        <v>94</v>
      </c>
      <c r="K84" s="14"/>
    </row>
    <row r="85" spans="1:11" x14ac:dyDescent="0.3">
      <c r="A85" s="30" t="s">
        <v>74</v>
      </c>
      <c r="B85" s="31">
        <v>0.93</v>
      </c>
      <c r="C85" s="31">
        <v>7.0000000000000007E-2</v>
      </c>
      <c r="E85" s="27" t="s">
        <v>106</v>
      </c>
      <c r="F85" s="34">
        <v>94</v>
      </c>
      <c r="I85" s="27" t="s">
        <v>107</v>
      </c>
      <c r="J85" s="27"/>
      <c r="K85" s="14"/>
    </row>
    <row r="86" spans="1:11" x14ac:dyDescent="0.3">
      <c r="A86" s="30" t="s">
        <v>76</v>
      </c>
      <c r="B86" s="31">
        <v>0.92</v>
      </c>
      <c r="C86" s="31">
        <v>0.08</v>
      </c>
      <c r="E86" s="27"/>
      <c r="F86" s="29"/>
      <c r="I86" s="27" t="s">
        <v>108</v>
      </c>
      <c r="J86" s="27"/>
      <c r="K86" s="14"/>
    </row>
    <row r="87" spans="1:11" x14ac:dyDescent="0.3">
      <c r="A87" s="30" t="s">
        <v>77</v>
      </c>
      <c r="B87" s="31">
        <v>1</v>
      </c>
      <c r="C87" s="31">
        <v>0</v>
      </c>
      <c r="E87" s="27" t="s">
        <v>109</v>
      </c>
      <c r="F87" s="29">
        <f>+F85-F88/2</f>
        <v>92.5</v>
      </c>
      <c r="I87" s="27" t="s">
        <v>110</v>
      </c>
      <c r="J87" s="27"/>
      <c r="K87" s="14"/>
    </row>
    <row r="88" spans="1:11" x14ac:dyDescent="0.3">
      <c r="A88" s="30"/>
      <c r="B88" s="31"/>
      <c r="C88" s="31"/>
      <c r="E88" s="27" t="s">
        <v>111</v>
      </c>
      <c r="F88" s="29">
        <v>3</v>
      </c>
      <c r="I88" s="27" t="s">
        <v>112</v>
      </c>
      <c r="J88" s="27"/>
      <c r="K88" s="14"/>
    </row>
    <row r="89" spans="1:11" ht="15" thickBot="1" x14ac:dyDescent="0.35">
      <c r="A89" s="22"/>
      <c r="B89" s="23"/>
      <c r="C89" s="23"/>
      <c r="D89" s="23"/>
      <c r="E89" s="39" t="s">
        <v>113</v>
      </c>
      <c r="F89" s="40">
        <f>SUM(F78:F83)-F87-F88</f>
        <v>104.5</v>
      </c>
      <c r="G89" s="23"/>
      <c r="H89" s="23"/>
      <c r="I89" s="23"/>
      <c r="J89" s="23"/>
      <c r="K89" s="24"/>
    </row>
    <row r="90" spans="1:11" x14ac:dyDescent="0.3">
      <c r="A90" s="8"/>
      <c r="B90" s="9"/>
      <c r="C90" s="9"/>
      <c r="D90" s="9"/>
      <c r="E90" s="25" t="s">
        <v>88</v>
      </c>
      <c r="F90" s="25"/>
      <c r="G90" s="43">
        <v>20</v>
      </c>
      <c r="H90" s="43"/>
      <c r="I90" s="1053" t="s">
        <v>89</v>
      </c>
      <c r="J90" s="1053"/>
      <c r="K90" s="10"/>
    </row>
    <row r="91" spans="1:11" x14ac:dyDescent="0.3">
      <c r="A91" s="44" t="s">
        <v>965</v>
      </c>
      <c r="B91" s="26"/>
      <c r="C91" s="26"/>
      <c r="E91" s="1052" t="s">
        <v>90</v>
      </c>
      <c r="F91" s="1052"/>
      <c r="G91" s="37"/>
      <c r="H91" s="37"/>
      <c r="I91" s="27" t="s">
        <v>91</v>
      </c>
      <c r="J91" s="27">
        <v>0</v>
      </c>
      <c r="K91" s="14"/>
    </row>
    <row r="92" spans="1:11" x14ac:dyDescent="0.3">
      <c r="A92" s="28" t="s">
        <v>92</v>
      </c>
      <c r="E92" s="27" t="s">
        <v>93</v>
      </c>
      <c r="F92" s="29">
        <v>20</v>
      </c>
      <c r="I92" s="27" t="s">
        <v>94</v>
      </c>
      <c r="J92" s="27">
        <v>0</v>
      </c>
      <c r="K92" s="14"/>
    </row>
    <row r="93" spans="1:11" x14ac:dyDescent="0.3">
      <c r="A93" s="30" t="s">
        <v>74</v>
      </c>
      <c r="B93" s="31">
        <v>0.7</v>
      </c>
      <c r="C93" s="31">
        <v>0.3</v>
      </c>
      <c r="E93" s="27" t="s">
        <v>95</v>
      </c>
      <c r="F93" s="29">
        <v>20</v>
      </c>
      <c r="I93" s="27" t="s">
        <v>96</v>
      </c>
      <c r="J93" s="27">
        <v>0</v>
      </c>
      <c r="K93" s="14"/>
    </row>
    <row r="94" spans="1:11" x14ac:dyDescent="0.3">
      <c r="A94" s="30" t="s">
        <v>77</v>
      </c>
      <c r="B94" s="31">
        <v>0.05</v>
      </c>
      <c r="C94" s="31">
        <v>0.95</v>
      </c>
      <c r="E94" s="27" t="s">
        <v>97</v>
      </c>
      <c r="F94" s="29">
        <v>20</v>
      </c>
      <c r="I94" s="27" t="s">
        <v>98</v>
      </c>
      <c r="J94" s="27">
        <v>0</v>
      </c>
      <c r="K94" s="14"/>
    </row>
    <row r="95" spans="1:11" x14ac:dyDescent="0.3">
      <c r="A95" s="30" t="s">
        <v>126</v>
      </c>
      <c r="B95" s="31">
        <v>0.25</v>
      </c>
      <c r="C95" s="31">
        <v>0.75</v>
      </c>
      <c r="E95" s="27" t="s">
        <v>99</v>
      </c>
      <c r="F95" s="29">
        <v>20</v>
      </c>
      <c r="I95" s="27" t="s">
        <v>100</v>
      </c>
      <c r="J95" s="27">
        <v>0</v>
      </c>
      <c r="K95" s="14"/>
    </row>
    <row r="96" spans="1:11" x14ac:dyDescent="0.3">
      <c r="A96" s="30"/>
      <c r="B96" s="31"/>
      <c r="C96" s="31"/>
      <c r="E96" s="27" t="s">
        <v>101</v>
      </c>
      <c r="F96" s="29">
        <v>20</v>
      </c>
      <c r="I96" s="27" t="s">
        <v>102</v>
      </c>
      <c r="J96" s="27">
        <v>0</v>
      </c>
      <c r="K96" s="14"/>
    </row>
    <row r="97" spans="1:11" x14ac:dyDescent="0.3">
      <c r="A97" s="13"/>
      <c r="B97" s="32"/>
      <c r="C97" s="32"/>
      <c r="E97" s="27" t="s">
        <v>103</v>
      </c>
      <c r="F97" s="29">
        <v>100</v>
      </c>
      <c r="I97" s="27" t="s">
        <v>104</v>
      </c>
      <c r="J97" s="27">
        <v>0</v>
      </c>
      <c r="K97" s="14"/>
    </row>
    <row r="98" spans="1:11" x14ac:dyDescent="0.3">
      <c r="A98" s="28" t="s">
        <v>88</v>
      </c>
      <c r="B98" s="32"/>
      <c r="C98" s="32"/>
      <c r="E98" s="27"/>
      <c r="F98" s="29"/>
      <c r="I98" s="27" t="s">
        <v>105</v>
      </c>
      <c r="J98" s="33">
        <f>+F99</f>
        <v>89</v>
      </c>
      <c r="K98" s="14"/>
    </row>
    <row r="99" spans="1:11" x14ac:dyDescent="0.3">
      <c r="A99" s="30" t="s">
        <v>74</v>
      </c>
      <c r="B99" s="31">
        <v>0.9</v>
      </c>
      <c r="C99" s="31">
        <v>0.1</v>
      </c>
      <c r="E99" s="27" t="s">
        <v>106</v>
      </c>
      <c r="F99" s="34">
        <v>89</v>
      </c>
      <c r="I99" s="27" t="s">
        <v>107</v>
      </c>
      <c r="J99" s="27"/>
      <c r="K99" s="14"/>
    </row>
    <row r="100" spans="1:11" x14ac:dyDescent="0.3">
      <c r="A100" s="30" t="s">
        <v>77</v>
      </c>
      <c r="B100" s="31">
        <v>0.91</v>
      </c>
      <c r="C100" s="31">
        <v>0.09</v>
      </c>
      <c r="E100" s="27"/>
      <c r="F100" s="29"/>
      <c r="I100" s="27" t="s">
        <v>108</v>
      </c>
      <c r="J100" s="27"/>
      <c r="K100" s="14"/>
    </row>
    <row r="101" spans="1:11" x14ac:dyDescent="0.3">
      <c r="A101" s="30" t="s">
        <v>126</v>
      </c>
      <c r="B101" s="31">
        <v>0.85</v>
      </c>
      <c r="C101" s="31">
        <v>0.15</v>
      </c>
      <c r="E101" s="27" t="s">
        <v>109</v>
      </c>
      <c r="F101" s="29">
        <f>+F99-F102/2</f>
        <v>87.5</v>
      </c>
      <c r="I101" s="27" t="s">
        <v>110</v>
      </c>
      <c r="J101" s="27"/>
      <c r="K101" s="14"/>
    </row>
    <row r="102" spans="1:11" x14ac:dyDescent="0.3">
      <c r="A102" s="30"/>
      <c r="B102" s="31">
        <v>0</v>
      </c>
      <c r="C102" s="31">
        <v>0</v>
      </c>
      <c r="E102" s="27" t="s">
        <v>111</v>
      </c>
      <c r="F102" s="29">
        <v>3</v>
      </c>
      <c r="I102" s="27" t="s">
        <v>112</v>
      </c>
      <c r="J102" s="27"/>
      <c r="K102" s="14"/>
    </row>
    <row r="103" spans="1:11" ht="15" thickBot="1" x14ac:dyDescent="0.35">
      <c r="A103" s="22"/>
      <c r="B103" s="23"/>
      <c r="C103" s="23"/>
      <c r="D103" s="23"/>
      <c r="E103" s="39" t="s">
        <v>113</v>
      </c>
      <c r="F103" s="40">
        <f>SUM(F92:F97)-F101-F102</f>
        <v>109.5</v>
      </c>
      <c r="G103" s="23"/>
      <c r="H103" s="23"/>
      <c r="I103" s="23"/>
      <c r="J103" s="23"/>
      <c r="K103" s="24"/>
    </row>
    <row r="104" spans="1:11" x14ac:dyDescent="0.3">
      <c r="A104" s="8"/>
      <c r="B104" s="9"/>
      <c r="C104" s="9"/>
      <c r="D104" s="9"/>
      <c r="E104" s="25" t="s">
        <v>88</v>
      </c>
      <c r="F104" s="25"/>
      <c r="G104" s="43">
        <v>20</v>
      </c>
      <c r="H104" s="43"/>
      <c r="I104" s="1053" t="s">
        <v>89</v>
      </c>
      <c r="J104" s="1053"/>
      <c r="K104" s="10"/>
    </row>
    <row r="105" spans="1:11" x14ac:dyDescent="0.3">
      <c r="A105" s="44" t="s">
        <v>966</v>
      </c>
      <c r="B105" s="26"/>
      <c r="C105" s="26"/>
      <c r="E105" s="1052" t="s">
        <v>90</v>
      </c>
      <c r="F105" s="1052"/>
      <c r="G105" s="37"/>
      <c r="H105" s="37"/>
      <c r="I105" s="27" t="s">
        <v>91</v>
      </c>
      <c r="J105" s="27">
        <v>0</v>
      </c>
      <c r="K105" s="14"/>
    </row>
    <row r="106" spans="1:11" x14ac:dyDescent="0.3">
      <c r="A106" s="28" t="s">
        <v>92</v>
      </c>
      <c r="E106" s="27" t="s">
        <v>93</v>
      </c>
      <c r="F106" s="29">
        <v>20</v>
      </c>
      <c r="I106" s="27" t="s">
        <v>94</v>
      </c>
      <c r="J106" s="27">
        <v>0</v>
      </c>
      <c r="K106" s="14"/>
    </row>
    <row r="107" spans="1:11" x14ac:dyDescent="0.3">
      <c r="A107" s="30" t="s">
        <v>74</v>
      </c>
      <c r="B107" s="31">
        <v>0.6</v>
      </c>
      <c r="C107" s="31">
        <v>0.4</v>
      </c>
      <c r="E107" s="27" t="s">
        <v>95</v>
      </c>
      <c r="F107" s="29">
        <v>20</v>
      </c>
      <c r="I107" s="27" t="s">
        <v>96</v>
      </c>
      <c r="J107" s="27">
        <v>0</v>
      </c>
      <c r="K107" s="14"/>
    </row>
    <row r="108" spans="1:11" x14ac:dyDescent="0.3">
      <c r="A108" s="30" t="s">
        <v>77</v>
      </c>
      <c r="B108" s="31">
        <v>0</v>
      </c>
      <c r="C108" s="31">
        <v>1</v>
      </c>
      <c r="E108" s="27" t="s">
        <v>97</v>
      </c>
      <c r="F108" s="29">
        <v>20</v>
      </c>
      <c r="I108" s="27" t="s">
        <v>98</v>
      </c>
      <c r="J108" s="27">
        <v>0</v>
      </c>
      <c r="K108" s="14"/>
    </row>
    <row r="109" spans="1:11" x14ac:dyDescent="0.3">
      <c r="A109" s="30" t="s">
        <v>126</v>
      </c>
      <c r="B109" s="31">
        <v>0.4</v>
      </c>
      <c r="C109" s="31">
        <v>0.6</v>
      </c>
      <c r="E109" s="27" t="s">
        <v>99</v>
      </c>
      <c r="F109" s="29">
        <v>20</v>
      </c>
      <c r="I109" s="27" t="s">
        <v>100</v>
      </c>
      <c r="J109" s="27">
        <v>0</v>
      </c>
      <c r="K109" s="14"/>
    </row>
    <row r="110" spans="1:11" x14ac:dyDescent="0.3">
      <c r="A110" s="30"/>
      <c r="B110" s="31"/>
      <c r="C110" s="31"/>
      <c r="E110" s="27" t="s">
        <v>101</v>
      </c>
      <c r="F110" s="29">
        <v>20</v>
      </c>
      <c r="I110" s="27" t="s">
        <v>102</v>
      </c>
      <c r="J110" s="27">
        <v>0</v>
      </c>
      <c r="K110" s="14"/>
    </row>
    <row r="111" spans="1:11" x14ac:dyDescent="0.3">
      <c r="A111" s="13"/>
      <c r="B111" s="32"/>
      <c r="C111" s="32"/>
      <c r="E111" s="27" t="s">
        <v>103</v>
      </c>
      <c r="F111" s="29">
        <v>100</v>
      </c>
      <c r="I111" s="27" t="s">
        <v>104</v>
      </c>
      <c r="J111" s="27">
        <v>0</v>
      </c>
      <c r="K111" s="14"/>
    </row>
    <row r="112" spans="1:11" x14ac:dyDescent="0.3">
      <c r="A112" s="28" t="s">
        <v>88</v>
      </c>
      <c r="B112" s="32"/>
      <c r="C112" s="32"/>
      <c r="E112" s="27"/>
      <c r="F112" s="29"/>
      <c r="I112" s="27" t="s">
        <v>105</v>
      </c>
      <c r="J112" s="33">
        <f>+F113</f>
        <v>80</v>
      </c>
      <c r="K112" s="14"/>
    </row>
    <row r="113" spans="1:11" x14ac:dyDescent="0.3">
      <c r="A113" s="30" t="s">
        <v>74</v>
      </c>
      <c r="B113" s="31">
        <v>0.93</v>
      </c>
      <c r="C113" s="31">
        <v>0.34</v>
      </c>
      <c r="E113" s="27" t="s">
        <v>106</v>
      </c>
      <c r="F113" s="34">
        <v>80</v>
      </c>
      <c r="I113" s="27" t="s">
        <v>107</v>
      </c>
      <c r="J113" s="27"/>
      <c r="K113" s="14"/>
    </row>
    <row r="114" spans="1:11" x14ac:dyDescent="0.3">
      <c r="A114" s="30" t="s">
        <v>77</v>
      </c>
      <c r="B114" s="31">
        <v>0</v>
      </c>
      <c r="C114" s="31">
        <v>0.12</v>
      </c>
      <c r="E114" s="27"/>
      <c r="F114" s="29"/>
      <c r="I114" s="27" t="s">
        <v>108</v>
      </c>
      <c r="J114" s="27"/>
      <c r="K114" s="14"/>
    </row>
    <row r="115" spans="1:11" x14ac:dyDescent="0.3">
      <c r="A115" s="30" t="s">
        <v>126</v>
      </c>
      <c r="B115" s="31">
        <v>0.6</v>
      </c>
      <c r="C115" s="31">
        <v>1</v>
      </c>
      <c r="E115" s="27" t="s">
        <v>109</v>
      </c>
      <c r="F115" s="29">
        <f>+F113-F116/2</f>
        <v>78.5</v>
      </c>
      <c r="I115" s="27" t="s">
        <v>110</v>
      </c>
      <c r="J115" s="27"/>
      <c r="K115" s="14"/>
    </row>
    <row r="116" spans="1:11" x14ac:dyDescent="0.3">
      <c r="A116" s="30"/>
      <c r="B116" s="31"/>
      <c r="C116" s="31"/>
      <c r="E116" s="27" t="s">
        <v>111</v>
      </c>
      <c r="F116" s="29">
        <v>3</v>
      </c>
      <c r="I116" s="27" t="s">
        <v>112</v>
      </c>
      <c r="J116" s="27"/>
      <c r="K116" s="14"/>
    </row>
    <row r="117" spans="1:11" ht="15" thickBot="1" x14ac:dyDescent="0.35">
      <c r="A117" s="22"/>
      <c r="B117" s="23"/>
      <c r="C117" s="23"/>
      <c r="D117" s="23"/>
      <c r="E117" s="39" t="s">
        <v>113</v>
      </c>
      <c r="F117" s="40">
        <f>SUM(F106:F111)-F115-F116</f>
        <v>118.5</v>
      </c>
      <c r="G117" s="23"/>
      <c r="H117" s="23"/>
      <c r="I117" s="23"/>
      <c r="J117" s="23"/>
      <c r="K117" s="24"/>
    </row>
    <row r="120" spans="1:11" x14ac:dyDescent="0.3">
      <c r="B120" s="15"/>
      <c r="C120" s="15"/>
    </row>
  </sheetData>
  <mergeCells count="23">
    <mergeCell ref="E91:F91"/>
    <mergeCell ref="I104:J104"/>
    <mergeCell ref="E105:F105"/>
    <mergeCell ref="I62:J62"/>
    <mergeCell ref="A63:C63"/>
    <mergeCell ref="E63:F63"/>
    <mergeCell ref="I76:J76"/>
    <mergeCell ref="E77:F77"/>
    <mergeCell ref="I90:J90"/>
    <mergeCell ref="D8:E8"/>
    <mergeCell ref="G8:H8"/>
    <mergeCell ref="J8:K8"/>
    <mergeCell ref="M8:N8"/>
    <mergeCell ref="D9:E9"/>
    <mergeCell ref="G9:H9"/>
    <mergeCell ref="J9:K9"/>
    <mergeCell ref="M9:N9"/>
    <mergeCell ref="A1:B6"/>
    <mergeCell ref="F1:O1"/>
    <mergeCell ref="F2:O2"/>
    <mergeCell ref="F3:O3"/>
    <mergeCell ref="F4:O4"/>
    <mergeCell ref="F5:O5"/>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7B5F-7BFA-49E4-8209-EBDCD612C1F8}">
  <dimension ref="A1:BH160"/>
  <sheetViews>
    <sheetView topLeftCell="A80" zoomScale="58" zoomScaleNormal="70" workbookViewId="0">
      <selection activeCell="C106" sqref="C106"/>
    </sheetView>
  </sheetViews>
  <sheetFormatPr baseColWidth="10" defaultRowHeight="14.4" outlineLevelCol="1" x14ac:dyDescent="0.3"/>
  <cols>
    <col min="2" max="2" width="27.88671875" customWidth="1"/>
    <col min="3" max="3" width="43.77734375" customWidth="1"/>
    <col min="4" max="4" width="34" style="183" customWidth="1"/>
    <col min="5" max="5" width="37.33203125" customWidth="1"/>
    <col min="6" max="6" width="37.88671875" customWidth="1"/>
    <col min="7" max="7" width="26.33203125" style="52" customWidth="1" outlineLevel="1"/>
    <col min="8" max="8" width="21.33203125" style="52" customWidth="1" outlineLevel="1"/>
    <col min="9" max="9" width="23.109375" style="52" customWidth="1" outlineLevel="1"/>
    <col min="10" max="10" width="15.77734375" style="52" customWidth="1" outlineLevel="1"/>
    <col min="11" max="11" width="11.5546875" style="12" customWidth="1" outlineLevel="1"/>
    <col min="12" max="12" width="92.5546875" style="52" customWidth="1" outlineLevel="1"/>
    <col min="13" max="13" width="19.44140625" style="12" customWidth="1" outlineLevel="1"/>
    <col min="14" max="14" width="15.77734375" customWidth="1" outlineLevel="1"/>
    <col min="15" max="15" width="11.5546875" customWidth="1" outlineLevel="1"/>
    <col min="16" max="16" width="18.33203125" customWidth="1"/>
    <col min="17" max="17" width="26.33203125" style="52" customWidth="1" outlineLevel="1"/>
    <col min="18" max="18" width="21.33203125" style="52" customWidth="1" outlineLevel="1"/>
    <col min="19" max="19" width="23.109375" style="52" customWidth="1" outlineLevel="1"/>
    <col min="20" max="20" width="15.77734375" style="52" customWidth="1" outlineLevel="1"/>
    <col min="21" max="21" width="11.5546875" style="12" customWidth="1" outlineLevel="1"/>
    <col min="22" max="22" width="92.5546875" style="52" customWidth="1" outlineLevel="1"/>
    <col min="23" max="23" width="19.44140625" style="12" customWidth="1" outlineLevel="1"/>
    <col min="24" max="24" width="15.77734375" customWidth="1" outlineLevel="1"/>
    <col min="25" max="25" width="11.5546875" customWidth="1" outlineLevel="1"/>
    <col min="26" max="26" width="20.21875" hidden="1" customWidth="1"/>
    <col min="27" max="27" width="26.33203125" style="52" customWidth="1" outlineLevel="1"/>
    <col min="28" max="28" width="21.33203125" style="52" customWidth="1" outlineLevel="1"/>
    <col min="29" max="29" width="23.109375" style="52" customWidth="1" outlineLevel="1"/>
    <col min="30" max="30" width="18.109375" style="52" customWidth="1" outlineLevel="1"/>
    <col min="31" max="31" width="21.44140625" style="52" customWidth="1" outlineLevel="1"/>
    <col min="32" max="32" width="20.33203125" style="52" customWidth="1" outlineLevel="1"/>
    <col min="33" max="33" width="19" style="52" customWidth="1" outlineLevel="1"/>
    <col min="34" max="34" width="18.44140625" style="52" customWidth="1" outlineLevel="1"/>
    <col min="35" max="35" width="13.5546875" style="12" customWidth="1" outlineLevel="1"/>
    <col min="36" max="36" width="92.5546875" style="52" customWidth="1" outlineLevel="1"/>
    <col min="37" max="37" width="19.44140625" style="12" customWidth="1" outlineLevel="1"/>
    <col min="38" max="38" width="15.77734375" customWidth="1" outlineLevel="1"/>
    <col min="39" max="39" width="11.5546875" customWidth="1" outlineLevel="1"/>
    <col min="40" max="40" width="20.21875" hidden="1" customWidth="1"/>
    <col min="41" max="41" width="26.33203125" style="52" customWidth="1" outlineLevel="1"/>
    <col min="42" max="42" width="21.33203125" style="52" customWidth="1" outlineLevel="1"/>
    <col min="43" max="43" width="23.109375" style="52" customWidth="1" outlineLevel="1"/>
    <col min="44" max="44" width="19.5546875" style="52" customWidth="1" outlineLevel="1"/>
    <col min="45" max="45" width="11.5546875" style="12" customWidth="1" outlineLevel="1"/>
    <col min="46" max="46" width="92.5546875" style="52" customWidth="1" outlineLevel="1"/>
    <col min="47" max="47" width="19.44140625" style="12" customWidth="1" outlineLevel="1"/>
    <col min="48" max="48" width="15.77734375" customWidth="1" outlineLevel="1"/>
    <col min="49" max="49" width="11.5546875" customWidth="1" outlineLevel="1"/>
    <col min="50" max="50" width="20.21875" hidden="1" customWidth="1"/>
    <col min="51" max="54" width="23.44140625" customWidth="1"/>
    <col min="55" max="55" width="26.21875" bestFit="1" customWidth="1"/>
    <col min="56" max="56" width="84.44140625" customWidth="1"/>
    <col min="57" max="57" width="22.44140625" customWidth="1"/>
    <col min="58" max="58" width="18.33203125" customWidth="1"/>
    <col min="60" max="60" width="21.77734375" customWidth="1"/>
  </cols>
  <sheetData>
    <row r="1" spans="1:60" s="172" customFormat="1" ht="18.600000000000001" thickBot="1" x14ac:dyDescent="0.4">
      <c r="A1" s="1174" t="s">
        <v>242</v>
      </c>
      <c r="B1" s="1175"/>
      <c r="C1" s="1175"/>
      <c r="D1" s="1175"/>
      <c r="E1" s="1175"/>
      <c r="F1" s="1175"/>
      <c r="G1" s="1176">
        <v>45931</v>
      </c>
      <c r="H1" s="1177"/>
      <c r="I1" s="1177"/>
      <c r="J1" s="1177"/>
      <c r="K1" s="1177"/>
      <c r="L1" s="1177"/>
      <c r="M1" s="1178"/>
      <c r="N1" s="1178"/>
      <c r="O1" s="1178"/>
      <c r="P1" s="1179"/>
      <c r="Q1" s="1109">
        <v>45962</v>
      </c>
      <c r="R1" s="1110"/>
      <c r="S1" s="1110"/>
      <c r="T1" s="1110"/>
      <c r="U1" s="1110"/>
      <c r="V1" s="1110"/>
      <c r="W1" s="1111"/>
      <c r="X1" s="1111"/>
      <c r="Y1" s="1111"/>
      <c r="Z1" s="1112"/>
      <c r="AA1" s="1229" t="s">
        <v>696</v>
      </c>
      <c r="AB1" s="1230"/>
      <c r="AC1" s="1230"/>
      <c r="AD1" s="1230"/>
      <c r="AE1" s="1230"/>
      <c r="AF1" s="1230"/>
      <c r="AG1" s="1230"/>
      <c r="AH1" s="1230"/>
      <c r="AI1" s="1230"/>
      <c r="AJ1" s="1230"/>
      <c r="AK1" s="1231"/>
      <c r="AL1" s="1231"/>
      <c r="AM1" s="1231"/>
      <c r="AN1" s="1232"/>
      <c r="AO1" s="1109">
        <v>46054</v>
      </c>
      <c r="AP1" s="1110"/>
      <c r="AQ1" s="1110"/>
      <c r="AR1" s="1110"/>
      <c r="AS1" s="1110"/>
      <c r="AT1" s="1110"/>
      <c r="AU1" s="1111"/>
      <c r="AV1" s="1111"/>
      <c r="AW1" s="1111"/>
      <c r="AX1" s="1112"/>
      <c r="AY1" s="1239">
        <v>46082</v>
      </c>
      <c r="AZ1" s="1240"/>
      <c r="BA1" s="1240"/>
      <c r="BB1" s="1240"/>
      <c r="BC1" s="1240"/>
      <c r="BD1" s="1240"/>
      <c r="BE1" s="1241"/>
      <c r="BF1" s="1241"/>
      <c r="BG1" s="1241"/>
      <c r="BH1" s="1242"/>
    </row>
    <row r="2" spans="1:60" s="352" customFormat="1" ht="37.200000000000003" customHeight="1" thickBot="1" x14ac:dyDescent="0.35">
      <c r="A2" s="351" t="s">
        <v>123</v>
      </c>
      <c r="B2" s="3" t="s">
        <v>0</v>
      </c>
      <c r="C2" s="3" t="s">
        <v>1</v>
      </c>
      <c r="D2" s="3" t="s">
        <v>2</v>
      </c>
      <c r="E2" s="3" t="s">
        <v>3</v>
      </c>
      <c r="F2" s="62" t="s">
        <v>4</v>
      </c>
      <c r="G2" s="1184" t="s">
        <v>132</v>
      </c>
      <c r="H2" s="1185"/>
      <c r="I2" s="1185"/>
      <c r="J2" s="1186"/>
      <c r="K2" s="1116" t="s">
        <v>317</v>
      </c>
      <c r="L2" s="1117"/>
      <c r="M2" s="235" t="s">
        <v>88</v>
      </c>
      <c r="N2" s="175" t="s">
        <v>92</v>
      </c>
      <c r="O2" s="175" t="s">
        <v>220</v>
      </c>
      <c r="P2" s="236" t="s">
        <v>318</v>
      </c>
      <c r="Q2" s="1113" t="s">
        <v>132</v>
      </c>
      <c r="R2" s="1114"/>
      <c r="S2" s="1114"/>
      <c r="T2" s="1155"/>
      <c r="U2" s="1116" t="s">
        <v>594</v>
      </c>
      <c r="V2" s="1117"/>
      <c r="W2" s="235" t="s">
        <v>88</v>
      </c>
      <c r="X2" s="175" t="s">
        <v>92</v>
      </c>
      <c r="Y2" s="175" t="s">
        <v>220</v>
      </c>
      <c r="Z2" s="236" t="s">
        <v>595</v>
      </c>
      <c r="AA2" s="1233" t="s">
        <v>695</v>
      </c>
      <c r="AB2" s="1234"/>
      <c r="AC2" s="1234"/>
      <c r="AD2" s="1235"/>
      <c r="AE2" s="1233" t="s">
        <v>694</v>
      </c>
      <c r="AF2" s="1234"/>
      <c r="AG2" s="1234"/>
      <c r="AH2" s="1235"/>
      <c r="AI2" s="1116" t="s">
        <v>697</v>
      </c>
      <c r="AJ2" s="1117"/>
      <c r="AK2" s="235" t="s">
        <v>88</v>
      </c>
      <c r="AL2" s="175" t="s">
        <v>92</v>
      </c>
      <c r="AM2" s="175" t="s">
        <v>220</v>
      </c>
      <c r="AN2" s="236" t="s">
        <v>698</v>
      </c>
      <c r="AO2" s="1113" t="s">
        <v>132</v>
      </c>
      <c r="AP2" s="1114"/>
      <c r="AQ2" s="1114"/>
      <c r="AR2" s="1115"/>
      <c r="AS2" s="1116" t="s">
        <v>798</v>
      </c>
      <c r="AT2" s="1117"/>
      <c r="AU2" s="235" t="s">
        <v>88</v>
      </c>
      <c r="AV2" s="175" t="s">
        <v>92</v>
      </c>
      <c r="AW2" s="175" t="s">
        <v>220</v>
      </c>
      <c r="AX2" s="236" t="s">
        <v>799</v>
      </c>
      <c r="AY2" s="1243" t="s">
        <v>132</v>
      </c>
      <c r="AZ2" s="1244"/>
      <c r="BA2" s="1244"/>
      <c r="BB2" s="1245"/>
      <c r="BC2" s="1116" t="s">
        <v>875</v>
      </c>
      <c r="BD2" s="1117"/>
      <c r="BE2" s="235" t="s">
        <v>88</v>
      </c>
      <c r="BF2" s="175" t="s">
        <v>92</v>
      </c>
      <c r="BG2" s="175" t="s">
        <v>220</v>
      </c>
      <c r="BH2" s="236" t="s">
        <v>876</v>
      </c>
    </row>
    <row r="3" spans="1:60" ht="211.8" customHeight="1" x14ac:dyDescent="0.3">
      <c r="A3" s="993">
        <v>0.3</v>
      </c>
      <c r="B3" s="1180" t="s">
        <v>5</v>
      </c>
      <c r="C3" s="57" t="s">
        <v>6</v>
      </c>
      <c r="D3" s="57" t="s">
        <v>7</v>
      </c>
      <c r="E3" s="57" t="s">
        <v>425</v>
      </c>
      <c r="F3" s="63" t="s">
        <v>9</v>
      </c>
      <c r="G3" s="83" t="s">
        <v>3</v>
      </c>
      <c r="H3" s="188">
        <v>20</v>
      </c>
      <c r="I3" s="85" t="s">
        <v>133</v>
      </c>
      <c r="J3" s="242">
        <v>12</v>
      </c>
      <c r="K3" s="237">
        <f>+J3/H3</f>
        <v>0.6</v>
      </c>
      <c r="L3" s="238" t="s">
        <v>426</v>
      </c>
      <c r="M3" s="239">
        <f>+K3</f>
        <v>0.6</v>
      </c>
      <c r="N3" s="1118">
        <v>0.3</v>
      </c>
      <c r="O3" s="1118">
        <f>SUM(M3:M52)/16</f>
        <v>0.75586601796407171</v>
      </c>
      <c r="P3" s="1119">
        <f>+N3*O3</f>
        <v>0.2267598053892215</v>
      </c>
      <c r="Q3" s="291" t="s">
        <v>3</v>
      </c>
      <c r="R3" s="292">
        <v>20</v>
      </c>
      <c r="S3" s="293" t="s">
        <v>133</v>
      </c>
      <c r="T3" s="294">
        <v>13</v>
      </c>
      <c r="U3" s="237">
        <f>+T3/R3</f>
        <v>0.65</v>
      </c>
      <c r="V3" s="238" t="s">
        <v>630</v>
      </c>
      <c r="W3" s="239">
        <f>+U3</f>
        <v>0.65</v>
      </c>
      <c r="X3" s="1118">
        <v>0.3</v>
      </c>
      <c r="Y3" s="1118">
        <f>SUM(W3:W52)/16</f>
        <v>0.75655263157894737</v>
      </c>
      <c r="Z3" s="1119">
        <f>+X3*Y3</f>
        <v>0.2269657894736842</v>
      </c>
      <c r="AA3" s="419" t="s">
        <v>3</v>
      </c>
      <c r="AB3" s="420">
        <v>20</v>
      </c>
      <c r="AC3" s="421" t="s">
        <v>133</v>
      </c>
      <c r="AD3" s="422">
        <v>15</v>
      </c>
      <c r="AE3" s="650" t="s">
        <v>3</v>
      </c>
      <c r="AF3" s="420">
        <v>20</v>
      </c>
      <c r="AG3" s="421" t="s">
        <v>133</v>
      </c>
      <c r="AH3" s="422">
        <v>4</v>
      </c>
      <c r="AI3" s="637">
        <f>((AD3/AB3)+(AH3/AF3))/2</f>
        <v>0.47499999999999998</v>
      </c>
      <c r="AJ3" s="238" t="s">
        <v>730</v>
      </c>
      <c r="AK3" s="239">
        <f>+AI3</f>
        <v>0.47499999999999998</v>
      </c>
      <c r="AL3" s="1118">
        <v>0.3</v>
      </c>
      <c r="AM3" s="1118">
        <f>SUM(AK3:AK52)/15</f>
        <v>0.64850608300349621</v>
      </c>
      <c r="AN3" s="1237">
        <f>+AL3*AM3</f>
        <v>0.19455182490104886</v>
      </c>
      <c r="AO3" s="291" t="s">
        <v>3</v>
      </c>
      <c r="AP3" s="292">
        <v>10</v>
      </c>
      <c r="AQ3" s="293" t="s">
        <v>133</v>
      </c>
      <c r="AR3" s="653">
        <v>5</v>
      </c>
      <c r="AS3" s="237">
        <f>+AR3/AP3</f>
        <v>0.5</v>
      </c>
      <c r="AT3" s="238" t="s">
        <v>835</v>
      </c>
      <c r="AU3" s="239">
        <f>+AS3</f>
        <v>0.5</v>
      </c>
      <c r="AV3" s="1118">
        <v>0.3</v>
      </c>
      <c r="AW3" s="1118">
        <f>SUM(AU3:AU52)/16</f>
        <v>0.71452134146341462</v>
      </c>
      <c r="AX3" s="1119">
        <f>+AV3*AW3</f>
        <v>0.21435640243902437</v>
      </c>
      <c r="AY3" s="786" t="s">
        <v>3</v>
      </c>
      <c r="AZ3" s="787">
        <v>10</v>
      </c>
      <c r="BA3" s="788" t="s">
        <v>133</v>
      </c>
      <c r="BB3" s="824">
        <v>14</v>
      </c>
      <c r="BC3" s="785">
        <f>+BB3/AZ3</f>
        <v>1.4</v>
      </c>
      <c r="BD3" s="238" t="s">
        <v>891</v>
      </c>
      <c r="BE3" s="239">
        <v>1</v>
      </c>
      <c r="BF3" s="1118">
        <v>0.3</v>
      </c>
      <c r="BG3" s="1118">
        <f>SUM(BE3:BE52)/16</f>
        <v>0.7449734768800812</v>
      </c>
      <c r="BH3" s="1237">
        <f>+BF3*BG3</f>
        <v>0.22349204306402434</v>
      </c>
    </row>
    <row r="4" spans="1:60" ht="86.4" customHeight="1" x14ac:dyDescent="0.3">
      <c r="A4" s="1173"/>
      <c r="B4" s="1181"/>
      <c r="C4" s="1161" t="s">
        <v>319</v>
      </c>
      <c r="D4" s="1161" t="s">
        <v>308</v>
      </c>
      <c r="E4" s="1161" t="s">
        <v>427</v>
      </c>
      <c r="F4" s="1170" t="s">
        <v>320</v>
      </c>
      <c r="G4" s="87" t="s">
        <v>401</v>
      </c>
      <c r="H4" s="134">
        <v>1000000</v>
      </c>
      <c r="I4" s="89" t="s">
        <v>402</v>
      </c>
      <c r="J4" s="216">
        <v>989611</v>
      </c>
      <c r="K4" s="74">
        <f>+J4/H4</f>
        <v>0.98961100000000002</v>
      </c>
      <c r="L4" s="1100" t="s">
        <v>428</v>
      </c>
      <c r="M4" s="71">
        <v>1</v>
      </c>
      <c r="N4" s="976"/>
      <c r="O4" s="976"/>
      <c r="P4" s="979"/>
      <c r="Q4" s="295" t="s">
        <v>401</v>
      </c>
      <c r="R4" s="296">
        <v>1000000</v>
      </c>
      <c r="S4" s="297" t="s">
        <v>588</v>
      </c>
      <c r="T4" s="298">
        <v>936831</v>
      </c>
      <c r="U4" s="74">
        <f>+T4/R4</f>
        <v>0.93683099999999997</v>
      </c>
      <c r="V4" s="1100" t="s">
        <v>631</v>
      </c>
      <c r="W4" s="71">
        <v>1</v>
      </c>
      <c r="X4" s="976"/>
      <c r="Y4" s="976"/>
      <c r="Z4" s="979"/>
      <c r="AA4" s="521" t="s">
        <v>401</v>
      </c>
      <c r="AB4" s="553">
        <v>1000000</v>
      </c>
      <c r="AC4" s="423" t="s">
        <v>741</v>
      </c>
      <c r="AD4" s="424">
        <v>1128463</v>
      </c>
      <c r="AE4" s="651" t="s">
        <v>401</v>
      </c>
      <c r="AF4" s="553">
        <v>1000000</v>
      </c>
      <c r="AG4" s="423" t="s">
        <v>742</v>
      </c>
      <c r="AH4" s="424">
        <v>425684</v>
      </c>
      <c r="AI4" s="560">
        <f>((AD4/AB4)+(AH4/AF4))/2</f>
        <v>0.77707349999999997</v>
      </c>
      <c r="AJ4" s="1100" t="s">
        <v>743</v>
      </c>
      <c r="AK4" s="71">
        <f>+AI4</f>
        <v>0.77707349999999997</v>
      </c>
      <c r="AL4" s="976"/>
      <c r="AM4" s="976"/>
      <c r="AN4" s="978"/>
      <c r="AO4" s="295" t="s">
        <v>401</v>
      </c>
      <c r="AP4" s="296">
        <v>1000000</v>
      </c>
      <c r="AQ4" s="297" t="s">
        <v>800</v>
      </c>
      <c r="AR4" s="654">
        <v>1005259</v>
      </c>
      <c r="AS4" s="74">
        <f>+AR4/AP4</f>
        <v>1.0052589999999999</v>
      </c>
      <c r="AT4" s="1100" t="s">
        <v>836</v>
      </c>
      <c r="AU4" s="71">
        <v>1</v>
      </c>
      <c r="AV4" s="976"/>
      <c r="AW4" s="976"/>
      <c r="AX4" s="979"/>
      <c r="AY4" s="790" t="s">
        <v>401</v>
      </c>
      <c r="AZ4" s="791">
        <v>1000000</v>
      </c>
      <c r="BA4" s="768" t="s">
        <v>877</v>
      </c>
      <c r="BB4" s="853">
        <v>1123846</v>
      </c>
      <c r="BC4" s="560">
        <f>+BB4/AZ4</f>
        <v>1.1238459999999999</v>
      </c>
      <c r="BD4" s="1100" t="s">
        <v>892</v>
      </c>
      <c r="BE4" s="71">
        <f>(100-12)/100</f>
        <v>0.88</v>
      </c>
      <c r="BF4" s="976"/>
      <c r="BG4" s="976"/>
      <c r="BH4" s="978"/>
    </row>
    <row r="5" spans="1:60" ht="86.4" customHeight="1" x14ac:dyDescent="0.3">
      <c r="A5" s="1173"/>
      <c r="B5" s="1181"/>
      <c r="C5" s="1163"/>
      <c r="D5" s="1163"/>
      <c r="E5" s="1163"/>
      <c r="F5" s="1171"/>
      <c r="G5" s="87" t="s">
        <v>403</v>
      </c>
      <c r="H5" s="134">
        <v>500000</v>
      </c>
      <c r="I5" s="89" t="s">
        <v>402</v>
      </c>
      <c r="J5" s="216">
        <v>475000</v>
      </c>
      <c r="K5" s="74">
        <f>+J5/H5</f>
        <v>0.95</v>
      </c>
      <c r="L5" s="1100"/>
      <c r="M5" s="71">
        <v>1</v>
      </c>
      <c r="N5" s="976"/>
      <c r="O5" s="976"/>
      <c r="P5" s="979"/>
      <c r="Q5" s="295" t="s">
        <v>403</v>
      </c>
      <c r="R5" s="296">
        <v>500000</v>
      </c>
      <c r="S5" s="297" t="s">
        <v>588</v>
      </c>
      <c r="T5" s="298">
        <v>307691</v>
      </c>
      <c r="U5" s="74">
        <f>+T5/R5</f>
        <v>0.61538199999999998</v>
      </c>
      <c r="V5" s="1100"/>
      <c r="W5" s="71">
        <v>1</v>
      </c>
      <c r="X5" s="976"/>
      <c r="Y5" s="976"/>
      <c r="Z5" s="979"/>
      <c r="AA5" s="521" t="s">
        <v>403</v>
      </c>
      <c r="AB5" s="553">
        <v>500000</v>
      </c>
      <c r="AC5" s="423" t="s">
        <v>741</v>
      </c>
      <c r="AD5" s="424">
        <v>354818</v>
      </c>
      <c r="AE5" s="651" t="s">
        <v>403</v>
      </c>
      <c r="AF5" s="553">
        <v>500000</v>
      </c>
      <c r="AG5" s="423" t="s">
        <v>742</v>
      </c>
      <c r="AH5" s="424">
        <v>468416</v>
      </c>
      <c r="AI5" s="639">
        <f>((AD5/AB5)+(AH5/AF5))/2</f>
        <v>0.82323400000000002</v>
      </c>
      <c r="AJ5" s="1100"/>
      <c r="AK5" s="71">
        <f>+AI5</f>
        <v>0.82323400000000002</v>
      </c>
      <c r="AL5" s="976"/>
      <c r="AM5" s="976"/>
      <c r="AN5" s="978"/>
      <c r="AO5" s="295" t="s">
        <v>403</v>
      </c>
      <c r="AP5" s="296">
        <v>500000</v>
      </c>
      <c r="AQ5" s="297" t="s">
        <v>800</v>
      </c>
      <c r="AR5" s="654">
        <v>446000</v>
      </c>
      <c r="AS5" s="74">
        <f>+AR5/AP5</f>
        <v>0.89200000000000002</v>
      </c>
      <c r="AT5" s="1100"/>
      <c r="AU5" s="71">
        <f>+AS5</f>
        <v>0.89200000000000002</v>
      </c>
      <c r="AV5" s="976"/>
      <c r="AW5" s="976"/>
      <c r="AX5" s="979"/>
      <c r="AY5" s="790" t="s">
        <v>403</v>
      </c>
      <c r="AZ5" s="791">
        <v>500000</v>
      </c>
      <c r="BA5" s="768" t="s">
        <v>877</v>
      </c>
      <c r="BB5" s="853">
        <v>326427</v>
      </c>
      <c r="BC5" s="560">
        <f>+BB5/AZ5</f>
        <v>0.65285400000000005</v>
      </c>
      <c r="BD5" s="1100"/>
      <c r="BE5" s="71">
        <f>+BC5/80*100</f>
        <v>0.81606750000000006</v>
      </c>
      <c r="BF5" s="976"/>
      <c r="BG5" s="976"/>
      <c r="BH5" s="978"/>
    </row>
    <row r="6" spans="1:60" ht="193.2" customHeight="1" x14ac:dyDescent="0.3">
      <c r="A6" s="994"/>
      <c r="B6" s="1182"/>
      <c r="C6" s="2" t="s">
        <v>10</v>
      </c>
      <c r="D6" s="2" t="s">
        <v>11</v>
      </c>
      <c r="E6" s="2" t="s">
        <v>429</v>
      </c>
      <c r="F6" s="55" t="s">
        <v>441</v>
      </c>
      <c r="G6" s="87" t="s">
        <v>244</v>
      </c>
      <c r="H6" s="134">
        <v>1130</v>
      </c>
      <c r="I6" s="89" t="s">
        <v>316</v>
      </c>
      <c r="J6" s="216">
        <f>(J4+J5)/J7</f>
        <v>856.9988297249854</v>
      </c>
      <c r="K6" s="74">
        <f>(J6/H6)-1</f>
        <v>-0.24159395599558819</v>
      </c>
      <c r="L6" s="66" t="s">
        <v>430</v>
      </c>
      <c r="M6" s="71">
        <v>1</v>
      </c>
      <c r="N6" s="976"/>
      <c r="O6" s="976"/>
      <c r="P6" s="979"/>
      <c r="Q6" s="295" t="s">
        <v>316</v>
      </c>
      <c r="R6" s="296">
        <v>856.9988297249854</v>
      </c>
      <c r="S6" s="297" t="s">
        <v>589</v>
      </c>
      <c r="T6" s="298">
        <f>(T4+T5)/T7</f>
        <v>811.82126549249836</v>
      </c>
      <c r="U6" s="74">
        <f>(T6/R6)-1</f>
        <v>-5.2716016248219089E-2</v>
      </c>
      <c r="V6" s="66" t="s">
        <v>632</v>
      </c>
      <c r="W6" s="71">
        <v>1</v>
      </c>
      <c r="X6" s="976"/>
      <c r="Y6" s="976"/>
      <c r="Z6" s="979"/>
      <c r="AA6" s="521" t="s">
        <v>589</v>
      </c>
      <c r="AB6" s="553">
        <f>(AB4+AB5)/AB7</f>
        <v>1500</v>
      </c>
      <c r="AC6" s="423" t="s">
        <v>690</v>
      </c>
      <c r="AD6" s="424">
        <v>1535</v>
      </c>
      <c r="AE6" s="651" t="s">
        <v>690</v>
      </c>
      <c r="AF6" s="553">
        <v>1535</v>
      </c>
      <c r="AG6" s="423" t="s">
        <v>691</v>
      </c>
      <c r="AH6" s="424">
        <v>4007</v>
      </c>
      <c r="AI6" s="560">
        <f>((AD6/AB6)+(AH6/AF6))/2</f>
        <v>1.8168783930510315</v>
      </c>
      <c r="AJ6" s="66" t="s">
        <v>731</v>
      </c>
      <c r="AK6" s="71">
        <v>0.89</v>
      </c>
      <c r="AL6" s="976"/>
      <c r="AM6" s="976"/>
      <c r="AN6" s="978"/>
      <c r="AO6" s="295" t="s">
        <v>691</v>
      </c>
      <c r="AP6" s="296">
        <v>4007</v>
      </c>
      <c r="AQ6" s="297" t="s">
        <v>801</v>
      </c>
      <c r="AR6" s="654">
        <v>1030</v>
      </c>
      <c r="AS6" s="74">
        <f>(AR6/AP6)-1</f>
        <v>-0.74294983778387813</v>
      </c>
      <c r="AT6" s="66" t="s">
        <v>837</v>
      </c>
      <c r="AU6" s="71">
        <v>1</v>
      </c>
      <c r="AV6" s="976"/>
      <c r="AW6" s="976"/>
      <c r="AX6" s="979"/>
      <c r="AY6" s="790" t="s">
        <v>801</v>
      </c>
      <c r="AZ6" s="791">
        <v>1030</v>
      </c>
      <c r="BA6" s="768" t="s">
        <v>878</v>
      </c>
      <c r="BB6" s="853">
        <v>848</v>
      </c>
      <c r="BC6" s="638">
        <f>(BB6/AZ6)-1</f>
        <v>-0.1766990291262136</v>
      </c>
      <c r="BD6" s="66" t="s">
        <v>893</v>
      </c>
      <c r="BE6" s="71">
        <v>1</v>
      </c>
      <c r="BF6" s="976"/>
      <c r="BG6" s="976"/>
      <c r="BH6" s="978"/>
    </row>
    <row r="7" spans="1:60" ht="178.2" customHeight="1" x14ac:dyDescent="0.3">
      <c r="A7" s="994"/>
      <c r="B7" s="1182"/>
      <c r="C7" s="157" t="s">
        <v>431</v>
      </c>
      <c r="D7" s="157" t="s">
        <v>432</v>
      </c>
      <c r="E7" s="75" t="s">
        <v>393</v>
      </c>
      <c r="F7" s="76" t="s">
        <v>440</v>
      </c>
      <c r="G7" s="91" t="s">
        <v>3</v>
      </c>
      <c r="H7" s="88">
        <v>1500</v>
      </c>
      <c r="I7" s="89" t="s">
        <v>108</v>
      </c>
      <c r="J7" s="112">
        <v>1709</v>
      </c>
      <c r="K7" s="74">
        <f>+J7/H7</f>
        <v>1.1393333333333333</v>
      </c>
      <c r="L7" s="66" t="s">
        <v>433</v>
      </c>
      <c r="M7" s="71">
        <v>1</v>
      </c>
      <c r="N7" s="976"/>
      <c r="O7" s="976"/>
      <c r="P7" s="979"/>
      <c r="Q7" s="299" t="s">
        <v>3</v>
      </c>
      <c r="R7" s="300">
        <v>1500</v>
      </c>
      <c r="S7" s="297" t="s">
        <v>110</v>
      </c>
      <c r="T7" s="301">
        <v>1533</v>
      </c>
      <c r="U7" s="74">
        <f>+T7/R7</f>
        <v>1.022</v>
      </c>
      <c r="V7" s="66" t="s">
        <v>633</v>
      </c>
      <c r="W7" s="71">
        <v>1</v>
      </c>
      <c r="X7" s="976"/>
      <c r="Y7" s="976"/>
      <c r="Z7" s="979"/>
      <c r="AA7" s="425" t="s">
        <v>3</v>
      </c>
      <c r="AB7" s="426">
        <v>1000</v>
      </c>
      <c r="AC7" s="423" t="s">
        <v>112</v>
      </c>
      <c r="AD7" s="427">
        <v>1590</v>
      </c>
      <c r="AE7" s="511" t="s">
        <v>3</v>
      </c>
      <c r="AF7" s="426">
        <v>300</v>
      </c>
      <c r="AG7" s="423" t="s">
        <v>91</v>
      </c>
      <c r="AH7" s="427">
        <v>329</v>
      </c>
      <c r="AI7" s="647" t="s">
        <v>201</v>
      </c>
      <c r="AJ7" s="66" t="s">
        <v>732</v>
      </c>
      <c r="AK7" s="71" t="s">
        <v>201</v>
      </c>
      <c r="AL7" s="976"/>
      <c r="AM7" s="976"/>
      <c r="AN7" s="978"/>
      <c r="AO7" s="299" t="s">
        <v>3</v>
      </c>
      <c r="AP7" s="300">
        <v>1500</v>
      </c>
      <c r="AQ7" s="297" t="s">
        <v>94</v>
      </c>
      <c r="AR7" s="642">
        <v>1409</v>
      </c>
      <c r="AS7" s="74">
        <f>+AR7/AP7</f>
        <v>0.93933333333333335</v>
      </c>
      <c r="AT7" s="66" t="s">
        <v>838</v>
      </c>
      <c r="AU7" s="71">
        <f>+AS7</f>
        <v>0.93933333333333335</v>
      </c>
      <c r="AV7" s="976"/>
      <c r="AW7" s="976"/>
      <c r="AX7" s="979"/>
      <c r="AY7" s="735" t="s">
        <v>3</v>
      </c>
      <c r="AZ7" s="737">
        <v>1500</v>
      </c>
      <c r="BA7" s="768" t="s">
        <v>96</v>
      </c>
      <c r="BB7" s="825">
        <v>1710</v>
      </c>
      <c r="BC7" s="638">
        <f>+BB7/AZ7</f>
        <v>1.1399999999999999</v>
      </c>
      <c r="BD7" s="66" t="s">
        <v>894</v>
      </c>
      <c r="BE7" s="71">
        <v>1</v>
      </c>
      <c r="BF7" s="976"/>
      <c r="BG7" s="976"/>
      <c r="BH7" s="978"/>
    </row>
    <row r="8" spans="1:60" ht="97.8" customHeight="1" x14ac:dyDescent="0.3">
      <c r="A8" s="994"/>
      <c r="B8" s="1182"/>
      <c r="C8" s="1187" t="s">
        <v>315</v>
      </c>
      <c r="D8" s="1189" t="s">
        <v>394</v>
      </c>
      <c r="E8" s="1161" t="s">
        <v>437</v>
      </c>
      <c r="F8" s="1191" t="s">
        <v>439</v>
      </c>
      <c r="G8" s="91" t="s">
        <v>314</v>
      </c>
      <c r="H8" s="88">
        <v>645</v>
      </c>
      <c r="I8" s="88" t="s">
        <v>108</v>
      </c>
      <c r="J8" s="112">
        <v>1339</v>
      </c>
      <c r="K8" s="74">
        <f>(J8/H8)-1</f>
        <v>1.075968992248062</v>
      </c>
      <c r="L8" s="1100" t="s">
        <v>434</v>
      </c>
      <c r="M8" s="71">
        <v>1</v>
      </c>
      <c r="N8" s="976"/>
      <c r="O8" s="976"/>
      <c r="P8" s="979"/>
      <c r="Q8" s="299" t="s">
        <v>590</v>
      </c>
      <c r="R8" s="300">
        <v>1339</v>
      </c>
      <c r="S8" s="297" t="s">
        <v>110</v>
      </c>
      <c r="T8" s="301">
        <v>1387</v>
      </c>
      <c r="U8" s="74">
        <f>(T8/R8)</f>
        <v>1.0358476474981329</v>
      </c>
      <c r="V8" s="1100" t="s">
        <v>634</v>
      </c>
      <c r="W8" s="71">
        <v>1</v>
      </c>
      <c r="X8" s="976"/>
      <c r="Y8" s="976"/>
      <c r="Z8" s="979"/>
      <c r="AA8" s="521" t="s">
        <v>110</v>
      </c>
      <c r="AB8" s="426">
        <v>1387</v>
      </c>
      <c r="AC8" s="423" t="s">
        <v>112</v>
      </c>
      <c r="AD8" s="427">
        <v>597</v>
      </c>
      <c r="AE8" s="651" t="s">
        <v>112</v>
      </c>
      <c r="AF8" s="426">
        <v>597</v>
      </c>
      <c r="AG8" s="423" t="s">
        <v>91</v>
      </c>
      <c r="AH8" s="427">
        <v>245</v>
      </c>
      <c r="AI8" s="638">
        <f>((AD8/AB8)+(AH8/AF8))/2</f>
        <v>0.42040531907313544</v>
      </c>
      <c r="AJ8" s="1100" t="s">
        <v>733</v>
      </c>
      <c r="AK8" s="71">
        <v>1</v>
      </c>
      <c r="AL8" s="976"/>
      <c r="AM8" s="976"/>
      <c r="AN8" s="978"/>
      <c r="AO8" s="299" t="s">
        <v>91</v>
      </c>
      <c r="AP8" s="300">
        <v>245</v>
      </c>
      <c r="AQ8" s="297" t="s">
        <v>94</v>
      </c>
      <c r="AR8" s="642">
        <f>+AR7-188</f>
        <v>1221</v>
      </c>
      <c r="AS8" s="74">
        <f>(AR8/AP8)</f>
        <v>4.9836734693877549</v>
      </c>
      <c r="AT8" s="1100" t="s">
        <v>839</v>
      </c>
      <c r="AU8" s="71">
        <v>1</v>
      </c>
      <c r="AV8" s="976"/>
      <c r="AW8" s="976"/>
      <c r="AX8" s="979"/>
      <c r="AY8" s="790" t="s">
        <v>94</v>
      </c>
      <c r="AZ8" s="737">
        <f>+AZ7-188</f>
        <v>1312</v>
      </c>
      <c r="BA8" s="768" t="s">
        <v>96</v>
      </c>
      <c r="BB8" s="825">
        <f>+BB7-199</f>
        <v>1511</v>
      </c>
      <c r="BC8" s="638">
        <f>(BB8/AZ8)</f>
        <v>1.1516768292682926</v>
      </c>
      <c r="BD8" s="1100" t="s">
        <v>895</v>
      </c>
      <c r="BE8" s="71">
        <v>1</v>
      </c>
      <c r="BF8" s="976"/>
      <c r="BG8" s="976"/>
      <c r="BH8" s="978"/>
    </row>
    <row r="9" spans="1:60" ht="97.8" customHeight="1" x14ac:dyDescent="0.3">
      <c r="A9" s="994"/>
      <c r="B9" s="1182"/>
      <c r="C9" s="1188"/>
      <c r="D9" s="1190"/>
      <c r="E9" s="1188"/>
      <c r="F9" s="1192"/>
      <c r="G9" s="91" t="s">
        <v>158</v>
      </c>
      <c r="H9" s="88">
        <f>+J7</f>
        <v>1709</v>
      </c>
      <c r="I9" s="88" t="s">
        <v>397</v>
      </c>
      <c r="J9" s="113">
        <f>+J8/H9</f>
        <v>0.78349912229373908</v>
      </c>
      <c r="K9" s="74">
        <f>+J9</f>
        <v>0.78349912229373908</v>
      </c>
      <c r="L9" s="1100"/>
      <c r="M9" s="71">
        <v>1</v>
      </c>
      <c r="N9" s="976"/>
      <c r="O9" s="976"/>
      <c r="P9" s="979"/>
      <c r="Q9" s="299" t="s">
        <v>158</v>
      </c>
      <c r="R9" s="300">
        <f>+T7</f>
        <v>1533</v>
      </c>
      <c r="S9" s="300" t="s">
        <v>397</v>
      </c>
      <c r="T9" s="302">
        <f>+T8/R9</f>
        <v>0.90476190476190477</v>
      </c>
      <c r="U9" s="74">
        <f>+T9</f>
        <v>0.90476190476190477</v>
      </c>
      <c r="V9" s="1100"/>
      <c r="W9" s="71">
        <v>1</v>
      </c>
      <c r="X9" s="976"/>
      <c r="Y9" s="976"/>
      <c r="Z9" s="979"/>
      <c r="AA9" s="425" t="s">
        <v>158</v>
      </c>
      <c r="AB9" s="426">
        <f>+AD7</f>
        <v>1590</v>
      </c>
      <c r="AC9" s="426" t="s">
        <v>397</v>
      </c>
      <c r="AD9" s="428">
        <f>+AD8/AB9</f>
        <v>0.37547169811320757</v>
      </c>
      <c r="AE9" s="511" t="s">
        <v>158</v>
      </c>
      <c r="AF9" s="426">
        <f>+AH7</f>
        <v>329</v>
      </c>
      <c r="AG9" s="426" t="s">
        <v>397</v>
      </c>
      <c r="AH9" s="428">
        <f>+AH8/AF9</f>
        <v>0.74468085106382975</v>
      </c>
      <c r="AI9" s="638">
        <f>+(AD9+AH9)/2</f>
        <v>0.56007627458851861</v>
      </c>
      <c r="AJ9" s="1100"/>
      <c r="AK9" s="71">
        <v>1</v>
      </c>
      <c r="AL9" s="976"/>
      <c r="AM9" s="976"/>
      <c r="AN9" s="978"/>
      <c r="AO9" s="299" t="s">
        <v>158</v>
      </c>
      <c r="AP9" s="300">
        <f>+AR7</f>
        <v>1409</v>
      </c>
      <c r="AQ9" s="300" t="s">
        <v>397</v>
      </c>
      <c r="AR9" s="655">
        <f>+AR8/AP9</f>
        <v>0.8665720369056068</v>
      </c>
      <c r="AS9" s="74">
        <f>+AR9</f>
        <v>0.8665720369056068</v>
      </c>
      <c r="AT9" s="1100"/>
      <c r="AU9" s="71">
        <v>1</v>
      </c>
      <c r="AV9" s="976"/>
      <c r="AW9" s="976"/>
      <c r="AX9" s="979"/>
      <c r="AY9" s="735" t="s">
        <v>158</v>
      </c>
      <c r="AZ9" s="737">
        <f>+BB7</f>
        <v>1710</v>
      </c>
      <c r="BA9" s="737" t="s">
        <v>397</v>
      </c>
      <c r="BB9" s="826">
        <f>+BB8/AZ9</f>
        <v>0.88362573099415209</v>
      </c>
      <c r="BC9" s="638">
        <f>+BB9</f>
        <v>0.88362573099415209</v>
      </c>
      <c r="BD9" s="1100"/>
      <c r="BE9" s="71">
        <v>1</v>
      </c>
      <c r="BF9" s="976"/>
      <c r="BG9" s="976"/>
      <c r="BH9" s="978"/>
    </row>
    <row r="10" spans="1:60" ht="79.2" customHeight="1" x14ac:dyDescent="0.3">
      <c r="A10" s="994"/>
      <c r="B10" s="1182"/>
      <c r="C10" s="159" t="s">
        <v>139</v>
      </c>
      <c r="D10" s="6" t="s">
        <v>395</v>
      </c>
      <c r="E10" s="986" t="s">
        <v>436</v>
      </c>
      <c r="F10" s="987" t="s">
        <v>442</v>
      </c>
      <c r="G10" s="91" t="s">
        <v>314</v>
      </c>
      <c r="H10" s="89">
        <v>45</v>
      </c>
      <c r="I10" s="88" t="s">
        <v>108</v>
      </c>
      <c r="J10" s="217">
        <v>179</v>
      </c>
      <c r="K10" s="185">
        <f>(J10/H10)-1</f>
        <v>2.9777777777777779</v>
      </c>
      <c r="L10" s="1100" t="s">
        <v>468</v>
      </c>
      <c r="M10" s="1091">
        <v>0.22</v>
      </c>
      <c r="N10" s="976"/>
      <c r="O10" s="976"/>
      <c r="P10" s="979"/>
      <c r="Q10" s="299" t="s">
        <v>108</v>
      </c>
      <c r="R10" s="297">
        <v>179</v>
      </c>
      <c r="S10" s="300" t="s">
        <v>110</v>
      </c>
      <c r="T10" s="303">
        <v>71</v>
      </c>
      <c r="U10" s="187">
        <f>(T10/R10)-1</f>
        <v>-0.6033519553072626</v>
      </c>
      <c r="V10" s="1100" t="s">
        <v>635</v>
      </c>
      <c r="W10" s="1120">
        <v>8.5000000000000006E-2</v>
      </c>
      <c r="X10" s="976"/>
      <c r="Y10" s="976"/>
      <c r="Z10" s="979"/>
      <c r="AA10" s="425" t="s">
        <v>110</v>
      </c>
      <c r="AB10" s="423">
        <v>71</v>
      </c>
      <c r="AC10" s="426" t="s">
        <v>112</v>
      </c>
      <c r="AD10" s="429">
        <v>94</v>
      </c>
      <c r="AE10" s="511" t="s">
        <v>112</v>
      </c>
      <c r="AF10" s="423">
        <v>94</v>
      </c>
      <c r="AG10" s="426" t="s">
        <v>91</v>
      </c>
      <c r="AH10" s="429">
        <v>38</v>
      </c>
      <c r="AI10" s="1218">
        <f>(AD11+AH11)/2</f>
        <v>0.15627798858236763</v>
      </c>
      <c r="AJ10" s="1100" t="s">
        <v>734</v>
      </c>
      <c r="AK10" s="1120">
        <f>AI10*100/60</f>
        <v>0.26046331430394604</v>
      </c>
      <c r="AL10" s="976"/>
      <c r="AM10" s="976"/>
      <c r="AN10" s="978"/>
      <c r="AO10" s="299" t="s">
        <v>91</v>
      </c>
      <c r="AP10" s="297">
        <v>38</v>
      </c>
      <c r="AQ10" s="300" t="s">
        <v>94</v>
      </c>
      <c r="AR10" s="641">
        <v>78</v>
      </c>
      <c r="AS10" s="187">
        <f>(AR10/AP10)-1</f>
        <v>1.0526315789473686</v>
      </c>
      <c r="AT10" s="1100" t="s">
        <v>840</v>
      </c>
      <c r="AU10" s="1120">
        <v>0.106</v>
      </c>
      <c r="AV10" s="976"/>
      <c r="AW10" s="976"/>
      <c r="AX10" s="979"/>
      <c r="AY10" s="735" t="s">
        <v>94</v>
      </c>
      <c r="AZ10" s="768">
        <v>78</v>
      </c>
      <c r="BA10" s="737" t="s">
        <v>96</v>
      </c>
      <c r="BB10" s="769">
        <v>92</v>
      </c>
      <c r="BC10" s="640">
        <f>(BB10/AZ10)-1</f>
        <v>0.17948717948717952</v>
      </c>
      <c r="BD10" s="1246" t="s">
        <v>896</v>
      </c>
      <c r="BE10" s="1120">
        <v>0.10150000000000001</v>
      </c>
      <c r="BF10" s="976"/>
      <c r="BG10" s="976"/>
      <c r="BH10" s="978"/>
    </row>
    <row r="11" spans="1:60" ht="79.2" customHeight="1" x14ac:dyDescent="0.3">
      <c r="A11" s="994"/>
      <c r="B11" s="1182"/>
      <c r="C11" s="159" t="s">
        <v>143</v>
      </c>
      <c r="D11" s="6" t="s">
        <v>144</v>
      </c>
      <c r="E11" s="1002"/>
      <c r="F11" s="987"/>
      <c r="G11" s="91" t="s">
        <v>339</v>
      </c>
      <c r="H11" s="212">
        <f>+J8</f>
        <v>1339</v>
      </c>
      <c r="I11" s="88" t="s">
        <v>398</v>
      </c>
      <c r="J11" s="218">
        <f>+J10/H11</f>
        <v>0.13368185212845407</v>
      </c>
      <c r="K11" s="184">
        <f>+J11</f>
        <v>0.13368185212845407</v>
      </c>
      <c r="L11" s="1100"/>
      <c r="M11" s="1093"/>
      <c r="N11" s="976"/>
      <c r="O11" s="976"/>
      <c r="P11" s="979"/>
      <c r="Q11" s="299" t="s">
        <v>339</v>
      </c>
      <c r="R11" s="304">
        <f>+T8</f>
        <v>1387</v>
      </c>
      <c r="S11" s="300" t="s">
        <v>398</v>
      </c>
      <c r="T11" s="305">
        <f>+T10/R11</f>
        <v>5.1189617880317229E-2</v>
      </c>
      <c r="U11" s="178">
        <f>+T11</f>
        <v>5.1189617880317229E-2</v>
      </c>
      <c r="V11" s="1100"/>
      <c r="W11" s="1121"/>
      <c r="X11" s="976"/>
      <c r="Y11" s="976"/>
      <c r="Z11" s="979"/>
      <c r="AA11" s="425" t="s">
        <v>339</v>
      </c>
      <c r="AB11" s="430">
        <f>+AD8</f>
        <v>597</v>
      </c>
      <c r="AC11" s="426" t="s">
        <v>398</v>
      </c>
      <c r="AD11" s="431">
        <f>+AD10/AB11</f>
        <v>0.15745393634840871</v>
      </c>
      <c r="AE11" s="511" t="s">
        <v>339</v>
      </c>
      <c r="AF11" s="430">
        <f>+AH8</f>
        <v>245</v>
      </c>
      <c r="AG11" s="426" t="s">
        <v>398</v>
      </c>
      <c r="AH11" s="431">
        <f>+AH10/AF11</f>
        <v>0.15510204081632653</v>
      </c>
      <c r="AI11" s="1219"/>
      <c r="AJ11" s="1100"/>
      <c r="AK11" s="1121"/>
      <c r="AL11" s="976"/>
      <c r="AM11" s="976"/>
      <c r="AN11" s="978"/>
      <c r="AO11" s="299" t="s">
        <v>339</v>
      </c>
      <c r="AP11" s="304">
        <f>+AR8</f>
        <v>1221</v>
      </c>
      <c r="AQ11" s="300" t="s">
        <v>398</v>
      </c>
      <c r="AR11" s="656">
        <f>+AR10/AP11</f>
        <v>6.3882063882063883E-2</v>
      </c>
      <c r="AS11" s="178">
        <f>+AR11</f>
        <v>6.3882063882063883E-2</v>
      </c>
      <c r="AT11" s="1100"/>
      <c r="AU11" s="1121"/>
      <c r="AV11" s="976"/>
      <c r="AW11" s="976"/>
      <c r="AX11" s="979"/>
      <c r="AY11" s="735" t="s">
        <v>339</v>
      </c>
      <c r="AZ11" s="792">
        <f>+BB8</f>
        <v>1511</v>
      </c>
      <c r="BA11" s="737" t="s">
        <v>398</v>
      </c>
      <c r="BB11" s="827">
        <f>+BB10/AZ11</f>
        <v>6.0886829913964262E-2</v>
      </c>
      <c r="BC11" s="605">
        <f>+BB11</f>
        <v>6.0886829913964262E-2</v>
      </c>
      <c r="BD11" s="1100"/>
      <c r="BE11" s="1121"/>
      <c r="BF11" s="976"/>
      <c r="BG11" s="976"/>
      <c r="BH11" s="978"/>
    </row>
    <row r="12" spans="1:60" ht="141.6" customHeight="1" x14ac:dyDescent="0.3">
      <c r="A12" s="994"/>
      <c r="B12" s="1182"/>
      <c r="C12" s="6" t="s">
        <v>145</v>
      </c>
      <c r="D12" s="6" t="s">
        <v>396</v>
      </c>
      <c r="E12" s="986" t="s">
        <v>435</v>
      </c>
      <c r="F12" s="987" t="s">
        <v>443</v>
      </c>
      <c r="G12" s="91" t="s">
        <v>107</v>
      </c>
      <c r="H12" s="89">
        <v>30</v>
      </c>
      <c r="I12" s="88" t="s">
        <v>108</v>
      </c>
      <c r="J12" s="217">
        <v>38</v>
      </c>
      <c r="K12" s="185">
        <f>+J12/H12</f>
        <v>1.2666666666666666</v>
      </c>
      <c r="L12" s="1100" t="s">
        <v>467</v>
      </c>
      <c r="M12" s="1134">
        <v>9.5000000000000001E-2</v>
      </c>
      <c r="N12" s="976"/>
      <c r="O12" s="976"/>
      <c r="P12" s="979"/>
      <c r="Q12" s="299" t="s">
        <v>108</v>
      </c>
      <c r="R12" s="297">
        <v>38</v>
      </c>
      <c r="S12" s="300" t="s">
        <v>110</v>
      </c>
      <c r="T12" s="303">
        <f>33+13</f>
        <v>46</v>
      </c>
      <c r="U12" s="187">
        <f>+T12/R12</f>
        <v>1.2105263157894737</v>
      </c>
      <c r="V12" s="1100" t="s">
        <v>636</v>
      </c>
      <c r="W12" s="1091">
        <v>0.11</v>
      </c>
      <c r="X12" s="976"/>
      <c r="Y12" s="976"/>
      <c r="Z12" s="979"/>
      <c r="AA12" s="425" t="s">
        <v>110</v>
      </c>
      <c r="AB12" s="423">
        <f>33+13</f>
        <v>46</v>
      </c>
      <c r="AC12" s="426" t="s">
        <v>112</v>
      </c>
      <c r="AD12" s="429">
        <v>24</v>
      </c>
      <c r="AE12" s="511" t="s">
        <v>112</v>
      </c>
      <c r="AF12" s="423">
        <v>24</v>
      </c>
      <c r="AG12" s="426" t="s">
        <v>699</v>
      </c>
      <c r="AH12" s="429">
        <v>22</v>
      </c>
      <c r="AI12" s="1218">
        <f>(AD13+AH13)/2</f>
        <v>6.4998461696236284E-2</v>
      </c>
      <c r="AJ12" s="1100" t="s">
        <v>735</v>
      </c>
      <c r="AK12" s="1091">
        <f>AI12*100/30</f>
        <v>0.2166615389874543</v>
      </c>
      <c r="AL12" s="976"/>
      <c r="AM12" s="976"/>
      <c r="AN12" s="978"/>
      <c r="AO12" s="299" t="s">
        <v>91</v>
      </c>
      <c r="AP12" s="297">
        <v>22</v>
      </c>
      <c r="AQ12" s="300" t="s">
        <v>94</v>
      </c>
      <c r="AR12" s="641">
        <v>51</v>
      </c>
      <c r="AS12" s="187">
        <f>+AR12/AP12</f>
        <v>2.3181818181818183</v>
      </c>
      <c r="AT12" s="1100" t="s">
        <v>841</v>
      </c>
      <c r="AU12" s="1120">
        <v>0.13900000000000001</v>
      </c>
      <c r="AV12" s="976"/>
      <c r="AW12" s="976"/>
      <c r="AX12" s="979"/>
      <c r="AY12" s="735" t="s">
        <v>94</v>
      </c>
      <c r="AZ12" s="768">
        <v>51</v>
      </c>
      <c r="BA12" s="737" t="s">
        <v>96</v>
      </c>
      <c r="BB12" s="769">
        <f>44+10</f>
        <v>54</v>
      </c>
      <c r="BC12" s="640">
        <f>+BB12/AZ12</f>
        <v>1.0588235294117647</v>
      </c>
      <c r="BD12" s="1100" t="s">
        <v>897</v>
      </c>
      <c r="BE12" s="1120">
        <v>0.11899999999999999</v>
      </c>
      <c r="BF12" s="976"/>
      <c r="BG12" s="976"/>
      <c r="BH12" s="978"/>
    </row>
    <row r="13" spans="1:60" ht="141.6" customHeight="1" x14ac:dyDescent="0.3">
      <c r="A13" s="994"/>
      <c r="B13" s="1182"/>
      <c r="C13" s="6" t="s">
        <v>148</v>
      </c>
      <c r="D13" s="6" t="s">
        <v>149</v>
      </c>
      <c r="E13" s="1002"/>
      <c r="F13" s="987"/>
      <c r="G13" s="91" t="s">
        <v>339</v>
      </c>
      <c r="H13" s="212">
        <f>+J8</f>
        <v>1339</v>
      </c>
      <c r="I13" s="88" t="s">
        <v>399</v>
      </c>
      <c r="J13" s="218">
        <f>+J12/H13</f>
        <v>2.8379387602688575E-2</v>
      </c>
      <c r="K13" s="184">
        <f>+J13</f>
        <v>2.8379387602688575E-2</v>
      </c>
      <c r="L13" s="1100"/>
      <c r="M13" s="1136"/>
      <c r="N13" s="976"/>
      <c r="O13" s="976"/>
      <c r="P13" s="979"/>
      <c r="Q13" s="299" t="s">
        <v>339</v>
      </c>
      <c r="R13" s="304">
        <f>+T8</f>
        <v>1387</v>
      </c>
      <c r="S13" s="300" t="s">
        <v>399</v>
      </c>
      <c r="T13" s="305">
        <f>+T12/R13</f>
        <v>3.3165104542177359E-2</v>
      </c>
      <c r="U13" s="178">
        <f>+T13</f>
        <v>3.3165104542177359E-2</v>
      </c>
      <c r="V13" s="1100"/>
      <c r="W13" s="1093"/>
      <c r="X13" s="976"/>
      <c r="Y13" s="976"/>
      <c r="Z13" s="979"/>
      <c r="AA13" s="425" t="s">
        <v>339</v>
      </c>
      <c r="AB13" s="430">
        <f>+AD8</f>
        <v>597</v>
      </c>
      <c r="AC13" s="426" t="s">
        <v>399</v>
      </c>
      <c r="AD13" s="431">
        <f>+AD12/AB13</f>
        <v>4.0201005025125629E-2</v>
      </c>
      <c r="AE13" s="511" t="s">
        <v>339</v>
      </c>
      <c r="AF13" s="430">
        <f>+AH8</f>
        <v>245</v>
      </c>
      <c r="AG13" s="426" t="s">
        <v>399</v>
      </c>
      <c r="AH13" s="431">
        <f>+AH12/AF13</f>
        <v>8.9795918367346933E-2</v>
      </c>
      <c r="AI13" s="1219"/>
      <c r="AJ13" s="1100"/>
      <c r="AK13" s="1093"/>
      <c r="AL13" s="976"/>
      <c r="AM13" s="976"/>
      <c r="AN13" s="978"/>
      <c r="AO13" s="299" t="s">
        <v>339</v>
      </c>
      <c r="AP13" s="304">
        <f>+AR8</f>
        <v>1221</v>
      </c>
      <c r="AQ13" s="300" t="s">
        <v>399</v>
      </c>
      <c r="AR13" s="656">
        <f>+AR12/AP13</f>
        <v>4.1769041769041768E-2</v>
      </c>
      <c r="AS13" s="178">
        <f>+AR13</f>
        <v>4.1769041769041768E-2</v>
      </c>
      <c r="AT13" s="1100"/>
      <c r="AU13" s="1121"/>
      <c r="AV13" s="976"/>
      <c r="AW13" s="976"/>
      <c r="AX13" s="979"/>
      <c r="AY13" s="735" t="s">
        <v>339</v>
      </c>
      <c r="AZ13" s="792">
        <f>+BB8</f>
        <v>1511</v>
      </c>
      <c r="BA13" s="737" t="s">
        <v>399</v>
      </c>
      <c r="BB13" s="827">
        <f>+BB12/AZ13</f>
        <v>3.5737921906022499E-2</v>
      </c>
      <c r="BC13" s="605">
        <f>+BB13</f>
        <v>3.5737921906022499E-2</v>
      </c>
      <c r="BD13" s="1100"/>
      <c r="BE13" s="1121"/>
      <c r="BF13" s="976"/>
      <c r="BG13" s="976"/>
      <c r="BH13" s="978"/>
    </row>
    <row r="14" spans="1:60" ht="207" customHeight="1" x14ac:dyDescent="0.3">
      <c r="A14" s="994"/>
      <c r="B14" s="1182"/>
      <c r="C14" s="6" t="s">
        <v>153</v>
      </c>
      <c r="D14" s="6" t="s">
        <v>313</v>
      </c>
      <c r="E14" s="2" t="s">
        <v>438</v>
      </c>
      <c r="F14" s="55" t="s">
        <v>542</v>
      </c>
      <c r="G14" s="91" t="s">
        <v>543</v>
      </c>
      <c r="H14" s="186">
        <f>+J12</f>
        <v>38</v>
      </c>
      <c r="I14" s="88" t="s">
        <v>447</v>
      </c>
      <c r="J14" s="219">
        <v>8</v>
      </c>
      <c r="K14" s="185">
        <f>+J14/H14</f>
        <v>0.21052631578947367</v>
      </c>
      <c r="L14" s="66" t="s">
        <v>544</v>
      </c>
      <c r="M14" s="233">
        <v>1</v>
      </c>
      <c r="N14" s="976"/>
      <c r="O14" s="976"/>
      <c r="P14" s="979"/>
      <c r="Q14" s="299" t="s">
        <v>543</v>
      </c>
      <c r="R14" s="306">
        <f>+T12</f>
        <v>46</v>
      </c>
      <c r="S14" s="300" t="s">
        <v>447</v>
      </c>
      <c r="T14" s="307">
        <v>8</v>
      </c>
      <c r="U14" s="187">
        <f>+T14/R14</f>
        <v>0.17391304347826086</v>
      </c>
      <c r="V14" s="66" t="s">
        <v>637</v>
      </c>
      <c r="W14" s="119">
        <v>1</v>
      </c>
      <c r="X14" s="976"/>
      <c r="Y14" s="976"/>
      <c r="Z14" s="979"/>
      <c r="AA14" s="425" t="s">
        <v>543</v>
      </c>
      <c r="AB14" s="432">
        <f>+AD12</f>
        <v>24</v>
      </c>
      <c r="AC14" s="426" t="s">
        <v>447</v>
      </c>
      <c r="AD14" s="433">
        <v>2</v>
      </c>
      <c r="AE14" s="511" t="s">
        <v>543</v>
      </c>
      <c r="AF14" s="432">
        <f>+AH12</f>
        <v>22</v>
      </c>
      <c r="AG14" s="426" t="s">
        <v>447</v>
      </c>
      <c r="AH14" s="433">
        <v>2</v>
      </c>
      <c r="AI14" s="640">
        <f>((AD14/AB14)+(AH14/AF14))/2</f>
        <v>8.7121212121212127E-2</v>
      </c>
      <c r="AJ14" s="66" t="s">
        <v>736</v>
      </c>
      <c r="AK14" s="119">
        <v>1</v>
      </c>
      <c r="AL14" s="976"/>
      <c r="AM14" s="976"/>
      <c r="AN14" s="978"/>
      <c r="AO14" s="299" t="s">
        <v>543</v>
      </c>
      <c r="AP14" s="306">
        <f>+AR12</f>
        <v>51</v>
      </c>
      <c r="AQ14" s="300" t="s">
        <v>447</v>
      </c>
      <c r="AR14" s="657">
        <v>4</v>
      </c>
      <c r="AS14" s="187">
        <f>+AR14/AP14</f>
        <v>7.8431372549019607E-2</v>
      </c>
      <c r="AT14" s="66" t="s">
        <v>842</v>
      </c>
      <c r="AU14" s="119">
        <v>1</v>
      </c>
      <c r="AV14" s="976"/>
      <c r="AW14" s="976"/>
      <c r="AX14" s="979"/>
      <c r="AY14" s="735" t="s">
        <v>543</v>
      </c>
      <c r="AZ14" s="793">
        <f>+BB12</f>
        <v>54</v>
      </c>
      <c r="BA14" s="737" t="s">
        <v>447</v>
      </c>
      <c r="BB14" s="828">
        <v>10</v>
      </c>
      <c r="BC14" s="640">
        <f>+BB14/AZ14</f>
        <v>0.18518518518518517</v>
      </c>
      <c r="BD14" s="66" t="s">
        <v>898</v>
      </c>
      <c r="BE14" s="119">
        <v>1</v>
      </c>
      <c r="BF14" s="976"/>
      <c r="BG14" s="976"/>
      <c r="BH14" s="978"/>
    </row>
    <row r="15" spans="1:60" ht="303.60000000000002" customHeight="1" x14ac:dyDescent="0.3">
      <c r="A15" s="994"/>
      <c r="B15" s="1182"/>
      <c r="C15" s="6" t="s">
        <v>545</v>
      </c>
      <c r="D15" s="6" t="s">
        <v>546</v>
      </c>
      <c r="E15" s="2" t="s">
        <v>438</v>
      </c>
      <c r="F15" s="55" t="s">
        <v>899</v>
      </c>
      <c r="G15" s="91" t="s">
        <v>400</v>
      </c>
      <c r="H15" s="186">
        <f>+J7</f>
        <v>1709</v>
      </c>
      <c r="I15" s="88" t="s">
        <v>447</v>
      </c>
      <c r="J15" s="219">
        <v>8</v>
      </c>
      <c r="K15" s="184">
        <f>+J15/H15</f>
        <v>4.6811000585137508E-3</v>
      </c>
      <c r="L15" s="66" t="s">
        <v>466</v>
      </c>
      <c r="M15" s="197">
        <v>0.157</v>
      </c>
      <c r="N15" s="976"/>
      <c r="O15" s="976"/>
      <c r="P15" s="979"/>
      <c r="Q15" s="299" t="s">
        <v>400</v>
      </c>
      <c r="R15" s="306">
        <f>+T7</f>
        <v>1533</v>
      </c>
      <c r="S15" s="300" t="s">
        <v>447</v>
      </c>
      <c r="T15" s="307">
        <f>+T14</f>
        <v>8</v>
      </c>
      <c r="U15" s="184">
        <f>+T15/R15</f>
        <v>5.2185257664709717E-3</v>
      </c>
      <c r="V15" s="66" t="s">
        <v>638</v>
      </c>
      <c r="W15" s="197">
        <v>0.17299999999999999</v>
      </c>
      <c r="X15" s="976"/>
      <c r="Y15" s="976"/>
      <c r="Z15" s="979"/>
      <c r="AA15" s="493" t="s">
        <v>400</v>
      </c>
      <c r="AB15" s="494">
        <f>+AD7</f>
        <v>1590</v>
      </c>
      <c r="AC15" s="495" t="s">
        <v>447</v>
      </c>
      <c r="AD15" s="496">
        <f>+AD14</f>
        <v>2</v>
      </c>
      <c r="AE15" s="652" t="s">
        <v>400</v>
      </c>
      <c r="AF15" s="494">
        <f>+AH7</f>
        <v>329</v>
      </c>
      <c r="AG15" s="495" t="s">
        <v>447</v>
      </c>
      <c r="AH15" s="496">
        <f>+AH14</f>
        <v>2</v>
      </c>
      <c r="AI15" s="605">
        <f>((AD15/AB15)+(AH15/AF15))/2</f>
        <v>3.6684444954216129E-3</v>
      </c>
      <c r="AJ15" s="66" t="s">
        <v>737</v>
      </c>
      <c r="AK15" s="197">
        <f>+AI15*33.3333333333333</f>
        <v>0.12228148318072031</v>
      </c>
      <c r="AL15" s="976"/>
      <c r="AM15" s="976"/>
      <c r="AN15" s="978"/>
      <c r="AO15" s="299" t="s">
        <v>400</v>
      </c>
      <c r="AP15" s="306">
        <f>+AR7</f>
        <v>1409</v>
      </c>
      <c r="AQ15" s="300" t="s">
        <v>447</v>
      </c>
      <c r="AR15" s="657">
        <f>+AR14</f>
        <v>4</v>
      </c>
      <c r="AS15" s="184">
        <f>+AR15/AP15</f>
        <v>2.8388928317955998E-3</v>
      </c>
      <c r="AT15" s="66" t="s">
        <v>843</v>
      </c>
      <c r="AU15" s="197">
        <v>9.2999999999999999E-2</v>
      </c>
      <c r="AV15" s="976"/>
      <c r="AW15" s="976"/>
      <c r="AX15" s="979"/>
      <c r="AY15" s="735" t="s">
        <v>400</v>
      </c>
      <c r="AZ15" s="793">
        <f>+BB7</f>
        <v>1710</v>
      </c>
      <c r="BA15" s="737" t="s">
        <v>447</v>
      </c>
      <c r="BB15" s="828">
        <f>+BB14</f>
        <v>10</v>
      </c>
      <c r="BC15" s="872">
        <f>+BB15/AZ15</f>
        <v>5.8479532163742687E-3</v>
      </c>
      <c r="BD15" s="66" t="s">
        <v>900</v>
      </c>
      <c r="BE15" s="197">
        <v>0.19</v>
      </c>
      <c r="BF15" s="976"/>
      <c r="BG15" s="976"/>
      <c r="BH15" s="978"/>
    </row>
    <row r="16" spans="1:60" ht="166.8" customHeight="1" x14ac:dyDescent="0.3">
      <c r="A16" s="994"/>
      <c r="B16" s="1182"/>
      <c r="C16" s="6" t="s">
        <v>451</v>
      </c>
      <c r="D16" s="6" t="s">
        <v>448</v>
      </c>
      <c r="E16" s="2" t="s">
        <v>449</v>
      </c>
      <c r="F16" s="55" t="s">
        <v>444</v>
      </c>
      <c r="G16" s="91" t="s">
        <v>445</v>
      </c>
      <c r="H16" s="89">
        <v>8</v>
      </c>
      <c r="I16" s="88" t="s">
        <v>446</v>
      </c>
      <c r="J16" s="217">
        <f>+J3</f>
        <v>12</v>
      </c>
      <c r="K16" s="185">
        <f>+H16/J16</f>
        <v>0.66666666666666663</v>
      </c>
      <c r="L16" s="190" t="s">
        <v>450</v>
      </c>
      <c r="M16" s="71">
        <v>1</v>
      </c>
      <c r="N16" s="976"/>
      <c r="O16" s="976"/>
      <c r="P16" s="979"/>
      <c r="Q16" s="299" t="s">
        <v>445</v>
      </c>
      <c r="R16" s="304">
        <f>+T14</f>
        <v>8</v>
      </c>
      <c r="S16" s="300" t="s">
        <v>446</v>
      </c>
      <c r="T16" s="303">
        <f>+T3</f>
        <v>13</v>
      </c>
      <c r="U16" s="185">
        <f>+R16/T16</f>
        <v>0.61538461538461542</v>
      </c>
      <c r="V16" s="190" t="s">
        <v>639</v>
      </c>
      <c r="W16" s="71">
        <v>1</v>
      </c>
      <c r="X16" s="976"/>
      <c r="Y16" s="976"/>
      <c r="Z16" s="979"/>
      <c r="AA16" s="425" t="s">
        <v>445</v>
      </c>
      <c r="AB16" s="430">
        <f>+AD14</f>
        <v>2</v>
      </c>
      <c r="AC16" s="426" t="s">
        <v>446</v>
      </c>
      <c r="AD16" s="429">
        <f>+AD3</f>
        <v>15</v>
      </c>
      <c r="AE16" s="511" t="s">
        <v>445</v>
      </c>
      <c r="AF16" s="430">
        <f>+AH14</f>
        <v>2</v>
      </c>
      <c r="AG16" s="426" t="s">
        <v>446</v>
      </c>
      <c r="AH16" s="429">
        <f>+AH3</f>
        <v>4</v>
      </c>
      <c r="AI16" s="648">
        <f>((AB16/AD16)+(AF16/AH16))/2</f>
        <v>0.31666666666666665</v>
      </c>
      <c r="AJ16" s="190" t="s">
        <v>738</v>
      </c>
      <c r="AK16" s="71">
        <f>+AI16*2</f>
        <v>0.6333333333333333</v>
      </c>
      <c r="AL16" s="976"/>
      <c r="AM16" s="976"/>
      <c r="AN16" s="978"/>
      <c r="AO16" s="299" t="s">
        <v>445</v>
      </c>
      <c r="AP16" s="304">
        <f>+AR14</f>
        <v>4</v>
      </c>
      <c r="AQ16" s="300" t="s">
        <v>446</v>
      </c>
      <c r="AR16" s="641">
        <f>+AR3</f>
        <v>5</v>
      </c>
      <c r="AS16" s="185">
        <f>+AP16/AR16</f>
        <v>0.8</v>
      </c>
      <c r="AT16" s="190" t="s">
        <v>844</v>
      </c>
      <c r="AU16" s="71">
        <v>1</v>
      </c>
      <c r="AV16" s="976"/>
      <c r="AW16" s="976"/>
      <c r="AX16" s="979"/>
      <c r="AY16" s="735" t="s">
        <v>445</v>
      </c>
      <c r="AZ16" s="792">
        <f>+BB14</f>
        <v>10</v>
      </c>
      <c r="BA16" s="737" t="s">
        <v>446</v>
      </c>
      <c r="BB16" s="769">
        <f>+BB3</f>
        <v>14</v>
      </c>
      <c r="BC16" s="873">
        <f>+AZ16/BB16</f>
        <v>0.7142857142857143</v>
      </c>
      <c r="BD16" s="190" t="s">
        <v>901</v>
      </c>
      <c r="BE16" s="71">
        <v>1</v>
      </c>
      <c r="BF16" s="976"/>
      <c r="BG16" s="976"/>
      <c r="BH16" s="978"/>
    </row>
    <row r="17" spans="1:60" ht="155.4" customHeight="1" x14ac:dyDescent="0.3">
      <c r="A17" s="994"/>
      <c r="B17" s="1182"/>
      <c r="C17" s="986" t="s">
        <v>292</v>
      </c>
      <c r="D17" s="986" t="s">
        <v>294</v>
      </c>
      <c r="E17" s="986" t="s">
        <v>577</v>
      </c>
      <c r="F17" s="986" t="s">
        <v>576</v>
      </c>
      <c r="G17" s="350" t="s">
        <v>575</v>
      </c>
      <c r="H17" s="186">
        <f>+J7</f>
        <v>1709</v>
      </c>
      <c r="I17" s="88" t="s">
        <v>338</v>
      </c>
      <c r="J17" s="219">
        <v>1504</v>
      </c>
      <c r="K17" s="187">
        <f>+J17/H17</f>
        <v>0.88004681100058513</v>
      </c>
      <c r="L17" s="190" t="s">
        <v>578</v>
      </c>
      <c r="M17" s="71">
        <v>0.95</v>
      </c>
      <c r="N17" s="976"/>
      <c r="O17" s="976"/>
      <c r="P17" s="979"/>
      <c r="Q17" s="299" t="s">
        <v>575</v>
      </c>
      <c r="R17" s="306">
        <f>+T7</f>
        <v>1533</v>
      </c>
      <c r="S17" s="300" t="s">
        <v>338</v>
      </c>
      <c r="T17" s="307">
        <v>998</v>
      </c>
      <c r="U17" s="1122">
        <f>+T17/R17</f>
        <v>0.65101108936725371</v>
      </c>
      <c r="V17" s="1124" t="s">
        <v>686</v>
      </c>
      <c r="W17" s="1126">
        <v>0.95</v>
      </c>
      <c r="X17" s="976"/>
      <c r="Y17" s="976"/>
      <c r="Z17" s="979"/>
      <c r="AA17" s="425" t="s">
        <v>575</v>
      </c>
      <c r="AB17" s="432">
        <f>+AD7</f>
        <v>1590</v>
      </c>
      <c r="AC17" s="426" t="s">
        <v>338</v>
      </c>
      <c r="AD17" s="433">
        <v>810</v>
      </c>
      <c r="AE17" s="511" t="s">
        <v>575</v>
      </c>
      <c r="AF17" s="432">
        <f>+AH7</f>
        <v>329</v>
      </c>
      <c r="AG17" s="426" t="s">
        <v>338</v>
      </c>
      <c r="AH17" s="433">
        <v>279</v>
      </c>
      <c r="AI17" s="1218">
        <f>((AD17/AB17)+(AH17/AF17))/2</f>
        <v>0.67872913918678668</v>
      </c>
      <c r="AJ17" s="1124" t="s">
        <v>739</v>
      </c>
      <c r="AK17" s="1126">
        <f>+AI17*1.17647058823529</f>
        <v>0.79850486963151091</v>
      </c>
      <c r="AL17" s="976"/>
      <c r="AM17" s="976"/>
      <c r="AN17" s="978"/>
      <c r="AO17" s="299" t="s">
        <v>575</v>
      </c>
      <c r="AP17" s="306">
        <f>+AR7</f>
        <v>1409</v>
      </c>
      <c r="AQ17" s="300" t="s">
        <v>338</v>
      </c>
      <c r="AR17" s="657">
        <v>811</v>
      </c>
      <c r="AS17" s="1122">
        <f>+AR17/AP17</f>
        <v>0.57558552164655785</v>
      </c>
      <c r="AT17" s="1124" t="s">
        <v>845</v>
      </c>
      <c r="AU17" s="1126">
        <v>0.95</v>
      </c>
      <c r="AV17" s="976"/>
      <c r="AW17" s="976"/>
      <c r="AX17" s="979"/>
      <c r="AY17" s="735" t="s">
        <v>575</v>
      </c>
      <c r="AZ17" s="793">
        <f>+BB7</f>
        <v>1710</v>
      </c>
      <c r="BA17" s="737" t="s">
        <v>338</v>
      </c>
      <c r="BB17" s="828">
        <f>1710-174</f>
        <v>1536</v>
      </c>
      <c r="BC17" s="1247">
        <f>+BB17/AZ17</f>
        <v>0.89824561403508774</v>
      </c>
      <c r="BD17" s="1124" t="s">
        <v>902</v>
      </c>
      <c r="BE17" s="1126">
        <v>1</v>
      </c>
      <c r="BF17" s="976"/>
      <c r="BG17" s="976"/>
      <c r="BH17" s="978"/>
    </row>
    <row r="18" spans="1:60" ht="155.4" customHeight="1" thickBot="1" x14ac:dyDescent="0.35">
      <c r="A18" s="994"/>
      <c r="B18" s="1182"/>
      <c r="C18" s="986"/>
      <c r="D18" s="986"/>
      <c r="E18" s="986"/>
      <c r="F18" s="986"/>
      <c r="G18" s="350"/>
      <c r="H18" s="186"/>
      <c r="I18" s="88"/>
      <c r="J18" s="219"/>
      <c r="K18" s="187"/>
      <c r="L18" s="190"/>
      <c r="M18" s="287"/>
      <c r="N18" s="976"/>
      <c r="O18" s="976"/>
      <c r="P18" s="979"/>
      <c r="Q18" s="328"/>
      <c r="R18" s="406"/>
      <c r="S18" s="330" t="s">
        <v>598</v>
      </c>
      <c r="T18" s="407">
        <v>96</v>
      </c>
      <c r="U18" s="1123"/>
      <c r="V18" s="1125"/>
      <c r="W18" s="1127"/>
      <c r="X18" s="976"/>
      <c r="Y18" s="976"/>
      <c r="Z18" s="979"/>
      <c r="AA18" s="434"/>
      <c r="AB18" s="649"/>
      <c r="AC18" s="435" t="s">
        <v>598</v>
      </c>
      <c r="AD18" s="436">
        <v>231</v>
      </c>
      <c r="AE18" s="514"/>
      <c r="AF18" s="649"/>
      <c r="AG18" s="435" t="s">
        <v>598</v>
      </c>
      <c r="AH18" s="436">
        <v>53</v>
      </c>
      <c r="AI18" s="1219"/>
      <c r="AJ18" s="1125"/>
      <c r="AK18" s="1127"/>
      <c r="AL18" s="976"/>
      <c r="AM18" s="976"/>
      <c r="AN18" s="978"/>
      <c r="AO18" s="328"/>
      <c r="AP18" s="406"/>
      <c r="AQ18" s="330" t="s">
        <v>598</v>
      </c>
      <c r="AR18" s="406">
        <v>598</v>
      </c>
      <c r="AS18" s="1123"/>
      <c r="AT18" s="1125"/>
      <c r="AU18" s="1127"/>
      <c r="AV18" s="976"/>
      <c r="AW18" s="976"/>
      <c r="AX18" s="979"/>
      <c r="AY18" s="751"/>
      <c r="AZ18" s="874"/>
      <c r="BA18" s="770" t="s">
        <v>598</v>
      </c>
      <c r="BB18" s="829">
        <v>174</v>
      </c>
      <c r="BC18" s="1248"/>
      <c r="BD18" s="1125"/>
      <c r="BE18" s="1127"/>
      <c r="BF18" s="976"/>
      <c r="BG18" s="976"/>
      <c r="BH18" s="978"/>
    </row>
    <row r="19" spans="1:60" x14ac:dyDescent="0.3">
      <c r="A19" s="994"/>
      <c r="B19" s="1182"/>
      <c r="C19" s="1161" t="s">
        <v>322</v>
      </c>
      <c r="D19" s="1161" t="s">
        <v>404</v>
      </c>
      <c r="E19" s="1164" t="s">
        <v>423</v>
      </c>
      <c r="F19" s="1165"/>
      <c r="G19" s="91" t="s">
        <v>323</v>
      </c>
      <c r="H19" s="191">
        <v>172</v>
      </c>
      <c r="I19" s="192">
        <v>0.36</v>
      </c>
      <c r="J19" s="957" t="s">
        <v>420</v>
      </c>
      <c r="K19" s="1131">
        <f>480/J7</f>
        <v>0.28086600351082502</v>
      </c>
      <c r="L19" s="1100" t="s">
        <v>452</v>
      </c>
      <c r="M19" s="1091">
        <v>1</v>
      </c>
      <c r="N19" s="976"/>
      <c r="O19" s="976"/>
      <c r="P19" s="979"/>
      <c r="Q19" s="379" t="s">
        <v>323</v>
      </c>
      <c r="R19" s="408">
        <v>12</v>
      </c>
      <c r="S19" s="409">
        <v>0.08</v>
      </c>
      <c r="T19" s="1156" t="s">
        <v>596</v>
      </c>
      <c r="U19" s="1160">
        <f>217/R17</f>
        <v>0.14155251141552511</v>
      </c>
      <c r="V19" s="1100" t="s">
        <v>687</v>
      </c>
      <c r="W19" s="1091">
        <v>1</v>
      </c>
      <c r="X19" s="976"/>
      <c r="Y19" s="976"/>
      <c r="Z19" s="978"/>
      <c r="AA19" s="437" t="s">
        <v>323</v>
      </c>
      <c r="AB19" s="438">
        <v>309</v>
      </c>
      <c r="AC19" s="439">
        <v>0.76500000000000001</v>
      </c>
      <c r="AD19" s="1226" t="s">
        <v>700</v>
      </c>
      <c r="AE19" s="437" t="s">
        <v>323</v>
      </c>
      <c r="AF19" s="438">
        <v>62</v>
      </c>
      <c r="AG19" s="497">
        <v>0.69699999999999995</v>
      </c>
      <c r="AH19" s="1226" t="s">
        <v>701</v>
      </c>
      <c r="AI19" s="1160">
        <f>((25+27)/2)/100</f>
        <v>0.26</v>
      </c>
      <c r="AJ19" s="1100" t="s">
        <v>740</v>
      </c>
      <c r="AK19" s="1091">
        <v>1</v>
      </c>
      <c r="AL19" s="976"/>
      <c r="AM19" s="976"/>
      <c r="AN19" s="978"/>
      <c r="AO19" s="379" t="s">
        <v>323</v>
      </c>
      <c r="AP19" s="408">
        <v>62</v>
      </c>
      <c r="AQ19" s="674">
        <v>0.33</v>
      </c>
      <c r="AR19" s="1128" t="s">
        <v>804</v>
      </c>
      <c r="AS19" s="1131">
        <f>SUM(AP19:AP37)/AP17</f>
        <v>0.1334279630943932</v>
      </c>
      <c r="AT19" s="1100" t="s">
        <v>846</v>
      </c>
      <c r="AU19" s="1091">
        <v>1</v>
      </c>
      <c r="AV19" s="976"/>
      <c r="AW19" s="976"/>
      <c r="AX19" s="978"/>
      <c r="AY19" s="794" t="s">
        <v>323</v>
      </c>
      <c r="AZ19" s="795">
        <v>44</v>
      </c>
      <c r="BA19" s="796">
        <v>0.22600000000000001</v>
      </c>
      <c r="BB19" s="1249" t="s">
        <v>879</v>
      </c>
      <c r="BC19" s="1131">
        <f>SUM(AZ19:AZ37)/AZ17</f>
        <v>0.11403508771929824</v>
      </c>
      <c r="BD19" s="1100" t="s">
        <v>903</v>
      </c>
      <c r="BE19" s="1091">
        <v>1</v>
      </c>
      <c r="BF19" s="976"/>
      <c r="BG19" s="976"/>
      <c r="BH19" s="978"/>
    </row>
    <row r="20" spans="1:60" x14ac:dyDescent="0.3">
      <c r="A20" s="994"/>
      <c r="B20" s="1182"/>
      <c r="C20" s="1162"/>
      <c r="D20" s="1162"/>
      <c r="E20" s="1166"/>
      <c r="F20" s="1167"/>
      <c r="G20" s="91" t="s">
        <v>324</v>
      </c>
      <c r="H20" s="191">
        <v>215</v>
      </c>
      <c r="I20" s="192">
        <v>0.45</v>
      </c>
      <c r="J20" s="957"/>
      <c r="K20" s="1131"/>
      <c r="L20" s="1100"/>
      <c r="M20" s="1092"/>
      <c r="N20" s="976"/>
      <c r="O20" s="976"/>
      <c r="P20" s="979"/>
      <c r="Q20" s="299" t="s">
        <v>324</v>
      </c>
      <c r="R20" s="308">
        <v>72</v>
      </c>
      <c r="S20" s="410">
        <v>0.49</v>
      </c>
      <c r="T20" s="1157"/>
      <c r="U20" s="1160"/>
      <c r="V20" s="1100"/>
      <c r="W20" s="1092"/>
      <c r="X20" s="976"/>
      <c r="Y20" s="976"/>
      <c r="Z20" s="978"/>
      <c r="AA20" s="425" t="s">
        <v>324</v>
      </c>
      <c r="AB20" s="440">
        <v>2</v>
      </c>
      <c r="AC20" s="441">
        <v>5.0000000000000001E-3</v>
      </c>
      <c r="AD20" s="1227"/>
      <c r="AE20" s="425" t="s">
        <v>324</v>
      </c>
      <c r="AF20" s="440">
        <v>1</v>
      </c>
      <c r="AG20" s="442">
        <v>1.0999999999999999E-2</v>
      </c>
      <c r="AH20" s="1227"/>
      <c r="AI20" s="1160"/>
      <c r="AJ20" s="1100"/>
      <c r="AK20" s="1092"/>
      <c r="AL20" s="976"/>
      <c r="AM20" s="976"/>
      <c r="AN20" s="978"/>
      <c r="AO20" s="299" t="s">
        <v>324</v>
      </c>
      <c r="AP20" s="308">
        <v>1</v>
      </c>
      <c r="AQ20" s="411">
        <v>5.0000000000000001E-3</v>
      </c>
      <c r="AR20" s="1129"/>
      <c r="AS20" s="1131"/>
      <c r="AT20" s="1100"/>
      <c r="AU20" s="1092"/>
      <c r="AV20" s="976"/>
      <c r="AW20" s="976"/>
      <c r="AX20" s="978"/>
      <c r="AY20" s="735" t="s">
        <v>324</v>
      </c>
      <c r="AZ20" s="740">
        <v>10</v>
      </c>
      <c r="BA20" s="797">
        <v>5.0999999999999997E-2</v>
      </c>
      <c r="BB20" s="1250"/>
      <c r="BC20" s="1131"/>
      <c r="BD20" s="1100"/>
      <c r="BE20" s="1092"/>
      <c r="BF20" s="976"/>
      <c r="BG20" s="976"/>
      <c r="BH20" s="978"/>
    </row>
    <row r="21" spans="1:60" x14ac:dyDescent="0.3">
      <c r="A21" s="994"/>
      <c r="B21" s="1182"/>
      <c r="C21" s="1162"/>
      <c r="D21" s="1162"/>
      <c r="E21" s="1166"/>
      <c r="F21" s="1167"/>
      <c r="G21" s="91" t="s">
        <v>325</v>
      </c>
      <c r="H21" s="191">
        <v>28</v>
      </c>
      <c r="I21" s="192">
        <v>0.06</v>
      </c>
      <c r="J21" s="957"/>
      <c r="K21" s="1131"/>
      <c r="L21" s="1100"/>
      <c r="M21" s="1092"/>
      <c r="N21" s="976"/>
      <c r="O21" s="976"/>
      <c r="P21" s="979"/>
      <c r="Q21" s="299" t="s">
        <v>325</v>
      </c>
      <c r="R21" s="308">
        <v>26</v>
      </c>
      <c r="S21" s="410">
        <v>0.17</v>
      </c>
      <c r="T21" s="1157"/>
      <c r="U21" s="1160"/>
      <c r="V21" s="1100"/>
      <c r="W21" s="1092"/>
      <c r="X21" s="976"/>
      <c r="Y21" s="976"/>
      <c r="Z21" s="978"/>
      <c r="AA21" s="425" t="s">
        <v>325</v>
      </c>
      <c r="AB21" s="440">
        <v>13</v>
      </c>
      <c r="AC21" s="441">
        <v>3.2000000000000001E-2</v>
      </c>
      <c r="AD21" s="1227"/>
      <c r="AE21" s="425" t="s">
        <v>325</v>
      </c>
      <c r="AF21" s="440">
        <v>5</v>
      </c>
      <c r="AG21" s="442">
        <v>5.6000000000000001E-2</v>
      </c>
      <c r="AH21" s="1227"/>
      <c r="AI21" s="1160"/>
      <c r="AJ21" s="1100"/>
      <c r="AK21" s="1092"/>
      <c r="AL21" s="976"/>
      <c r="AM21" s="976"/>
      <c r="AN21" s="978"/>
      <c r="AO21" s="299" t="s">
        <v>325</v>
      </c>
      <c r="AP21" s="308">
        <v>8</v>
      </c>
      <c r="AQ21" s="411">
        <v>4.2999999999999997E-2</v>
      </c>
      <c r="AR21" s="1129"/>
      <c r="AS21" s="1131"/>
      <c r="AT21" s="1100"/>
      <c r="AU21" s="1092"/>
      <c r="AV21" s="976"/>
      <c r="AW21" s="976"/>
      <c r="AX21" s="978"/>
      <c r="AY21" s="735" t="s">
        <v>325</v>
      </c>
      <c r="AZ21" s="740">
        <v>9</v>
      </c>
      <c r="BA21" s="797">
        <v>4.5999999999999999E-2</v>
      </c>
      <c r="BB21" s="1250"/>
      <c r="BC21" s="1131"/>
      <c r="BD21" s="1100"/>
      <c r="BE21" s="1092"/>
      <c r="BF21" s="976"/>
      <c r="BG21" s="976"/>
      <c r="BH21" s="978"/>
    </row>
    <row r="22" spans="1:60" x14ac:dyDescent="0.3">
      <c r="A22" s="994"/>
      <c r="B22" s="1182"/>
      <c r="C22" s="1162"/>
      <c r="D22" s="1162"/>
      <c r="E22" s="1166"/>
      <c r="F22" s="1167"/>
      <c r="G22" s="91" t="s">
        <v>326</v>
      </c>
      <c r="H22" s="191">
        <v>0</v>
      </c>
      <c r="I22" s="192">
        <v>0</v>
      </c>
      <c r="J22" s="957"/>
      <c r="K22" s="1131"/>
      <c r="L22" s="1100"/>
      <c r="M22" s="1092"/>
      <c r="N22" s="976"/>
      <c r="O22" s="976"/>
      <c r="P22" s="979"/>
      <c r="Q22" s="299" t="s">
        <v>326</v>
      </c>
      <c r="R22" s="308">
        <v>2</v>
      </c>
      <c r="S22" s="411">
        <v>1.4E-2</v>
      </c>
      <c r="T22" s="1157"/>
      <c r="U22" s="1160"/>
      <c r="V22" s="1100"/>
      <c r="W22" s="1092"/>
      <c r="X22" s="976"/>
      <c r="Y22" s="976"/>
      <c r="Z22" s="978"/>
      <c r="AA22" s="425" t="s">
        <v>326</v>
      </c>
      <c r="AB22" s="440"/>
      <c r="AC22" s="442"/>
      <c r="AD22" s="1227"/>
      <c r="AE22" s="425" t="s">
        <v>326</v>
      </c>
      <c r="AF22" s="440"/>
      <c r="AG22" s="442"/>
      <c r="AH22" s="1227"/>
      <c r="AI22" s="1160"/>
      <c r="AJ22" s="1100"/>
      <c r="AK22" s="1092"/>
      <c r="AL22" s="976"/>
      <c r="AM22" s="976"/>
      <c r="AN22" s="978"/>
      <c r="AO22" s="299" t="s">
        <v>326</v>
      </c>
      <c r="AP22" s="308"/>
      <c r="AQ22" s="411"/>
      <c r="AR22" s="1129"/>
      <c r="AS22" s="1131"/>
      <c r="AT22" s="1100"/>
      <c r="AU22" s="1092"/>
      <c r="AV22" s="976"/>
      <c r="AW22" s="976"/>
      <c r="AX22" s="978"/>
      <c r="AY22" s="735" t="s">
        <v>326</v>
      </c>
      <c r="AZ22" s="740">
        <v>1</v>
      </c>
      <c r="BA22" s="797">
        <v>5.0000000000000001E-3</v>
      </c>
      <c r="BB22" s="1250"/>
      <c r="BC22" s="1131"/>
      <c r="BD22" s="1100"/>
      <c r="BE22" s="1092"/>
      <c r="BF22" s="976"/>
      <c r="BG22" s="976"/>
      <c r="BH22" s="978"/>
    </row>
    <row r="23" spans="1:60" x14ac:dyDescent="0.3">
      <c r="A23" s="994"/>
      <c r="B23" s="1182"/>
      <c r="C23" s="1162"/>
      <c r="D23" s="1162"/>
      <c r="E23" s="1166"/>
      <c r="F23" s="1167"/>
      <c r="G23" s="91" t="s">
        <v>321</v>
      </c>
      <c r="H23" s="191">
        <v>17</v>
      </c>
      <c r="I23" s="192">
        <v>3.5000000000000003E-2</v>
      </c>
      <c r="J23" s="957"/>
      <c r="K23" s="1131"/>
      <c r="L23" s="1100"/>
      <c r="M23" s="1092"/>
      <c r="N23" s="976"/>
      <c r="O23" s="976"/>
      <c r="P23" s="979"/>
      <c r="Q23" s="299" t="s">
        <v>321</v>
      </c>
      <c r="R23" s="308">
        <v>10</v>
      </c>
      <c r="S23" s="411">
        <v>6.8000000000000005E-2</v>
      </c>
      <c r="T23" s="1157"/>
      <c r="U23" s="1160"/>
      <c r="V23" s="1100"/>
      <c r="W23" s="1092"/>
      <c r="X23" s="976"/>
      <c r="Y23" s="976"/>
      <c r="Z23" s="978"/>
      <c r="AA23" s="425" t="s">
        <v>321</v>
      </c>
      <c r="AB23" s="440">
        <v>16</v>
      </c>
      <c r="AC23" s="442">
        <v>0.04</v>
      </c>
      <c r="AD23" s="1227"/>
      <c r="AE23" s="425" t="s">
        <v>321</v>
      </c>
      <c r="AF23" s="440">
        <v>9</v>
      </c>
      <c r="AG23" s="442">
        <v>0.10100000000000001</v>
      </c>
      <c r="AH23" s="1227"/>
      <c r="AI23" s="1160"/>
      <c r="AJ23" s="1100"/>
      <c r="AK23" s="1092"/>
      <c r="AL23" s="976"/>
      <c r="AM23" s="976"/>
      <c r="AN23" s="978"/>
      <c r="AO23" s="299" t="s">
        <v>321</v>
      </c>
      <c r="AP23" s="308">
        <v>12</v>
      </c>
      <c r="AQ23" s="411">
        <v>6.4000000000000001E-2</v>
      </c>
      <c r="AR23" s="1129"/>
      <c r="AS23" s="1131"/>
      <c r="AT23" s="1100"/>
      <c r="AU23" s="1092"/>
      <c r="AV23" s="976"/>
      <c r="AW23" s="976"/>
      <c r="AX23" s="978"/>
      <c r="AY23" s="735" t="s">
        <v>321</v>
      </c>
      <c r="AZ23" s="740">
        <v>13</v>
      </c>
      <c r="BA23" s="797">
        <v>0.06</v>
      </c>
      <c r="BB23" s="1250"/>
      <c r="BC23" s="1131"/>
      <c r="BD23" s="1100"/>
      <c r="BE23" s="1092"/>
      <c r="BF23" s="976"/>
      <c r="BG23" s="976"/>
      <c r="BH23" s="978"/>
    </row>
    <row r="24" spans="1:60" x14ac:dyDescent="0.3">
      <c r="A24" s="994"/>
      <c r="B24" s="1182"/>
      <c r="C24" s="1162"/>
      <c r="D24" s="1162"/>
      <c r="E24" s="1166"/>
      <c r="F24" s="1167"/>
      <c r="G24" s="91" t="s">
        <v>327</v>
      </c>
      <c r="H24" s="191">
        <v>25</v>
      </c>
      <c r="I24" s="192">
        <v>0.05</v>
      </c>
      <c r="J24" s="957"/>
      <c r="K24" s="1131"/>
      <c r="L24" s="1100"/>
      <c r="M24" s="1092"/>
      <c r="N24" s="976"/>
      <c r="O24" s="976"/>
      <c r="P24" s="979"/>
      <c r="Q24" s="299" t="s">
        <v>327</v>
      </c>
      <c r="R24" s="308">
        <v>11</v>
      </c>
      <c r="S24" s="411">
        <v>7.4999999999999997E-2</v>
      </c>
      <c r="T24" s="1157"/>
      <c r="U24" s="1160"/>
      <c r="V24" s="1100"/>
      <c r="W24" s="1092"/>
      <c r="X24" s="976"/>
      <c r="Y24" s="976"/>
      <c r="Z24" s="978"/>
      <c r="AA24" s="425" t="s">
        <v>327</v>
      </c>
      <c r="AB24" s="440">
        <v>4</v>
      </c>
      <c r="AC24" s="442">
        <v>0.01</v>
      </c>
      <c r="AD24" s="1227"/>
      <c r="AE24" s="425" t="s">
        <v>327</v>
      </c>
      <c r="AF24" s="440">
        <v>4</v>
      </c>
      <c r="AG24" s="442">
        <v>4.4999999999999998E-2</v>
      </c>
      <c r="AH24" s="1227"/>
      <c r="AI24" s="1160"/>
      <c r="AJ24" s="1100"/>
      <c r="AK24" s="1092"/>
      <c r="AL24" s="976"/>
      <c r="AM24" s="976"/>
      <c r="AN24" s="978"/>
      <c r="AO24" s="299" t="s">
        <v>327</v>
      </c>
      <c r="AP24" s="308">
        <v>20</v>
      </c>
      <c r="AQ24" s="411">
        <v>0.106</v>
      </c>
      <c r="AR24" s="1129"/>
      <c r="AS24" s="1131"/>
      <c r="AT24" s="1100"/>
      <c r="AU24" s="1092"/>
      <c r="AV24" s="976"/>
      <c r="AW24" s="976"/>
      <c r="AX24" s="978"/>
      <c r="AY24" s="735" t="s">
        <v>327</v>
      </c>
      <c r="AZ24" s="740">
        <v>19</v>
      </c>
      <c r="BA24" s="797">
        <v>6.7000000000000004E-2</v>
      </c>
      <c r="BB24" s="1250"/>
      <c r="BC24" s="1131"/>
      <c r="BD24" s="1100"/>
      <c r="BE24" s="1092"/>
      <c r="BF24" s="976"/>
      <c r="BG24" s="976"/>
      <c r="BH24" s="978"/>
    </row>
    <row r="25" spans="1:60" x14ac:dyDescent="0.3">
      <c r="A25" s="994"/>
      <c r="B25" s="1182"/>
      <c r="C25" s="1162"/>
      <c r="D25" s="1162"/>
      <c r="E25" s="1166"/>
      <c r="F25" s="1167"/>
      <c r="G25" s="91" t="s">
        <v>328</v>
      </c>
      <c r="H25" s="191">
        <v>8</v>
      </c>
      <c r="I25" s="192">
        <v>1.7000000000000001E-2</v>
      </c>
      <c r="J25" s="957"/>
      <c r="K25" s="1131"/>
      <c r="L25" s="1100"/>
      <c r="M25" s="1092"/>
      <c r="N25" s="976"/>
      <c r="O25" s="976"/>
      <c r="P25" s="979"/>
      <c r="Q25" s="299" t="s">
        <v>328</v>
      </c>
      <c r="R25" s="308">
        <v>2</v>
      </c>
      <c r="S25" s="411">
        <v>1.4E-2</v>
      </c>
      <c r="T25" s="1157"/>
      <c r="U25" s="1160"/>
      <c r="V25" s="1100"/>
      <c r="W25" s="1092"/>
      <c r="X25" s="976"/>
      <c r="Y25" s="976"/>
      <c r="Z25" s="978"/>
      <c r="AA25" s="425" t="s">
        <v>328</v>
      </c>
      <c r="AB25" s="440">
        <v>13</v>
      </c>
      <c r="AC25" s="442">
        <v>3.2000000000000001E-2</v>
      </c>
      <c r="AD25" s="1227"/>
      <c r="AE25" s="425" t="s">
        <v>328</v>
      </c>
      <c r="AF25" s="440">
        <v>1</v>
      </c>
      <c r="AG25" s="442">
        <v>1.0999999999999999E-2</v>
      </c>
      <c r="AH25" s="1227"/>
      <c r="AI25" s="1160"/>
      <c r="AJ25" s="1100"/>
      <c r="AK25" s="1092"/>
      <c r="AL25" s="976"/>
      <c r="AM25" s="976"/>
      <c r="AN25" s="978"/>
      <c r="AO25" s="299" t="s">
        <v>328</v>
      </c>
      <c r="AP25" s="308">
        <v>17</v>
      </c>
      <c r="AQ25" s="411">
        <v>0.09</v>
      </c>
      <c r="AR25" s="1129"/>
      <c r="AS25" s="1131"/>
      <c r="AT25" s="1100"/>
      <c r="AU25" s="1092"/>
      <c r="AV25" s="976"/>
      <c r="AW25" s="976"/>
      <c r="AX25" s="978"/>
      <c r="AY25" s="735" t="s">
        <v>328</v>
      </c>
      <c r="AZ25" s="740">
        <v>10</v>
      </c>
      <c r="BA25" s="797">
        <v>5.0999999999999997E-2</v>
      </c>
      <c r="BB25" s="1250"/>
      <c r="BC25" s="1131"/>
      <c r="BD25" s="1100"/>
      <c r="BE25" s="1092"/>
      <c r="BF25" s="976"/>
      <c r="BG25" s="976"/>
      <c r="BH25" s="978"/>
    </row>
    <row r="26" spans="1:60" x14ac:dyDescent="0.3">
      <c r="A26" s="994"/>
      <c r="B26" s="1182"/>
      <c r="C26" s="1162"/>
      <c r="D26" s="1162"/>
      <c r="E26" s="1166"/>
      <c r="F26" s="1167"/>
      <c r="G26" s="91" t="s">
        <v>329</v>
      </c>
      <c r="H26" s="191">
        <v>5</v>
      </c>
      <c r="I26" s="192">
        <v>0.01</v>
      </c>
      <c r="J26" s="957"/>
      <c r="K26" s="1131"/>
      <c r="L26" s="1100"/>
      <c r="M26" s="1092"/>
      <c r="N26" s="976"/>
      <c r="O26" s="976"/>
      <c r="P26" s="979"/>
      <c r="Q26" s="299" t="s">
        <v>329</v>
      </c>
      <c r="R26" s="308">
        <v>5</v>
      </c>
      <c r="S26" s="411">
        <v>3.4000000000000002E-2</v>
      </c>
      <c r="T26" s="1157"/>
      <c r="U26" s="1160"/>
      <c r="V26" s="1100"/>
      <c r="W26" s="1092"/>
      <c r="X26" s="976"/>
      <c r="Y26" s="976"/>
      <c r="Z26" s="978"/>
      <c r="AA26" s="425" t="s">
        <v>329</v>
      </c>
      <c r="AB26" s="440">
        <v>5</v>
      </c>
      <c r="AC26" s="442">
        <v>1.2E-2</v>
      </c>
      <c r="AD26" s="1227"/>
      <c r="AE26" s="425" t="s">
        <v>329</v>
      </c>
      <c r="AF26" s="440">
        <v>1</v>
      </c>
      <c r="AG26" s="442">
        <v>1.0999999999999999E-2</v>
      </c>
      <c r="AH26" s="1227"/>
      <c r="AI26" s="1160"/>
      <c r="AJ26" s="1100"/>
      <c r="AK26" s="1092"/>
      <c r="AL26" s="976"/>
      <c r="AM26" s="976"/>
      <c r="AN26" s="978"/>
      <c r="AO26" s="299" t="s">
        <v>329</v>
      </c>
      <c r="AP26" s="308">
        <v>17</v>
      </c>
      <c r="AQ26" s="411">
        <v>0.09</v>
      </c>
      <c r="AR26" s="1129"/>
      <c r="AS26" s="1131"/>
      <c r="AT26" s="1100"/>
      <c r="AU26" s="1092"/>
      <c r="AV26" s="976"/>
      <c r="AW26" s="976"/>
      <c r="AX26" s="978"/>
      <c r="AY26" s="735" t="s">
        <v>329</v>
      </c>
      <c r="AZ26" s="740">
        <v>7</v>
      </c>
      <c r="BA26" s="797">
        <v>6.3E-2</v>
      </c>
      <c r="BB26" s="1250"/>
      <c r="BC26" s="1131"/>
      <c r="BD26" s="1100"/>
      <c r="BE26" s="1092"/>
      <c r="BF26" s="976"/>
      <c r="BG26" s="976"/>
      <c r="BH26" s="978"/>
    </row>
    <row r="27" spans="1:60" x14ac:dyDescent="0.3">
      <c r="A27" s="994"/>
      <c r="B27" s="1182"/>
      <c r="C27" s="1162"/>
      <c r="D27" s="1162"/>
      <c r="E27" s="1166"/>
      <c r="F27" s="1167"/>
      <c r="G27" s="91" t="s">
        <v>330</v>
      </c>
      <c r="H27" s="191">
        <v>2</v>
      </c>
      <c r="I27" s="192">
        <v>0</v>
      </c>
      <c r="J27" s="957"/>
      <c r="K27" s="1131"/>
      <c r="L27" s="1100"/>
      <c r="M27" s="1092"/>
      <c r="N27" s="976"/>
      <c r="O27" s="976"/>
      <c r="P27" s="979"/>
      <c r="Q27" s="299" t="s">
        <v>330</v>
      </c>
      <c r="R27" s="308"/>
      <c r="S27" s="410"/>
      <c r="T27" s="1157"/>
      <c r="U27" s="1160"/>
      <c r="V27" s="1100"/>
      <c r="W27" s="1092"/>
      <c r="X27" s="976"/>
      <c r="Y27" s="976"/>
      <c r="Z27" s="978"/>
      <c r="AA27" s="425" t="s">
        <v>330</v>
      </c>
      <c r="AB27" s="440">
        <v>4</v>
      </c>
      <c r="AC27" s="441">
        <v>0.01</v>
      </c>
      <c r="AD27" s="1227"/>
      <c r="AE27" s="425" t="s">
        <v>330</v>
      </c>
      <c r="AF27" s="440">
        <v>1</v>
      </c>
      <c r="AG27" s="442">
        <v>1.0999999999999999E-2</v>
      </c>
      <c r="AH27" s="1227"/>
      <c r="AI27" s="1160"/>
      <c r="AJ27" s="1100"/>
      <c r="AK27" s="1092"/>
      <c r="AL27" s="976"/>
      <c r="AM27" s="976"/>
      <c r="AN27" s="978"/>
      <c r="AO27" s="299" t="s">
        <v>330</v>
      </c>
      <c r="AP27" s="308">
        <v>3</v>
      </c>
      <c r="AQ27" s="411">
        <v>1.6E-2</v>
      </c>
      <c r="AR27" s="1129"/>
      <c r="AS27" s="1131"/>
      <c r="AT27" s="1100"/>
      <c r="AU27" s="1092"/>
      <c r="AV27" s="976"/>
      <c r="AW27" s="976"/>
      <c r="AX27" s="978"/>
      <c r="AY27" s="735" t="s">
        <v>330</v>
      </c>
      <c r="AZ27" s="740">
        <v>6</v>
      </c>
      <c r="BA27" s="797">
        <v>3.1E-2</v>
      </c>
      <c r="BB27" s="1250"/>
      <c r="BC27" s="1131"/>
      <c r="BD27" s="1100"/>
      <c r="BE27" s="1092"/>
      <c r="BF27" s="976"/>
      <c r="BG27" s="976"/>
      <c r="BH27" s="978"/>
    </row>
    <row r="28" spans="1:60" x14ac:dyDescent="0.3">
      <c r="A28" s="994"/>
      <c r="B28" s="1182"/>
      <c r="C28" s="1162"/>
      <c r="D28" s="1162"/>
      <c r="E28" s="1166"/>
      <c r="F28" s="1167"/>
      <c r="G28" s="91" t="s">
        <v>331</v>
      </c>
      <c r="H28" s="191">
        <v>3</v>
      </c>
      <c r="I28" s="192">
        <v>6.0000000000000001E-3</v>
      </c>
      <c r="J28" s="957"/>
      <c r="K28" s="1131"/>
      <c r="L28" s="1100"/>
      <c r="M28" s="1092"/>
      <c r="N28" s="976"/>
      <c r="O28" s="976"/>
      <c r="P28" s="979"/>
      <c r="Q28" s="299" t="s">
        <v>331</v>
      </c>
      <c r="R28" s="308"/>
      <c r="S28" s="412"/>
      <c r="T28" s="1157"/>
      <c r="U28" s="1160"/>
      <c r="V28" s="1100"/>
      <c r="W28" s="1092"/>
      <c r="X28" s="976"/>
      <c r="Y28" s="976"/>
      <c r="Z28" s="978"/>
      <c r="AA28" s="425" t="s">
        <v>331</v>
      </c>
      <c r="AB28" s="440">
        <v>4</v>
      </c>
      <c r="AC28" s="443">
        <v>0.01</v>
      </c>
      <c r="AD28" s="1227"/>
      <c r="AE28" s="425" t="s">
        <v>331</v>
      </c>
      <c r="AF28" s="440"/>
      <c r="AG28" s="442"/>
      <c r="AH28" s="1227"/>
      <c r="AI28" s="1160"/>
      <c r="AJ28" s="1100"/>
      <c r="AK28" s="1092"/>
      <c r="AL28" s="976"/>
      <c r="AM28" s="976"/>
      <c r="AN28" s="978"/>
      <c r="AO28" s="299" t="s">
        <v>331</v>
      </c>
      <c r="AP28" s="308">
        <v>5</v>
      </c>
      <c r="AQ28" s="411">
        <v>2.7E-2</v>
      </c>
      <c r="AR28" s="1129"/>
      <c r="AS28" s="1131"/>
      <c r="AT28" s="1100"/>
      <c r="AU28" s="1092"/>
      <c r="AV28" s="976"/>
      <c r="AW28" s="976"/>
      <c r="AX28" s="978"/>
      <c r="AY28" s="735" t="s">
        <v>331</v>
      </c>
      <c r="AZ28" s="740">
        <v>5</v>
      </c>
      <c r="BA28" s="797">
        <v>2.5999999999999999E-2</v>
      </c>
      <c r="BB28" s="1250"/>
      <c r="BC28" s="1131"/>
      <c r="BD28" s="1100"/>
      <c r="BE28" s="1092"/>
      <c r="BF28" s="976"/>
      <c r="BG28" s="976"/>
      <c r="BH28" s="978"/>
    </row>
    <row r="29" spans="1:60" x14ac:dyDescent="0.3">
      <c r="A29" s="994"/>
      <c r="B29" s="1182"/>
      <c r="C29" s="1162"/>
      <c r="D29" s="1162"/>
      <c r="E29" s="1166"/>
      <c r="F29" s="1167"/>
      <c r="G29" s="91" t="s">
        <v>332</v>
      </c>
      <c r="H29" s="191">
        <v>2</v>
      </c>
      <c r="I29" s="193">
        <v>4.0000000000000001E-3</v>
      </c>
      <c r="J29" s="957"/>
      <c r="K29" s="1131"/>
      <c r="L29" s="1100"/>
      <c r="M29" s="1092"/>
      <c r="N29" s="976"/>
      <c r="O29" s="976"/>
      <c r="P29" s="979"/>
      <c r="Q29" s="299" t="s">
        <v>332</v>
      </c>
      <c r="R29" s="308"/>
      <c r="S29" s="413"/>
      <c r="T29" s="1157"/>
      <c r="U29" s="1160"/>
      <c r="V29" s="1100"/>
      <c r="W29" s="1092"/>
      <c r="X29" s="976"/>
      <c r="Y29" s="976"/>
      <c r="Z29" s="978"/>
      <c r="AA29" s="425" t="s">
        <v>332</v>
      </c>
      <c r="AB29" s="440">
        <v>4</v>
      </c>
      <c r="AC29" s="444">
        <v>0.01</v>
      </c>
      <c r="AD29" s="1227"/>
      <c r="AE29" s="425" t="s">
        <v>332</v>
      </c>
      <c r="AF29" s="440">
        <v>1</v>
      </c>
      <c r="AG29" s="498">
        <v>1.0999999999999999E-2</v>
      </c>
      <c r="AH29" s="1227"/>
      <c r="AI29" s="1160"/>
      <c r="AJ29" s="1100"/>
      <c r="AK29" s="1092"/>
      <c r="AL29" s="976"/>
      <c r="AM29" s="976"/>
      <c r="AN29" s="978"/>
      <c r="AO29" s="299" t="s">
        <v>332</v>
      </c>
      <c r="AP29" s="308">
        <v>4</v>
      </c>
      <c r="AQ29" s="675">
        <v>2.1000000000000001E-2</v>
      </c>
      <c r="AR29" s="1129"/>
      <c r="AS29" s="1131"/>
      <c r="AT29" s="1100"/>
      <c r="AU29" s="1092"/>
      <c r="AV29" s="976"/>
      <c r="AW29" s="976"/>
      <c r="AX29" s="978"/>
      <c r="AY29" s="735" t="s">
        <v>332</v>
      </c>
      <c r="AZ29" s="740">
        <v>2</v>
      </c>
      <c r="BA29" s="798">
        <v>0.01</v>
      </c>
      <c r="BB29" s="1250"/>
      <c r="BC29" s="1131"/>
      <c r="BD29" s="1100"/>
      <c r="BE29" s="1092"/>
      <c r="BF29" s="976"/>
      <c r="BG29" s="976"/>
      <c r="BH29" s="978"/>
    </row>
    <row r="30" spans="1:60" x14ac:dyDescent="0.3">
      <c r="A30" s="994"/>
      <c r="B30" s="1182"/>
      <c r="C30" s="1162"/>
      <c r="D30" s="1162"/>
      <c r="E30" s="1166"/>
      <c r="F30" s="1167"/>
      <c r="G30" s="91" t="s">
        <v>333</v>
      </c>
      <c r="H30" s="191">
        <v>1</v>
      </c>
      <c r="I30" s="192">
        <v>2E-3</v>
      </c>
      <c r="J30" s="957"/>
      <c r="K30" s="1131"/>
      <c r="L30" s="1100"/>
      <c r="M30" s="1092"/>
      <c r="N30" s="976"/>
      <c r="O30" s="976"/>
      <c r="P30" s="979"/>
      <c r="Q30" s="299" t="s">
        <v>333</v>
      </c>
      <c r="R30" s="308"/>
      <c r="S30" s="410"/>
      <c r="T30" s="1157"/>
      <c r="U30" s="1160"/>
      <c r="V30" s="1100"/>
      <c r="W30" s="1092"/>
      <c r="X30" s="976"/>
      <c r="Y30" s="976"/>
      <c r="Z30" s="978"/>
      <c r="AA30" s="425" t="s">
        <v>333</v>
      </c>
      <c r="AB30" s="440"/>
      <c r="AC30" s="441"/>
      <c r="AD30" s="1227"/>
      <c r="AE30" s="425" t="s">
        <v>333</v>
      </c>
      <c r="AF30" s="440"/>
      <c r="AG30" s="442"/>
      <c r="AH30" s="1227"/>
      <c r="AI30" s="1160"/>
      <c r="AJ30" s="1100"/>
      <c r="AK30" s="1092"/>
      <c r="AL30" s="976"/>
      <c r="AM30" s="976"/>
      <c r="AN30" s="978"/>
      <c r="AO30" s="299" t="s">
        <v>333</v>
      </c>
      <c r="AP30" s="308"/>
      <c r="AQ30" s="411"/>
      <c r="AR30" s="1129"/>
      <c r="AS30" s="1131"/>
      <c r="AT30" s="1100"/>
      <c r="AU30" s="1092"/>
      <c r="AV30" s="976"/>
      <c r="AW30" s="976"/>
      <c r="AX30" s="978"/>
      <c r="AY30" s="735" t="s">
        <v>333</v>
      </c>
      <c r="AZ30" s="740"/>
      <c r="BA30" s="797"/>
      <c r="BB30" s="1250"/>
      <c r="BC30" s="1131"/>
      <c r="BD30" s="1100"/>
      <c r="BE30" s="1092"/>
      <c r="BF30" s="976"/>
      <c r="BG30" s="976"/>
      <c r="BH30" s="978"/>
    </row>
    <row r="31" spans="1:60" x14ac:dyDescent="0.3">
      <c r="A31" s="994"/>
      <c r="B31" s="1182"/>
      <c r="C31" s="1162"/>
      <c r="D31" s="1162"/>
      <c r="E31" s="1166"/>
      <c r="F31" s="1167"/>
      <c r="G31" s="91" t="s">
        <v>334</v>
      </c>
      <c r="H31" s="191">
        <v>1</v>
      </c>
      <c r="I31" s="192">
        <v>2E-3</v>
      </c>
      <c r="J31" s="957"/>
      <c r="K31" s="1131"/>
      <c r="L31" s="1100"/>
      <c r="M31" s="1092"/>
      <c r="N31" s="976"/>
      <c r="O31" s="976"/>
      <c r="P31" s="979"/>
      <c r="Q31" s="299" t="s">
        <v>334</v>
      </c>
      <c r="R31" s="308">
        <v>1</v>
      </c>
      <c r="S31" s="411">
        <v>7.0000000000000001E-3</v>
      </c>
      <c r="T31" s="1157"/>
      <c r="U31" s="1160"/>
      <c r="V31" s="1100"/>
      <c r="W31" s="1092"/>
      <c r="X31" s="976"/>
      <c r="Y31" s="976"/>
      <c r="Z31" s="978"/>
      <c r="AA31" s="425" t="s">
        <v>334</v>
      </c>
      <c r="AB31" s="440"/>
      <c r="AC31" s="442"/>
      <c r="AD31" s="1227"/>
      <c r="AE31" s="425" t="s">
        <v>334</v>
      </c>
      <c r="AF31" s="440"/>
      <c r="AG31" s="442"/>
      <c r="AH31" s="1227"/>
      <c r="AI31" s="1160"/>
      <c r="AJ31" s="1100"/>
      <c r="AK31" s="1092"/>
      <c r="AL31" s="976"/>
      <c r="AM31" s="976"/>
      <c r="AN31" s="978"/>
      <c r="AO31" s="299" t="s">
        <v>334</v>
      </c>
      <c r="AP31" s="308"/>
      <c r="AQ31" s="411"/>
      <c r="AR31" s="1129"/>
      <c r="AS31" s="1131"/>
      <c r="AT31" s="1100"/>
      <c r="AU31" s="1092"/>
      <c r="AV31" s="976"/>
      <c r="AW31" s="976"/>
      <c r="AX31" s="978"/>
      <c r="AY31" s="735" t="s">
        <v>334</v>
      </c>
      <c r="AZ31" s="740">
        <v>1</v>
      </c>
      <c r="BA31" s="797">
        <v>5.0000000000000001E-3</v>
      </c>
      <c r="BB31" s="1250"/>
      <c r="BC31" s="1131"/>
      <c r="BD31" s="1100"/>
      <c r="BE31" s="1092"/>
      <c r="BF31" s="976"/>
      <c r="BG31" s="976"/>
      <c r="BH31" s="978"/>
    </row>
    <row r="32" spans="1:60" x14ac:dyDescent="0.3">
      <c r="A32" s="994"/>
      <c r="B32" s="1182"/>
      <c r="C32" s="1162"/>
      <c r="D32" s="1162"/>
      <c r="E32" s="1166"/>
      <c r="F32" s="1167"/>
      <c r="G32" s="91" t="s">
        <v>335</v>
      </c>
      <c r="H32" s="191">
        <v>0</v>
      </c>
      <c r="I32" s="192">
        <v>0</v>
      </c>
      <c r="J32" s="957"/>
      <c r="K32" s="1131"/>
      <c r="L32" s="1100"/>
      <c r="M32" s="1092"/>
      <c r="N32" s="976"/>
      <c r="O32" s="976"/>
      <c r="P32" s="979"/>
      <c r="Q32" s="299" t="s">
        <v>335</v>
      </c>
      <c r="R32" s="308"/>
      <c r="S32" s="410"/>
      <c r="T32" s="1157"/>
      <c r="U32" s="1160"/>
      <c r="V32" s="1100"/>
      <c r="W32" s="1092"/>
      <c r="X32" s="976"/>
      <c r="Y32" s="976"/>
      <c r="Z32" s="978"/>
      <c r="AA32" s="425" t="s">
        <v>335</v>
      </c>
      <c r="AB32" s="440"/>
      <c r="AC32" s="441"/>
      <c r="AD32" s="1227"/>
      <c r="AE32" s="425" t="s">
        <v>335</v>
      </c>
      <c r="AF32" s="440"/>
      <c r="AG32" s="442"/>
      <c r="AH32" s="1227"/>
      <c r="AI32" s="1160"/>
      <c r="AJ32" s="1100"/>
      <c r="AK32" s="1092"/>
      <c r="AL32" s="976"/>
      <c r="AM32" s="976"/>
      <c r="AN32" s="978"/>
      <c r="AO32" s="299" t="s">
        <v>335</v>
      </c>
      <c r="AP32" s="308"/>
      <c r="AQ32" s="411"/>
      <c r="AR32" s="1129"/>
      <c r="AS32" s="1131"/>
      <c r="AT32" s="1100"/>
      <c r="AU32" s="1092"/>
      <c r="AV32" s="976"/>
      <c r="AW32" s="976"/>
      <c r="AX32" s="978"/>
      <c r="AY32" s="735" t="s">
        <v>335</v>
      </c>
      <c r="AZ32" s="740"/>
      <c r="BA32" s="797"/>
      <c r="BB32" s="1250"/>
      <c r="BC32" s="1131"/>
      <c r="BD32" s="1100"/>
      <c r="BE32" s="1092"/>
      <c r="BF32" s="976"/>
      <c r="BG32" s="976"/>
      <c r="BH32" s="978"/>
    </row>
    <row r="33" spans="1:60" x14ac:dyDescent="0.3">
      <c r="A33" s="994"/>
      <c r="B33" s="1182"/>
      <c r="C33" s="1162"/>
      <c r="D33" s="1162"/>
      <c r="E33" s="1166"/>
      <c r="F33" s="1167"/>
      <c r="G33" s="91" t="s">
        <v>336</v>
      </c>
      <c r="H33" s="191">
        <v>1</v>
      </c>
      <c r="I33" s="192">
        <v>2E-3</v>
      </c>
      <c r="J33" s="957"/>
      <c r="K33" s="1131"/>
      <c r="L33" s="1100"/>
      <c r="M33" s="1092"/>
      <c r="N33" s="976"/>
      <c r="O33" s="976"/>
      <c r="P33" s="979"/>
      <c r="Q33" s="299" t="s">
        <v>336</v>
      </c>
      <c r="R33" s="308"/>
      <c r="S33" s="410"/>
      <c r="T33" s="1157"/>
      <c r="U33" s="1160"/>
      <c r="V33" s="1100"/>
      <c r="W33" s="1092"/>
      <c r="X33" s="976"/>
      <c r="Y33" s="976"/>
      <c r="Z33" s="978"/>
      <c r="AA33" s="425" t="s">
        <v>336</v>
      </c>
      <c r="AB33" s="440"/>
      <c r="AC33" s="441"/>
      <c r="AD33" s="1227"/>
      <c r="AE33" s="425" t="s">
        <v>336</v>
      </c>
      <c r="AF33" s="440"/>
      <c r="AG33" s="442"/>
      <c r="AH33" s="1227"/>
      <c r="AI33" s="1160"/>
      <c r="AJ33" s="1100"/>
      <c r="AK33" s="1092"/>
      <c r="AL33" s="976"/>
      <c r="AM33" s="976"/>
      <c r="AN33" s="978"/>
      <c r="AO33" s="299" t="s">
        <v>336</v>
      </c>
      <c r="AP33" s="308"/>
      <c r="AQ33" s="411"/>
      <c r="AR33" s="1129"/>
      <c r="AS33" s="1131"/>
      <c r="AT33" s="1100"/>
      <c r="AU33" s="1092"/>
      <c r="AV33" s="976"/>
      <c r="AW33" s="976"/>
      <c r="AX33" s="978"/>
      <c r="AY33" s="735" t="s">
        <v>336</v>
      </c>
      <c r="AZ33" s="740"/>
      <c r="BA33" s="797"/>
      <c r="BB33" s="1250"/>
      <c r="BC33" s="1131"/>
      <c r="BD33" s="1100"/>
      <c r="BE33" s="1092"/>
      <c r="BF33" s="976"/>
      <c r="BG33" s="976"/>
      <c r="BH33" s="978"/>
    </row>
    <row r="34" spans="1:60" x14ac:dyDescent="0.3">
      <c r="A34" s="994"/>
      <c r="B34" s="1182"/>
      <c r="C34" s="1162"/>
      <c r="D34" s="1162"/>
      <c r="E34" s="1166"/>
      <c r="F34" s="1167"/>
      <c r="G34" s="91"/>
      <c r="H34" s="191"/>
      <c r="I34" s="192"/>
      <c r="J34" s="957"/>
      <c r="K34" s="1131"/>
      <c r="L34" s="1100"/>
      <c r="M34" s="1092"/>
      <c r="N34" s="976"/>
      <c r="O34" s="976"/>
      <c r="P34" s="979"/>
      <c r="Q34" s="299" t="s">
        <v>597</v>
      </c>
      <c r="R34" s="308">
        <v>1</v>
      </c>
      <c r="S34" s="411">
        <v>7.0000000000000001E-3</v>
      </c>
      <c r="T34" s="1157"/>
      <c r="U34" s="1160"/>
      <c r="V34" s="1100"/>
      <c r="W34" s="1092"/>
      <c r="X34" s="976"/>
      <c r="Y34" s="976"/>
      <c r="Z34" s="978"/>
      <c r="AA34" s="425" t="s">
        <v>597</v>
      </c>
      <c r="AB34" s="440">
        <v>1</v>
      </c>
      <c r="AC34" s="442">
        <v>2E-3</v>
      </c>
      <c r="AD34" s="1227"/>
      <c r="AE34" s="425" t="s">
        <v>597</v>
      </c>
      <c r="AF34" s="440">
        <v>1</v>
      </c>
      <c r="AG34" s="442">
        <v>1.0999999999999999E-2</v>
      </c>
      <c r="AH34" s="1227"/>
      <c r="AI34" s="1160"/>
      <c r="AJ34" s="1100"/>
      <c r="AK34" s="1092"/>
      <c r="AL34" s="976"/>
      <c r="AM34" s="976"/>
      <c r="AN34" s="978"/>
      <c r="AO34" s="299" t="s">
        <v>597</v>
      </c>
      <c r="AP34" s="308">
        <v>4</v>
      </c>
      <c r="AQ34" s="411">
        <v>2.1000000000000001E-2</v>
      </c>
      <c r="AR34" s="1129"/>
      <c r="AS34" s="1131"/>
      <c r="AT34" s="1100"/>
      <c r="AU34" s="1092"/>
      <c r="AV34" s="976"/>
      <c r="AW34" s="976"/>
      <c r="AX34" s="978"/>
      <c r="AY34" s="735" t="s">
        <v>597</v>
      </c>
      <c r="AZ34" s="740">
        <v>3</v>
      </c>
      <c r="BA34" s="797">
        <v>1.4999999999999999E-2</v>
      </c>
      <c r="BB34" s="1250"/>
      <c r="BC34" s="1131"/>
      <c r="BD34" s="1100"/>
      <c r="BE34" s="1092"/>
      <c r="BF34" s="976"/>
      <c r="BG34" s="976"/>
      <c r="BH34" s="978"/>
    </row>
    <row r="35" spans="1:60" x14ac:dyDescent="0.3">
      <c r="A35" s="994"/>
      <c r="B35" s="1182"/>
      <c r="C35" s="1162"/>
      <c r="D35" s="1162"/>
      <c r="E35" s="1166"/>
      <c r="F35" s="1167"/>
      <c r="G35" s="91"/>
      <c r="H35" s="191"/>
      <c r="I35" s="192"/>
      <c r="J35" s="957"/>
      <c r="K35" s="1131"/>
      <c r="L35" s="1100"/>
      <c r="M35" s="1092"/>
      <c r="N35" s="976"/>
      <c r="O35" s="976"/>
      <c r="P35" s="979"/>
      <c r="Q35" s="335"/>
      <c r="R35" s="670"/>
      <c r="S35" s="671"/>
      <c r="T35" s="1158"/>
      <c r="U35" s="1160"/>
      <c r="V35" s="1100"/>
      <c r="W35" s="1092"/>
      <c r="X35" s="976"/>
      <c r="Y35" s="976"/>
      <c r="Z35" s="978"/>
      <c r="AA35" s="492"/>
      <c r="AB35" s="672"/>
      <c r="AC35" s="673"/>
      <c r="AD35" s="1228"/>
      <c r="AE35" s="492"/>
      <c r="AF35" s="672"/>
      <c r="AG35" s="673"/>
      <c r="AH35" s="1228"/>
      <c r="AI35" s="1160"/>
      <c r="AJ35" s="1100"/>
      <c r="AK35" s="1092"/>
      <c r="AL35" s="976"/>
      <c r="AM35" s="976"/>
      <c r="AN35" s="978"/>
      <c r="AO35" s="335" t="s">
        <v>802</v>
      </c>
      <c r="AP35" s="670">
        <v>5</v>
      </c>
      <c r="AQ35" s="671">
        <v>2.7E-2</v>
      </c>
      <c r="AR35" s="1130"/>
      <c r="AS35" s="1131"/>
      <c r="AT35" s="1100"/>
      <c r="AU35" s="1092"/>
      <c r="AV35" s="976"/>
      <c r="AW35" s="976"/>
      <c r="AX35" s="978"/>
      <c r="AY35" s="761" t="s">
        <v>802</v>
      </c>
      <c r="AZ35" s="799">
        <v>49</v>
      </c>
      <c r="BA35" s="800">
        <v>0.251</v>
      </c>
      <c r="BB35" s="1251"/>
      <c r="BC35" s="1131"/>
      <c r="BD35" s="1100"/>
      <c r="BE35" s="1092"/>
      <c r="BF35" s="976"/>
      <c r="BG35" s="976"/>
      <c r="BH35" s="978"/>
    </row>
    <row r="36" spans="1:60" x14ac:dyDescent="0.3">
      <c r="A36" s="994"/>
      <c r="B36" s="1182"/>
      <c r="C36" s="1162"/>
      <c r="D36" s="1162"/>
      <c r="E36" s="1166"/>
      <c r="F36" s="1167"/>
      <c r="G36" s="91"/>
      <c r="H36" s="191"/>
      <c r="I36" s="192"/>
      <c r="J36" s="957"/>
      <c r="K36" s="1131"/>
      <c r="L36" s="1100"/>
      <c r="M36" s="1092"/>
      <c r="N36" s="976"/>
      <c r="O36" s="976"/>
      <c r="P36" s="979"/>
      <c r="Q36" s="335"/>
      <c r="R36" s="670"/>
      <c r="S36" s="671"/>
      <c r="T36" s="1158"/>
      <c r="U36" s="1160"/>
      <c r="V36" s="1100"/>
      <c r="W36" s="1092"/>
      <c r="X36" s="976"/>
      <c r="Y36" s="976"/>
      <c r="Z36" s="978"/>
      <c r="AA36" s="492"/>
      <c r="AB36" s="672"/>
      <c r="AC36" s="673"/>
      <c r="AD36" s="1228"/>
      <c r="AE36" s="492"/>
      <c r="AF36" s="672"/>
      <c r="AG36" s="673"/>
      <c r="AH36" s="1228"/>
      <c r="AI36" s="1160"/>
      <c r="AJ36" s="1100"/>
      <c r="AK36" s="1092"/>
      <c r="AL36" s="976"/>
      <c r="AM36" s="976"/>
      <c r="AN36" s="978"/>
      <c r="AO36" s="335" t="s">
        <v>803</v>
      </c>
      <c r="AP36" s="670">
        <v>1</v>
      </c>
      <c r="AQ36" s="671">
        <v>5.0000000000000001E-3</v>
      </c>
      <c r="AR36" s="1130"/>
      <c r="AS36" s="1131"/>
      <c r="AT36" s="1100"/>
      <c r="AU36" s="1092"/>
      <c r="AV36" s="976"/>
      <c r="AW36" s="976"/>
      <c r="AX36" s="978"/>
      <c r="AY36" s="761" t="s">
        <v>803</v>
      </c>
      <c r="AZ36" s="799">
        <v>1</v>
      </c>
      <c r="BA36" s="800">
        <v>5.0000000000000001E-3</v>
      </c>
      <c r="BB36" s="1251"/>
      <c r="BC36" s="1131"/>
      <c r="BD36" s="1100"/>
      <c r="BE36" s="1092"/>
      <c r="BF36" s="976"/>
      <c r="BG36" s="976"/>
      <c r="BH36" s="978"/>
    </row>
    <row r="37" spans="1:60" ht="15" thickBot="1" x14ac:dyDescent="0.35">
      <c r="A37" s="994"/>
      <c r="B37" s="1182"/>
      <c r="C37" s="1163"/>
      <c r="D37" s="1163"/>
      <c r="E37" s="1168"/>
      <c r="F37" s="1169"/>
      <c r="G37" s="91" t="s">
        <v>337</v>
      </c>
      <c r="H37" s="191">
        <v>0</v>
      </c>
      <c r="I37" s="192">
        <v>0</v>
      </c>
      <c r="J37" s="957"/>
      <c r="K37" s="1131"/>
      <c r="L37" s="1100"/>
      <c r="M37" s="1093"/>
      <c r="N37" s="976"/>
      <c r="O37" s="976"/>
      <c r="P37" s="979"/>
      <c r="Q37" s="328" t="s">
        <v>337</v>
      </c>
      <c r="R37" s="414">
        <v>4</v>
      </c>
      <c r="S37" s="415">
        <v>2.7E-2</v>
      </c>
      <c r="T37" s="1159"/>
      <c r="U37" s="1160"/>
      <c r="V37" s="1100"/>
      <c r="W37" s="1093"/>
      <c r="X37" s="976"/>
      <c r="Y37" s="976"/>
      <c r="Z37" s="978"/>
      <c r="AA37" s="434" t="s">
        <v>337</v>
      </c>
      <c r="AB37" s="445">
        <v>28</v>
      </c>
      <c r="AC37" s="446">
        <v>6.9000000000000006E-2</v>
      </c>
      <c r="AD37" s="1228"/>
      <c r="AE37" s="434" t="s">
        <v>337</v>
      </c>
      <c r="AF37" s="445">
        <v>3</v>
      </c>
      <c r="AG37" s="446">
        <v>3.4000000000000002E-2</v>
      </c>
      <c r="AH37" s="1236"/>
      <c r="AI37" s="1160"/>
      <c r="AJ37" s="1100"/>
      <c r="AK37" s="1093"/>
      <c r="AL37" s="976"/>
      <c r="AM37" s="976"/>
      <c r="AN37" s="978"/>
      <c r="AO37" s="335" t="s">
        <v>337</v>
      </c>
      <c r="AP37" s="670">
        <v>29</v>
      </c>
      <c r="AQ37" s="671">
        <v>0.154</v>
      </c>
      <c r="AR37" s="1130"/>
      <c r="AS37" s="1131"/>
      <c r="AT37" s="1100"/>
      <c r="AU37" s="1093"/>
      <c r="AV37" s="976"/>
      <c r="AW37" s="976"/>
      <c r="AX37" s="978"/>
      <c r="AY37" s="761" t="s">
        <v>337</v>
      </c>
      <c r="AZ37" s="799">
        <v>15</v>
      </c>
      <c r="BA37" s="800">
        <v>7.6999999999999999E-2</v>
      </c>
      <c r="BB37" s="1251"/>
      <c r="BC37" s="1131"/>
      <c r="BD37" s="1100"/>
      <c r="BE37" s="1093"/>
      <c r="BF37" s="976"/>
      <c r="BG37" s="976"/>
      <c r="BH37" s="978"/>
    </row>
    <row r="38" spans="1:60" ht="14.4" customHeight="1" x14ac:dyDescent="0.3">
      <c r="A38" s="994"/>
      <c r="B38" s="1182"/>
      <c r="C38" s="1161" t="s">
        <v>15</v>
      </c>
      <c r="D38" s="1161" t="s">
        <v>16</v>
      </c>
      <c r="E38" s="1161" t="s">
        <v>422</v>
      </c>
      <c r="F38" s="1170" t="s">
        <v>454</v>
      </c>
      <c r="G38" s="195" t="s">
        <v>231</v>
      </c>
      <c r="H38" s="213" t="s">
        <v>234</v>
      </c>
      <c r="I38" s="213" t="s">
        <v>247</v>
      </c>
      <c r="J38" s="220" t="s">
        <v>312</v>
      </c>
      <c r="K38" s="1172">
        <f>+J49</f>
        <v>7.1856287425149698E-2</v>
      </c>
      <c r="L38" s="1100" t="s">
        <v>453</v>
      </c>
      <c r="M38" s="1134">
        <f>+K38</f>
        <v>7.1856287425149698E-2</v>
      </c>
      <c r="N38" s="976"/>
      <c r="O38" s="976"/>
      <c r="P38" s="979"/>
      <c r="Q38" s="396" t="s">
        <v>231</v>
      </c>
      <c r="R38" s="397" t="s">
        <v>247</v>
      </c>
      <c r="S38" s="397" t="s">
        <v>312</v>
      </c>
      <c r="T38" s="320" t="s">
        <v>591</v>
      </c>
      <c r="U38" s="1132">
        <f>+T49</f>
        <v>0.1368421052631579</v>
      </c>
      <c r="V38" s="1100" t="s">
        <v>685</v>
      </c>
      <c r="W38" s="1134">
        <f>+U38</f>
        <v>0.1368421052631579</v>
      </c>
      <c r="X38" s="976"/>
      <c r="Y38" s="976"/>
      <c r="Z38" s="978"/>
      <c r="AA38" s="447" t="s">
        <v>231</v>
      </c>
      <c r="AB38" s="448" t="s">
        <v>312</v>
      </c>
      <c r="AC38" s="499" t="s">
        <v>591</v>
      </c>
      <c r="AD38" s="526" t="s">
        <v>692</v>
      </c>
      <c r="AE38" s="500" t="s">
        <v>231</v>
      </c>
      <c r="AF38" s="499" t="s">
        <v>591</v>
      </c>
      <c r="AG38" s="526" t="s">
        <v>692</v>
      </c>
      <c r="AH38" s="449" t="s">
        <v>693</v>
      </c>
      <c r="AI38" s="1132">
        <f>(AD49+AH49)/2</f>
        <v>0.10965588084232153</v>
      </c>
      <c r="AJ38" s="1100" t="s">
        <v>744</v>
      </c>
      <c r="AK38" s="1134">
        <f>+AI38*6.66666666666667</f>
        <v>0.73103920561547719</v>
      </c>
      <c r="AL38" s="976"/>
      <c r="AM38" s="976"/>
      <c r="AN38" s="979"/>
      <c r="AO38" s="396" t="s">
        <v>231</v>
      </c>
      <c r="AP38" s="397" t="s">
        <v>692</v>
      </c>
      <c r="AQ38" s="397" t="s">
        <v>693</v>
      </c>
      <c r="AR38" s="320" t="s">
        <v>808</v>
      </c>
      <c r="AS38" s="1132">
        <f>+AR49</f>
        <v>0.12195121951219512</v>
      </c>
      <c r="AT38" s="1100" t="s">
        <v>853</v>
      </c>
      <c r="AU38" s="1134">
        <f>(AS38/15)*100</f>
        <v>0.81300813008130068</v>
      </c>
      <c r="AV38" s="976"/>
      <c r="AW38" s="976"/>
      <c r="AX38" s="978"/>
      <c r="AY38" s="801" t="s">
        <v>231</v>
      </c>
      <c r="AZ38" s="802" t="s">
        <v>692</v>
      </c>
      <c r="BA38" s="802" t="s">
        <v>693</v>
      </c>
      <c r="BB38" s="803" t="s">
        <v>808</v>
      </c>
      <c r="BC38" s="1252">
        <f>+BB49</f>
        <v>0.12195121951219512</v>
      </c>
      <c r="BD38" s="1100" t="s">
        <v>964</v>
      </c>
      <c r="BE38" s="1134">
        <f>(BC38/15)*100</f>
        <v>0.81300813008130068</v>
      </c>
      <c r="BF38" s="976"/>
      <c r="BG38" s="976"/>
      <c r="BH38" s="978"/>
    </row>
    <row r="39" spans="1:60" x14ac:dyDescent="0.3">
      <c r="A39" s="994"/>
      <c r="B39" s="1182"/>
      <c r="C39" s="1162"/>
      <c r="D39" s="1162"/>
      <c r="E39" s="1162"/>
      <c r="F39" s="1193"/>
      <c r="G39" s="100" t="s">
        <v>222</v>
      </c>
      <c r="H39" s="101">
        <v>11</v>
      </c>
      <c r="I39" s="101">
        <v>20</v>
      </c>
      <c r="J39" s="221">
        <v>12</v>
      </c>
      <c r="K39" s="1172"/>
      <c r="L39" s="1133"/>
      <c r="M39" s="1135"/>
      <c r="N39" s="976"/>
      <c r="O39" s="976"/>
      <c r="P39" s="979"/>
      <c r="Q39" s="385" t="s">
        <v>222</v>
      </c>
      <c r="R39" s="404">
        <v>20</v>
      </c>
      <c r="S39" s="404">
        <v>12</v>
      </c>
      <c r="T39" s="405">
        <v>13</v>
      </c>
      <c r="U39" s="1132"/>
      <c r="V39" s="1133"/>
      <c r="W39" s="1135"/>
      <c r="X39" s="976"/>
      <c r="Y39" s="976"/>
      <c r="Z39" s="978"/>
      <c r="AA39" s="450" t="s">
        <v>222</v>
      </c>
      <c r="AB39" s="451">
        <v>12</v>
      </c>
      <c r="AC39" s="501">
        <v>13</v>
      </c>
      <c r="AD39" s="502">
        <v>15</v>
      </c>
      <c r="AE39" s="503" t="s">
        <v>222</v>
      </c>
      <c r="AF39" s="501">
        <v>13</v>
      </c>
      <c r="AG39" s="502">
        <v>15</v>
      </c>
      <c r="AH39" s="452">
        <v>4</v>
      </c>
      <c r="AI39" s="1132"/>
      <c r="AJ39" s="1133"/>
      <c r="AK39" s="1135"/>
      <c r="AL39" s="976"/>
      <c r="AM39" s="976"/>
      <c r="AN39" s="979"/>
      <c r="AO39" s="385" t="s">
        <v>222</v>
      </c>
      <c r="AP39" s="775">
        <v>15</v>
      </c>
      <c r="AQ39" s="404">
        <v>4</v>
      </c>
      <c r="AR39" s="405">
        <v>5</v>
      </c>
      <c r="AS39" s="1132"/>
      <c r="AT39" s="1133"/>
      <c r="AU39" s="1135"/>
      <c r="AV39" s="976"/>
      <c r="AW39" s="976"/>
      <c r="AX39" s="978"/>
      <c r="AY39" s="755" t="s">
        <v>222</v>
      </c>
      <c r="AZ39" s="901">
        <v>15</v>
      </c>
      <c r="BA39" s="902">
        <v>4</v>
      </c>
      <c r="BB39" s="903">
        <v>5</v>
      </c>
      <c r="BC39" s="1252"/>
      <c r="BD39" s="1133"/>
      <c r="BE39" s="1135"/>
      <c r="BF39" s="976"/>
      <c r="BG39" s="976"/>
      <c r="BH39" s="978"/>
    </row>
    <row r="40" spans="1:60" x14ac:dyDescent="0.3">
      <c r="A40" s="994"/>
      <c r="B40" s="1182"/>
      <c r="C40" s="1162"/>
      <c r="D40" s="1162"/>
      <c r="E40" s="1162"/>
      <c r="F40" s="1193"/>
      <c r="G40" s="100" t="s">
        <v>223</v>
      </c>
      <c r="H40" s="101">
        <v>5</v>
      </c>
      <c r="I40" s="101">
        <v>19</v>
      </c>
      <c r="J40" s="221">
        <v>9</v>
      </c>
      <c r="K40" s="1172"/>
      <c r="L40" s="1133"/>
      <c r="M40" s="1135"/>
      <c r="N40" s="976"/>
      <c r="O40" s="976"/>
      <c r="P40" s="979"/>
      <c r="Q40" s="398" t="s">
        <v>223</v>
      </c>
      <c r="R40" s="399">
        <v>19</v>
      </c>
      <c r="S40" s="399">
        <v>9</v>
      </c>
      <c r="T40" s="400">
        <v>7</v>
      </c>
      <c r="U40" s="1132"/>
      <c r="V40" s="1133"/>
      <c r="W40" s="1135"/>
      <c r="X40" s="976"/>
      <c r="Y40" s="976"/>
      <c r="Z40" s="978"/>
      <c r="AA40" s="453" t="s">
        <v>223</v>
      </c>
      <c r="AB40" s="454">
        <v>9</v>
      </c>
      <c r="AC40" s="504">
        <v>7</v>
      </c>
      <c r="AD40" s="502">
        <v>14</v>
      </c>
      <c r="AE40" s="505" t="s">
        <v>223</v>
      </c>
      <c r="AF40" s="504">
        <v>7</v>
      </c>
      <c r="AG40" s="502">
        <v>14</v>
      </c>
      <c r="AH40" s="455">
        <v>9</v>
      </c>
      <c r="AI40" s="1132"/>
      <c r="AJ40" s="1133"/>
      <c r="AK40" s="1135"/>
      <c r="AL40" s="976"/>
      <c r="AM40" s="976"/>
      <c r="AN40" s="979"/>
      <c r="AO40" s="398" t="s">
        <v>223</v>
      </c>
      <c r="AP40" s="775">
        <v>14</v>
      </c>
      <c r="AQ40" s="399">
        <v>9</v>
      </c>
      <c r="AR40" s="400">
        <v>6</v>
      </c>
      <c r="AS40" s="1132"/>
      <c r="AT40" s="1133"/>
      <c r="AU40" s="1135"/>
      <c r="AV40" s="976"/>
      <c r="AW40" s="976"/>
      <c r="AX40" s="978"/>
      <c r="AY40" s="904" t="s">
        <v>223</v>
      </c>
      <c r="AZ40" s="901">
        <v>14</v>
      </c>
      <c r="BA40" s="905">
        <v>9</v>
      </c>
      <c r="BB40" s="906">
        <v>6</v>
      </c>
      <c r="BC40" s="1252"/>
      <c r="BD40" s="1133"/>
      <c r="BE40" s="1135"/>
      <c r="BF40" s="976"/>
      <c r="BG40" s="976"/>
      <c r="BH40" s="978"/>
    </row>
    <row r="41" spans="1:60" x14ac:dyDescent="0.3">
      <c r="A41" s="994"/>
      <c r="B41" s="1182"/>
      <c r="C41" s="1162"/>
      <c r="D41" s="1162"/>
      <c r="E41" s="1162"/>
      <c r="F41" s="1193"/>
      <c r="G41" s="100" t="s">
        <v>224</v>
      </c>
      <c r="H41" s="101">
        <v>4</v>
      </c>
      <c r="I41" s="101">
        <v>4</v>
      </c>
      <c r="J41" s="221">
        <v>42</v>
      </c>
      <c r="K41" s="1172"/>
      <c r="L41" s="1133"/>
      <c r="M41" s="1135"/>
      <c r="N41" s="976"/>
      <c r="O41" s="976"/>
      <c r="P41" s="979"/>
      <c r="Q41" s="398" t="s">
        <v>224</v>
      </c>
      <c r="R41" s="399">
        <v>4</v>
      </c>
      <c r="S41" s="399">
        <v>42</v>
      </c>
      <c r="T41" s="400">
        <v>8</v>
      </c>
      <c r="U41" s="1132"/>
      <c r="V41" s="1133"/>
      <c r="W41" s="1135"/>
      <c r="X41" s="976"/>
      <c r="Y41" s="976"/>
      <c r="Z41" s="978"/>
      <c r="AA41" s="453" t="s">
        <v>224</v>
      </c>
      <c r="AB41" s="454">
        <v>42</v>
      </c>
      <c r="AC41" s="504">
        <v>8</v>
      </c>
      <c r="AD41" s="502">
        <v>19</v>
      </c>
      <c r="AE41" s="505" t="s">
        <v>224</v>
      </c>
      <c r="AF41" s="504">
        <v>8</v>
      </c>
      <c r="AG41" s="502">
        <v>19</v>
      </c>
      <c r="AH41" s="455">
        <v>8</v>
      </c>
      <c r="AI41" s="1132"/>
      <c r="AJ41" s="1133"/>
      <c r="AK41" s="1135"/>
      <c r="AL41" s="976"/>
      <c r="AM41" s="976"/>
      <c r="AN41" s="979"/>
      <c r="AO41" s="398" t="s">
        <v>224</v>
      </c>
      <c r="AP41" s="775">
        <v>19</v>
      </c>
      <c r="AQ41" s="399">
        <v>8</v>
      </c>
      <c r="AR41" s="400">
        <v>0</v>
      </c>
      <c r="AS41" s="1132"/>
      <c r="AT41" s="1133"/>
      <c r="AU41" s="1135"/>
      <c r="AV41" s="976"/>
      <c r="AW41" s="976"/>
      <c r="AX41" s="978"/>
      <c r="AY41" s="904" t="s">
        <v>224</v>
      </c>
      <c r="AZ41" s="901">
        <v>19</v>
      </c>
      <c r="BA41" s="905">
        <v>8</v>
      </c>
      <c r="BB41" s="906">
        <v>0</v>
      </c>
      <c r="BC41" s="1252"/>
      <c r="BD41" s="1133"/>
      <c r="BE41" s="1135"/>
      <c r="BF41" s="976"/>
      <c r="BG41" s="976"/>
      <c r="BH41" s="978"/>
    </row>
    <row r="42" spans="1:60" x14ac:dyDescent="0.3">
      <c r="A42" s="994"/>
      <c r="B42" s="1182"/>
      <c r="C42" s="1162"/>
      <c r="D42" s="1162"/>
      <c r="E42" s="1162"/>
      <c r="F42" s="1193"/>
      <c r="G42" s="100" t="s">
        <v>225</v>
      </c>
      <c r="H42" s="101">
        <v>5</v>
      </c>
      <c r="I42" s="101">
        <v>7</v>
      </c>
      <c r="J42" s="221">
        <v>24</v>
      </c>
      <c r="K42" s="1172"/>
      <c r="L42" s="1133"/>
      <c r="M42" s="1135"/>
      <c r="N42" s="976"/>
      <c r="O42" s="976"/>
      <c r="P42" s="979"/>
      <c r="Q42" s="398" t="s">
        <v>225</v>
      </c>
      <c r="R42" s="399">
        <v>7</v>
      </c>
      <c r="S42" s="399">
        <v>24</v>
      </c>
      <c r="T42" s="400">
        <v>17</v>
      </c>
      <c r="U42" s="1132"/>
      <c r="V42" s="1133"/>
      <c r="W42" s="1135"/>
      <c r="X42" s="976"/>
      <c r="Y42" s="976"/>
      <c r="Z42" s="978"/>
      <c r="AA42" s="453" t="s">
        <v>225</v>
      </c>
      <c r="AB42" s="454">
        <v>24</v>
      </c>
      <c r="AC42" s="504">
        <v>17</v>
      </c>
      <c r="AD42" s="502">
        <v>11</v>
      </c>
      <c r="AE42" s="505" t="s">
        <v>225</v>
      </c>
      <c r="AF42" s="504">
        <v>17</v>
      </c>
      <c r="AG42" s="502">
        <v>11</v>
      </c>
      <c r="AH42" s="455">
        <v>11</v>
      </c>
      <c r="AI42" s="1132"/>
      <c r="AJ42" s="1133"/>
      <c r="AK42" s="1135"/>
      <c r="AL42" s="976"/>
      <c r="AM42" s="976"/>
      <c r="AN42" s="979"/>
      <c r="AO42" s="398" t="s">
        <v>225</v>
      </c>
      <c r="AP42" s="775">
        <v>11</v>
      </c>
      <c r="AQ42" s="399">
        <v>11</v>
      </c>
      <c r="AR42" s="400">
        <v>10</v>
      </c>
      <c r="AS42" s="1132"/>
      <c r="AT42" s="1133"/>
      <c r="AU42" s="1135"/>
      <c r="AV42" s="976"/>
      <c r="AW42" s="976"/>
      <c r="AX42" s="978"/>
      <c r="AY42" s="904" t="s">
        <v>225</v>
      </c>
      <c r="AZ42" s="901">
        <v>11</v>
      </c>
      <c r="BA42" s="905">
        <v>11</v>
      </c>
      <c r="BB42" s="906">
        <v>10</v>
      </c>
      <c r="BC42" s="1252"/>
      <c r="BD42" s="1133"/>
      <c r="BE42" s="1135"/>
      <c r="BF42" s="976"/>
      <c r="BG42" s="976"/>
      <c r="BH42" s="978"/>
    </row>
    <row r="43" spans="1:60" x14ac:dyDescent="0.3">
      <c r="A43" s="994"/>
      <c r="B43" s="1182"/>
      <c r="C43" s="1162"/>
      <c r="D43" s="1162"/>
      <c r="E43" s="1162"/>
      <c r="F43" s="1193"/>
      <c r="G43" s="100" t="s">
        <v>226</v>
      </c>
      <c r="H43" s="101">
        <v>19</v>
      </c>
      <c r="I43" s="101">
        <v>13</v>
      </c>
      <c r="J43" s="221">
        <v>16</v>
      </c>
      <c r="K43" s="1172"/>
      <c r="L43" s="1133"/>
      <c r="M43" s="1135"/>
      <c r="N43" s="976"/>
      <c r="O43" s="976"/>
      <c r="P43" s="979"/>
      <c r="Q43" s="398" t="s">
        <v>226</v>
      </c>
      <c r="R43" s="399">
        <v>13</v>
      </c>
      <c r="S43" s="399">
        <v>16</v>
      </c>
      <c r="T43" s="400">
        <v>13</v>
      </c>
      <c r="U43" s="1132"/>
      <c r="V43" s="1133"/>
      <c r="W43" s="1135"/>
      <c r="X43" s="976"/>
      <c r="Y43" s="976"/>
      <c r="Z43" s="978"/>
      <c r="AA43" s="453" t="s">
        <v>226</v>
      </c>
      <c r="AB43" s="454">
        <v>16</v>
      </c>
      <c r="AC43" s="504">
        <v>13</v>
      </c>
      <c r="AD43" s="502">
        <v>15</v>
      </c>
      <c r="AE43" s="505" t="s">
        <v>226</v>
      </c>
      <c r="AF43" s="504">
        <v>13</v>
      </c>
      <c r="AG43" s="502">
        <v>15</v>
      </c>
      <c r="AH43" s="455">
        <v>0</v>
      </c>
      <c r="AI43" s="1132"/>
      <c r="AJ43" s="1133"/>
      <c r="AK43" s="1135"/>
      <c r="AL43" s="976"/>
      <c r="AM43" s="976"/>
      <c r="AN43" s="979"/>
      <c r="AO43" s="398" t="s">
        <v>226</v>
      </c>
      <c r="AP43" s="775">
        <v>15</v>
      </c>
      <c r="AQ43" s="399">
        <v>0</v>
      </c>
      <c r="AR43" s="400">
        <v>1</v>
      </c>
      <c r="AS43" s="1132"/>
      <c r="AT43" s="1133"/>
      <c r="AU43" s="1135"/>
      <c r="AV43" s="976"/>
      <c r="AW43" s="976"/>
      <c r="AX43" s="978"/>
      <c r="AY43" s="904" t="s">
        <v>226</v>
      </c>
      <c r="AZ43" s="901">
        <v>15</v>
      </c>
      <c r="BA43" s="905">
        <v>0</v>
      </c>
      <c r="BB43" s="906">
        <v>1</v>
      </c>
      <c r="BC43" s="1252"/>
      <c r="BD43" s="1133"/>
      <c r="BE43" s="1135"/>
      <c r="BF43" s="976"/>
      <c r="BG43" s="976"/>
      <c r="BH43" s="978"/>
    </row>
    <row r="44" spans="1:60" x14ac:dyDescent="0.3">
      <c r="A44" s="994"/>
      <c r="B44" s="1182"/>
      <c r="C44" s="1162"/>
      <c r="D44" s="1162"/>
      <c r="E44" s="1162"/>
      <c r="F44" s="1193"/>
      <c r="G44" s="100" t="s">
        <v>227</v>
      </c>
      <c r="H44" s="101">
        <v>7</v>
      </c>
      <c r="I44" s="101">
        <v>13</v>
      </c>
      <c r="J44" s="221">
        <v>7</v>
      </c>
      <c r="K44" s="1172"/>
      <c r="L44" s="1133"/>
      <c r="M44" s="1135"/>
      <c r="N44" s="976"/>
      <c r="O44" s="976"/>
      <c r="P44" s="979"/>
      <c r="Q44" s="398" t="s">
        <v>227</v>
      </c>
      <c r="R44" s="399">
        <v>13</v>
      </c>
      <c r="S44" s="399">
        <v>7</v>
      </c>
      <c r="T44" s="400">
        <v>5</v>
      </c>
      <c r="U44" s="1132"/>
      <c r="V44" s="1133"/>
      <c r="W44" s="1135"/>
      <c r="X44" s="976"/>
      <c r="Y44" s="976"/>
      <c r="Z44" s="978"/>
      <c r="AA44" s="453" t="s">
        <v>227</v>
      </c>
      <c r="AB44" s="454">
        <v>7</v>
      </c>
      <c r="AC44" s="504">
        <v>5</v>
      </c>
      <c r="AD44" s="502">
        <v>2</v>
      </c>
      <c r="AE44" s="505" t="s">
        <v>227</v>
      </c>
      <c r="AF44" s="504">
        <v>5</v>
      </c>
      <c r="AG44" s="502">
        <v>2</v>
      </c>
      <c r="AH44" s="455">
        <v>10</v>
      </c>
      <c r="AI44" s="1132"/>
      <c r="AJ44" s="1133"/>
      <c r="AK44" s="1135"/>
      <c r="AL44" s="976"/>
      <c r="AM44" s="976"/>
      <c r="AN44" s="979"/>
      <c r="AO44" s="398" t="s">
        <v>227</v>
      </c>
      <c r="AP44" s="775">
        <v>2</v>
      </c>
      <c r="AQ44" s="399">
        <v>10</v>
      </c>
      <c r="AR44" s="400">
        <v>8</v>
      </c>
      <c r="AS44" s="1132"/>
      <c r="AT44" s="1133"/>
      <c r="AU44" s="1135"/>
      <c r="AV44" s="976"/>
      <c r="AW44" s="976"/>
      <c r="AX44" s="978"/>
      <c r="AY44" s="904" t="s">
        <v>227</v>
      </c>
      <c r="AZ44" s="901">
        <v>2</v>
      </c>
      <c r="BA44" s="905">
        <v>10</v>
      </c>
      <c r="BB44" s="906">
        <v>8</v>
      </c>
      <c r="BC44" s="1252"/>
      <c r="BD44" s="1133"/>
      <c r="BE44" s="1135"/>
      <c r="BF44" s="976"/>
      <c r="BG44" s="976"/>
      <c r="BH44" s="978"/>
    </row>
    <row r="45" spans="1:60" x14ac:dyDescent="0.3">
      <c r="A45" s="994"/>
      <c r="B45" s="1182"/>
      <c r="C45" s="1162"/>
      <c r="D45" s="1162"/>
      <c r="E45" s="1162"/>
      <c r="F45" s="1193"/>
      <c r="G45" s="100" t="s">
        <v>228</v>
      </c>
      <c r="H45" s="101">
        <v>14</v>
      </c>
      <c r="I45" s="101">
        <v>12</v>
      </c>
      <c r="J45" s="221">
        <v>11</v>
      </c>
      <c r="K45" s="1172"/>
      <c r="L45" s="1133"/>
      <c r="M45" s="1135"/>
      <c r="N45" s="976"/>
      <c r="O45" s="976"/>
      <c r="P45" s="979"/>
      <c r="Q45" s="398" t="s">
        <v>228</v>
      </c>
      <c r="R45" s="399">
        <v>12</v>
      </c>
      <c r="S45" s="399">
        <v>11</v>
      </c>
      <c r="T45" s="400">
        <v>8</v>
      </c>
      <c r="U45" s="1132"/>
      <c r="V45" s="1133"/>
      <c r="W45" s="1135"/>
      <c r="X45" s="976"/>
      <c r="Y45" s="976"/>
      <c r="Z45" s="978"/>
      <c r="AA45" s="453" t="s">
        <v>228</v>
      </c>
      <c r="AB45" s="454">
        <v>11</v>
      </c>
      <c r="AC45" s="504">
        <v>8</v>
      </c>
      <c r="AD45" s="502">
        <v>7</v>
      </c>
      <c r="AE45" s="505" t="s">
        <v>228</v>
      </c>
      <c r="AF45" s="504">
        <v>8</v>
      </c>
      <c r="AG45" s="502">
        <v>7</v>
      </c>
      <c r="AH45" s="455">
        <v>3</v>
      </c>
      <c r="AI45" s="1132"/>
      <c r="AJ45" s="1133"/>
      <c r="AK45" s="1135"/>
      <c r="AL45" s="976"/>
      <c r="AM45" s="976"/>
      <c r="AN45" s="979"/>
      <c r="AO45" s="398" t="s">
        <v>228</v>
      </c>
      <c r="AP45" s="775">
        <v>7</v>
      </c>
      <c r="AQ45" s="399">
        <v>3</v>
      </c>
      <c r="AR45" s="400">
        <v>0</v>
      </c>
      <c r="AS45" s="1132"/>
      <c r="AT45" s="1133"/>
      <c r="AU45" s="1135"/>
      <c r="AV45" s="976"/>
      <c r="AW45" s="976"/>
      <c r="AX45" s="978"/>
      <c r="AY45" s="904" t="s">
        <v>228</v>
      </c>
      <c r="AZ45" s="901">
        <v>7</v>
      </c>
      <c r="BA45" s="905">
        <v>3</v>
      </c>
      <c r="BB45" s="906">
        <v>0</v>
      </c>
      <c r="BC45" s="1252"/>
      <c r="BD45" s="1133"/>
      <c r="BE45" s="1135"/>
      <c r="BF45" s="976"/>
      <c r="BG45" s="976"/>
      <c r="BH45" s="978"/>
    </row>
    <row r="46" spans="1:60" x14ac:dyDescent="0.3">
      <c r="A46" s="994"/>
      <c r="B46" s="1182"/>
      <c r="C46" s="1162"/>
      <c r="D46" s="1162"/>
      <c r="E46" s="1162"/>
      <c r="F46" s="1193"/>
      <c r="G46" s="100" t="s">
        <v>229</v>
      </c>
      <c r="H46" s="101">
        <v>3</v>
      </c>
      <c r="I46" s="101">
        <v>0</v>
      </c>
      <c r="J46" s="221">
        <v>3</v>
      </c>
      <c r="K46" s="1172"/>
      <c r="L46" s="1133"/>
      <c r="M46" s="1135"/>
      <c r="N46" s="976"/>
      <c r="O46" s="976"/>
      <c r="P46" s="979"/>
      <c r="Q46" s="398" t="s">
        <v>229</v>
      </c>
      <c r="R46" s="399">
        <v>0</v>
      </c>
      <c r="S46" s="399">
        <v>3</v>
      </c>
      <c r="T46" s="400">
        <v>6</v>
      </c>
      <c r="U46" s="1132"/>
      <c r="V46" s="1133"/>
      <c r="W46" s="1135"/>
      <c r="X46" s="976"/>
      <c r="Y46" s="976"/>
      <c r="Z46" s="978"/>
      <c r="AA46" s="453" t="s">
        <v>229</v>
      </c>
      <c r="AB46" s="454">
        <v>3</v>
      </c>
      <c r="AC46" s="504">
        <v>6</v>
      </c>
      <c r="AD46" s="502">
        <v>2</v>
      </c>
      <c r="AE46" s="505" t="s">
        <v>229</v>
      </c>
      <c r="AF46" s="504">
        <v>6</v>
      </c>
      <c r="AG46" s="502">
        <v>2</v>
      </c>
      <c r="AH46" s="455">
        <v>3</v>
      </c>
      <c r="AI46" s="1132"/>
      <c r="AJ46" s="1133"/>
      <c r="AK46" s="1135"/>
      <c r="AL46" s="976"/>
      <c r="AM46" s="976"/>
      <c r="AN46" s="979"/>
      <c r="AO46" s="398" t="s">
        <v>229</v>
      </c>
      <c r="AP46" s="775">
        <v>2</v>
      </c>
      <c r="AQ46" s="399">
        <v>3</v>
      </c>
      <c r="AR46" s="400">
        <v>0</v>
      </c>
      <c r="AS46" s="1132"/>
      <c r="AT46" s="1133"/>
      <c r="AU46" s="1135"/>
      <c r="AV46" s="976"/>
      <c r="AW46" s="976"/>
      <c r="AX46" s="978"/>
      <c r="AY46" s="904" t="s">
        <v>229</v>
      </c>
      <c r="AZ46" s="901">
        <v>2</v>
      </c>
      <c r="BA46" s="905">
        <v>3</v>
      </c>
      <c r="BB46" s="906">
        <v>0</v>
      </c>
      <c r="BC46" s="1252"/>
      <c r="BD46" s="1133"/>
      <c r="BE46" s="1135"/>
      <c r="BF46" s="976"/>
      <c r="BG46" s="976"/>
      <c r="BH46" s="978"/>
    </row>
    <row r="47" spans="1:60" x14ac:dyDescent="0.3">
      <c r="A47" s="994"/>
      <c r="B47" s="1182"/>
      <c r="C47" s="1162"/>
      <c r="D47" s="1162"/>
      <c r="E47" s="1162"/>
      <c r="F47" s="1193"/>
      <c r="G47" s="100" t="s">
        <v>230</v>
      </c>
      <c r="H47" s="101">
        <v>5</v>
      </c>
      <c r="I47" s="101">
        <v>65</v>
      </c>
      <c r="J47" s="221">
        <v>43</v>
      </c>
      <c r="K47" s="1172"/>
      <c r="L47" s="1133"/>
      <c r="M47" s="1135"/>
      <c r="N47" s="976"/>
      <c r="O47" s="976"/>
      <c r="P47" s="979"/>
      <c r="Q47" s="398" t="s">
        <v>230</v>
      </c>
      <c r="R47" s="399">
        <v>65</v>
      </c>
      <c r="S47" s="399">
        <v>43</v>
      </c>
      <c r="T47" s="400">
        <v>18</v>
      </c>
      <c r="U47" s="1132"/>
      <c r="V47" s="1133"/>
      <c r="W47" s="1135"/>
      <c r="X47" s="976"/>
      <c r="Y47" s="976"/>
      <c r="Z47" s="978"/>
      <c r="AA47" s="453" t="s">
        <v>230</v>
      </c>
      <c r="AB47" s="454">
        <v>43</v>
      </c>
      <c r="AC47" s="504">
        <v>18</v>
      </c>
      <c r="AD47" s="502">
        <v>14</v>
      </c>
      <c r="AE47" s="505" t="s">
        <v>230</v>
      </c>
      <c r="AF47" s="504">
        <v>18</v>
      </c>
      <c r="AG47" s="502">
        <v>14</v>
      </c>
      <c r="AH47" s="455">
        <v>11</v>
      </c>
      <c r="AI47" s="1132"/>
      <c r="AJ47" s="1133"/>
      <c r="AK47" s="1135"/>
      <c r="AL47" s="976"/>
      <c r="AM47" s="976"/>
      <c r="AN47" s="979"/>
      <c r="AO47" s="398" t="s">
        <v>230</v>
      </c>
      <c r="AP47" s="775">
        <v>14</v>
      </c>
      <c r="AQ47" s="399">
        <v>11</v>
      </c>
      <c r="AR47" s="400">
        <v>11</v>
      </c>
      <c r="AS47" s="1132"/>
      <c r="AT47" s="1133"/>
      <c r="AU47" s="1135"/>
      <c r="AV47" s="976"/>
      <c r="AW47" s="976"/>
      <c r="AX47" s="978"/>
      <c r="AY47" s="904" t="s">
        <v>230</v>
      </c>
      <c r="AZ47" s="901">
        <v>14</v>
      </c>
      <c r="BA47" s="905">
        <v>11</v>
      </c>
      <c r="BB47" s="906">
        <v>11</v>
      </c>
      <c r="BC47" s="1252"/>
      <c r="BD47" s="1133"/>
      <c r="BE47" s="1135"/>
      <c r="BF47" s="976"/>
      <c r="BG47" s="976"/>
      <c r="BH47" s="978"/>
    </row>
    <row r="48" spans="1:60" x14ac:dyDescent="0.3">
      <c r="A48" s="994"/>
      <c r="B48" s="1182"/>
      <c r="C48" s="1162"/>
      <c r="D48" s="1162"/>
      <c r="E48" s="1162"/>
      <c r="F48" s="1193"/>
      <c r="G48" s="100" t="s">
        <v>421</v>
      </c>
      <c r="H48" s="101">
        <f>SUM(H39:H47)</f>
        <v>73</v>
      </c>
      <c r="I48" s="101">
        <f t="shared" ref="I48:J48" si="0">SUM(I39:I47)</f>
        <v>153</v>
      </c>
      <c r="J48" s="221">
        <f t="shared" si="0"/>
        <v>167</v>
      </c>
      <c r="K48" s="1172"/>
      <c r="L48" s="1133"/>
      <c r="M48" s="1135"/>
      <c r="N48" s="976"/>
      <c r="O48" s="976"/>
      <c r="P48" s="979"/>
      <c r="Q48" s="398" t="s">
        <v>421</v>
      </c>
      <c r="R48" s="399">
        <f t="shared" ref="R48" si="1">SUM(R39:R47)</f>
        <v>153</v>
      </c>
      <c r="S48" s="399">
        <f>SUM(S39:S47)</f>
        <v>167</v>
      </c>
      <c r="T48" s="399">
        <f>SUM(T39:T47)</f>
        <v>95</v>
      </c>
      <c r="U48" s="1132"/>
      <c r="V48" s="1133"/>
      <c r="W48" s="1135"/>
      <c r="X48" s="976"/>
      <c r="Y48" s="976"/>
      <c r="Z48" s="978"/>
      <c r="AA48" s="453" t="s">
        <v>421</v>
      </c>
      <c r="AB48" s="454">
        <f>SUM(AB39:AB47)</f>
        <v>167</v>
      </c>
      <c r="AC48" s="454">
        <f>SUM(AC39:AC47)</f>
        <v>95</v>
      </c>
      <c r="AD48" s="506">
        <f>SUM(AD39:AD47)</f>
        <v>99</v>
      </c>
      <c r="AE48" s="453" t="s">
        <v>421</v>
      </c>
      <c r="AF48" s="454">
        <f>SUM(AF39:AF47)</f>
        <v>95</v>
      </c>
      <c r="AG48" s="506">
        <f>SUM(AG39:AG47)</f>
        <v>99</v>
      </c>
      <c r="AH48" s="506">
        <f>SUM(AH39:AH47)</f>
        <v>59</v>
      </c>
      <c r="AI48" s="1132"/>
      <c r="AJ48" s="1133"/>
      <c r="AK48" s="1135"/>
      <c r="AL48" s="976"/>
      <c r="AM48" s="976"/>
      <c r="AN48" s="979"/>
      <c r="AO48" s="398" t="s">
        <v>421</v>
      </c>
      <c r="AP48" s="399">
        <f>SUM(AP39:AP47)</f>
        <v>99</v>
      </c>
      <c r="AQ48" s="399">
        <f>SUM(AQ39:AQ47)</f>
        <v>59</v>
      </c>
      <c r="AR48" s="400">
        <f>SUM(AR39:AR47)</f>
        <v>41</v>
      </c>
      <c r="AS48" s="1132"/>
      <c r="AT48" s="1133"/>
      <c r="AU48" s="1135"/>
      <c r="AV48" s="976"/>
      <c r="AW48" s="976"/>
      <c r="AX48" s="978"/>
      <c r="AY48" s="904" t="s">
        <v>421</v>
      </c>
      <c r="AZ48" s="905">
        <f>SUM(AZ39:AZ47)</f>
        <v>99</v>
      </c>
      <c r="BA48" s="905">
        <f>SUM(BA39:BA47)</f>
        <v>59</v>
      </c>
      <c r="BB48" s="906">
        <f>SUM(BB39:BB47)</f>
        <v>41</v>
      </c>
      <c r="BC48" s="1252"/>
      <c r="BD48" s="1133"/>
      <c r="BE48" s="1135"/>
      <c r="BF48" s="976"/>
      <c r="BG48" s="976"/>
      <c r="BH48" s="978"/>
    </row>
    <row r="49" spans="1:60" ht="15" thickBot="1" x14ac:dyDescent="0.35">
      <c r="A49" s="994"/>
      <c r="B49" s="1182"/>
      <c r="C49" s="1163"/>
      <c r="D49" s="1163"/>
      <c r="E49" s="1163"/>
      <c r="F49" s="1171"/>
      <c r="G49" s="100" t="s">
        <v>424</v>
      </c>
      <c r="H49" s="215">
        <f>+H39/H48</f>
        <v>0.15068493150684931</v>
      </c>
      <c r="I49" s="215">
        <f t="shared" ref="I49:J49" si="2">+I39/I48</f>
        <v>0.13071895424836602</v>
      </c>
      <c r="J49" s="222">
        <f t="shared" si="2"/>
        <v>7.1856287425149698E-2</v>
      </c>
      <c r="K49" s="1172"/>
      <c r="L49" s="1133"/>
      <c r="M49" s="1136"/>
      <c r="N49" s="976"/>
      <c r="O49" s="976"/>
      <c r="P49" s="979"/>
      <c r="Q49" s="401" t="s">
        <v>424</v>
      </c>
      <c r="R49" s="402">
        <f t="shared" ref="R49:S49" si="3">+R39/R48</f>
        <v>0.13071895424836602</v>
      </c>
      <c r="S49" s="402">
        <f t="shared" si="3"/>
        <v>7.1856287425149698E-2</v>
      </c>
      <c r="T49" s="403">
        <f>+T39/T48</f>
        <v>0.1368421052631579</v>
      </c>
      <c r="U49" s="1132"/>
      <c r="V49" s="1133"/>
      <c r="W49" s="1136"/>
      <c r="X49" s="976"/>
      <c r="Y49" s="976"/>
      <c r="Z49" s="978"/>
      <c r="AA49" s="456" t="s">
        <v>424</v>
      </c>
      <c r="AB49" s="457">
        <f t="shared" ref="AB49" si="4">+AB39/AB48</f>
        <v>7.1856287425149698E-2</v>
      </c>
      <c r="AC49" s="458">
        <f>+AC39/AC48</f>
        <v>0.1368421052631579</v>
      </c>
      <c r="AD49" s="458">
        <f>+AD39/AD48</f>
        <v>0.15151515151515152</v>
      </c>
      <c r="AE49" s="456" t="s">
        <v>424</v>
      </c>
      <c r="AF49" s="458">
        <f>+AF39/AF48</f>
        <v>0.1368421052631579</v>
      </c>
      <c r="AG49" s="458">
        <f>+AG39/AG48</f>
        <v>0.15151515151515152</v>
      </c>
      <c r="AH49" s="458">
        <f>+AH39/AH48</f>
        <v>6.7796610169491525E-2</v>
      </c>
      <c r="AI49" s="1132"/>
      <c r="AJ49" s="1133"/>
      <c r="AK49" s="1136"/>
      <c r="AL49" s="976"/>
      <c r="AM49" s="976"/>
      <c r="AN49" s="979"/>
      <c r="AO49" s="401" t="s">
        <v>424</v>
      </c>
      <c r="AP49" s="403">
        <f>+AP39/AP48</f>
        <v>0.15151515151515152</v>
      </c>
      <c r="AQ49" s="403">
        <f>+AQ39/AQ48</f>
        <v>6.7796610169491525E-2</v>
      </c>
      <c r="AR49" s="776">
        <f>+AR39/AR48</f>
        <v>0.12195121951219512</v>
      </c>
      <c r="AS49" s="1132"/>
      <c r="AT49" s="1133"/>
      <c r="AU49" s="1136"/>
      <c r="AV49" s="976"/>
      <c r="AW49" s="976"/>
      <c r="AX49" s="978"/>
      <c r="AY49" s="907" t="s">
        <v>424</v>
      </c>
      <c r="AZ49" s="908">
        <f>+AZ39/AZ48</f>
        <v>0.15151515151515152</v>
      </c>
      <c r="BA49" s="908">
        <f>+BA39/BA48</f>
        <v>6.7796610169491525E-2</v>
      </c>
      <c r="BB49" s="909">
        <f>+BB39/BB48</f>
        <v>0.12195121951219512</v>
      </c>
      <c r="BC49" s="1252"/>
      <c r="BD49" s="1133"/>
      <c r="BE49" s="1136"/>
      <c r="BF49" s="976"/>
      <c r="BG49" s="976"/>
      <c r="BH49" s="978"/>
    </row>
    <row r="50" spans="1:60" ht="60" customHeight="1" x14ac:dyDescent="0.3">
      <c r="A50" s="994"/>
      <c r="B50" s="1182"/>
      <c r="C50" s="986" t="s">
        <v>19</v>
      </c>
      <c r="D50" s="986" t="s">
        <v>20</v>
      </c>
      <c r="E50" s="986" t="s">
        <v>456</v>
      </c>
      <c r="F50" s="987" t="s">
        <v>455</v>
      </c>
      <c r="G50" s="198" t="s">
        <v>311</v>
      </c>
      <c r="H50" s="199" t="s">
        <v>159</v>
      </c>
      <c r="I50" s="200">
        <v>3</v>
      </c>
      <c r="J50" s="223"/>
      <c r="K50" s="1147">
        <f>+I52</f>
        <v>4</v>
      </c>
      <c r="L50" s="1090" t="s">
        <v>458</v>
      </c>
      <c r="M50" s="1097">
        <v>1</v>
      </c>
      <c r="N50" s="976"/>
      <c r="O50" s="976"/>
      <c r="P50" s="979"/>
      <c r="Q50" s="366" t="s">
        <v>201</v>
      </c>
      <c r="R50" s="367"/>
      <c r="S50" s="368"/>
      <c r="T50" s="369"/>
      <c r="U50" s="1147">
        <f>+S52</f>
        <v>0</v>
      </c>
      <c r="V50" s="1090" t="s">
        <v>640</v>
      </c>
      <c r="W50" s="1097">
        <v>1</v>
      </c>
      <c r="X50" s="976"/>
      <c r="Y50" s="976"/>
      <c r="Z50" s="978"/>
      <c r="AA50" s="459" t="s">
        <v>201</v>
      </c>
      <c r="AB50" s="460"/>
      <c r="AC50" s="461"/>
      <c r="AD50" s="462"/>
      <c r="AE50" s="459" t="s">
        <v>201</v>
      </c>
      <c r="AF50" s="460"/>
      <c r="AG50" s="461"/>
      <c r="AH50" s="462"/>
      <c r="AI50" s="1137">
        <f>+AC52</f>
        <v>0</v>
      </c>
      <c r="AJ50" s="1090" t="s">
        <v>745</v>
      </c>
      <c r="AK50" s="1097">
        <v>0</v>
      </c>
      <c r="AL50" s="976"/>
      <c r="AM50" s="976"/>
      <c r="AN50" s="978"/>
      <c r="AO50" s="366" t="s">
        <v>201</v>
      </c>
      <c r="AP50" s="367"/>
      <c r="AQ50" s="368"/>
      <c r="AR50" s="659"/>
      <c r="AS50" s="1137">
        <f>+AQ52</f>
        <v>0</v>
      </c>
      <c r="AT50" s="1090" t="s">
        <v>847</v>
      </c>
      <c r="AU50" s="1097">
        <v>0</v>
      </c>
      <c r="AV50" s="976"/>
      <c r="AW50" s="976"/>
      <c r="AX50" s="978"/>
      <c r="AY50" s="804" t="s">
        <v>880</v>
      </c>
      <c r="AZ50" s="805" t="s">
        <v>881</v>
      </c>
      <c r="BA50" s="806"/>
      <c r="BB50" s="830"/>
      <c r="BC50" s="1137">
        <f>+BA52</f>
        <v>0</v>
      </c>
      <c r="BD50" s="1090" t="s">
        <v>904</v>
      </c>
      <c r="BE50" s="1097">
        <v>0</v>
      </c>
      <c r="BF50" s="976"/>
      <c r="BG50" s="976"/>
      <c r="BH50" s="978"/>
    </row>
    <row r="51" spans="1:60" ht="60" customHeight="1" x14ac:dyDescent="0.3">
      <c r="A51" s="994"/>
      <c r="B51" s="1182"/>
      <c r="C51" s="986"/>
      <c r="D51" s="986"/>
      <c r="E51" s="986"/>
      <c r="F51" s="987"/>
      <c r="G51" s="198" t="s">
        <v>310</v>
      </c>
      <c r="H51" s="201" t="s">
        <v>161</v>
      </c>
      <c r="I51" s="200">
        <v>1</v>
      </c>
      <c r="J51" s="223"/>
      <c r="K51" s="1148"/>
      <c r="L51" s="1090"/>
      <c r="M51" s="1097"/>
      <c r="N51" s="976"/>
      <c r="O51" s="976"/>
      <c r="P51" s="979"/>
      <c r="Q51" s="310" t="s">
        <v>201</v>
      </c>
      <c r="R51" s="313"/>
      <c r="S51" s="311"/>
      <c r="T51" s="312"/>
      <c r="U51" s="1148"/>
      <c r="V51" s="1090"/>
      <c r="W51" s="1097"/>
      <c r="X51" s="976"/>
      <c r="Y51" s="976"/>
      <c r="Z51" s="978"/>
      <c r="AA51" s="463" t="s">
        <v>201</v>
      </c>
      <c r="AB51" s="464"/>
      <c r="AC51" s="465"/>
      <c r="AD51" s="466"/>
      <c r="AE51" s="463" t="s">
        <v>201</v>
      </c>
      <c r="AF51" s="464"/>
      <c r="AG51" s="465"/>
      <c r="AH51" s="466"/>
      <c r="AI51" s="1138"/>
      <c r="AJ51" s="1090"/>
      <c r="AK51" s="1097"/>
      <c r="AL51" s="976"/>
      <c r="AM51" s="976"/>
      <c r="AN51" s="978"/>
      <c r="AO51" s="310" t="s">
        <v>201</v>
      </c>
      <c r="AP51" s="313"/>
      <c r="AQ51" s="311"/>
      <c r="AR51" s="660"/>
      <c r="AS51" s="1138"/>
      <c r="AT51" s="1090"/>
      <c r="AU51" s="1097"/>
      <c r="AV51" s="976"/>
      <c r="AW51" s="976"/>
      <c r="AX51" s="978"/>
      <c r="AY51" s="807" t="s">
        <v>201</v>
      </c>
      <c r="AZ51" s="808"/>
      <c r="BA51" s="809"/>
      <c r="BB51" s="831"/>
      <c r="BC51" s="1138"/>
      <c r="BD51" s="1090"/>
      <c r="BE51" s="1097"/>
      <c r="BF51" s="976"/>
      <c r="BG51" s="976"/>
      <c r="BH51" s="978"/>
    </row>
    <row r="52" spans="1:60" ht="60" customHeight="1" thickBot="1" x14ac:dyDescent="0.35">
      <c r="A52" s="995"/>
      <c r="B52" s="1183"/>
      <c r="C52" s="1024"/>
      <c r="D52" s="1024"/>
      <c r="E52" s="1024"/>
      <c r="F52" s="1026"/>
      <c r="G52" s="202" t="s">
        <v>457</v>
      </c>
      <c r="H52" s="203" t="s">
        <v>159</v>
      </c>
      <c r="I52" s="204">
        <f>SUM(I50:I51)</f>
        <v>4</v>
      </c>
      <c r="J52" s="243"/>
      <c r="K52" s="1149"/>
      <c r="L52" s="1140"/>
      <c r="M52" s="1098"/>
      <c r="N52" s="1039"/>
      <c r="O52" s="1039"/>
      <c r="P52" s="1223"/>
      <c r="Q52" s="314" t="s">
        <v>201</v>
      </c>
      <c r="R52" s="315"/>
      <c r="S52" s="316"/>
      <c r="T52" s="317"/>
      <c r="U52" s="1149"/>
      <c r="V52" s="1140"/>
      <c r="W52" s="1098"/>
      <c r="X52" s="1039"/>
      <c r="Y52" s="1039"/>
      <c r="Z52" s="992"/>
      <c r="AA52" s="467" t="s">
        <v>201</v>
      </c>
      <c r="AB52" s="468"/>
      <c r="AC52" s="469"/>
      <c r="AD52" s="470"/>
      <c r="AE52" s="467" t="s">
        <v>201</v>
      </c>
      <c r="AF52" s="468"/>
      <c r="AG52" s="469"/>
      <c r="AH52" s="470"/>
      <c r="AI52" s="1139"/>
      <c r="AJ52" s="1140"/>
      <c r="AK52" s="1098"/>
      <c r="AL52" s="1039"/>
      <c r="AM52" s="1039"/>
      <c r="AN52" s="992"/>
      <c r="AO52" s="314" t="s">
        <v>201</v>
      </c>
      <c r="AP52" s="315"/>
      <c r="AQ52" s="316"/>
      <c r="AR52" s="661"/>
      <c r="AS52" s="1139"/>
      <c r="AT52" s="1140"/>
      <c r="AU52" s="1098"/>
      <c r="AV52" s="1039"/>
      <c r="AW52" s="1039"/>
      <c r="AX52" s="992"/>
      <c r="AY52" s="810" t="s">
        <v>201</v>
      </c>
      <c r="AZ52" s="811"/>
      <c r="BA52" s="812"/>
      <c r="BB52" s="832"/>
      <c r="BC52" s="1139"/>
      <c r="BD52" s="1140"/>
      <c r="BE52" s="1098"/>
      <c r="BF52" s="1039"/>
      <c r="BG52" s="1039"/>
      <c r="BH52" s="992"/>
    </row>
    <row r="53" spans="1:60" ht="34.799999999999997" customHeight="1" x14ac:dyDescent="0.3">
      <c r="A53" s="970">
        <v>0.3</v>
      </c>
      <c r="B53" s="973" t="s">
        <v>23</v>
      </c>
      <c r="C53" s="1194" t="s">
        <v>24</v>
      </c>
      <c r="D53" s="1194" t="s">
        <v>25</v>
      </c>
      <c r="E53" s="1194" t="s">
        <v>461</v>
      </c>
      <c r="F53" s="1195" t="s">
        <v>459</v>
      </c>
      <c r="G53" s="205" t="s">
        <v>206</v>
      </c>
      <c r="H53" s="206" t="s">
        <v>203</v>
      </c>
      <c r="I53" s="206" t="s">
        <v>207</v>
      </c>
      <c r="J53" s="207" t="s">
        <v>208</v>
      </c>
      <c r="K53" s="1200">
        <f>+(J54+J55+J56)/3</f>
        <v>0.67857142857142849</v>
      </c>
      <c r="L53" s="1125" t="s">
        <v>462</v>
      </c>
      <c r="M53" s="1092">
        <f>+K53</f>
        <v>0.67857142857142849</v>
      </c>
      <c r="N53" s="1056">
        <v>0.3</v>
      </c>
      <c r="O53" s="1056">
        <f>SUM(M53:M63)/3</f>
        <v>0.7661904761904762</v>
      </c>
      <c r="P53" s="1220">
        <f>+N53*O53</f>
        <v>0.22985714285714284</v>
      </c>
      <c r="Q53" s="318" t="s">
        <v>206</v>
      </c>
      <c r="R53" s="319" t="s">
        <v>203</v>
      </c>
      <c r="S53" s="319" t="s">
        <v>207</v>
      </c>
      <c r="T53" s="320" t="s">
        <v>208</v>
      </c>
      <c r="U53" s="1151">
        <f>+(T54+T55+T56)/3</f>
        <v>0.61904761904761896</v>
      </c>
      <c r="V53" s="1099" t="s">
        <v>641</v>
      </c>
      <c r="W53" s="1092">
        <f>+U53</f>
        <v>0.61904761904761896</v>
      </c>
      <c r="X53" s="1056">
        <v>0.3</v>
      </c>
      <c r="Y53" s="1056">
        <f>SUM(W53:W63)/4</f>
        <v>0.84976190476190472</v>
      </c>
      <c r="Z53" s="1059">
        <f>+X53*Y53</f>
        <v>0.25492857142857139</v>
      </c>
      <c r="AA53" s="471" t="s">
        <v>206</v>
      </c>
      <c r="AB53" s="472" t="s">
        <v>203</v>
      </c>
      <c r="AC53" s="472" t="s">
        <v>207</v>
      </c>
      <c r="AD53" s="449" t="s">
        <v>208</v>
      </c>
      <c r="AE53" s="471" t="s">
        <v>206</v>
      </c>
      <c r="AF53" s="472" t="s">
        <v>203</v>
      </c>
      <c r="AG53" s="472" t="s">
        <v>207</v>
      </c>
      <c r="AH53" s="449" t="s">
        <v>208</v>
      </c>
      <c r="AI53" s="1081">
        <f>+(AD57+AH57)/2</f>
        <v>0.45238095238095238</v>
      </c>
      <c r="AJ53" s="1099" t="s">
        <v>746</v>
      </c>
      <c r="AK53" s="1092">
        <f>+AI53*1.11111111111111</f>
        <v>0.50264550264550212</v>
      </c>
      <c r="AL53" s="1056">
        <v>0.3</v>
      </c>
      <c r="AM53" s="1056">
        <f>SUM(AK53:AK63)/4</f>
        <v>0.7009922607092417</v>
      </c>
      <c r="AN53" s="1059">
        <f>+AL53*AM53</f>
        <v>0.21029767821277251</v>
      </c>
      <c r="AO53" s="318" t="s">
        <v>206</v>
      </c>
      <c r="AP53" s="319" t="s">
        <v>203</v>
      </c>
      <c r="AQ53" s="319" t="s">
        <v>207</v>
      </c>
      <c r="AR53" s="658" t="s">
        <v>208</v>
      </c>
      <c r="AS53" s="1081">
        <f>+(AR54+AR55+AR56)/3</f>
        <v>0.44444444444444442</v>
      </c>
      <c r="AT53" s="1099" t="s">
        <v>848</v>
      </c>
      <c r="AU53" s="1092">
        <f>+AS53</f>
        <v>0.44444444444444442</v>
      </c>
      <c r="AV53" s="1056">
        <v>0.3</v>
      </c>
      <c r="AW53" s="1056">
        <f>SUM(AU53:AU63)/4</f>
        <v>0.62111111111111117</v>
      </c>
      <c r="AX53" s="1059">
        <f>+AV53*AW53</f>
        <v>0.18633333333333335</v>
      </c>
      <c r="AY53" s="813" t="s">
        <v>206</v>
      </c>
      <c r="AZ53" s="773" t="s">
        <v>203</v>
      </c>
      <c r="BA53" s="773" t="s">
        <v>207</v>
      </c>
      <c r="BB53" s="803" t="s">
        <v>208</v>
      </c>
      <c r="BC53" s="1253">
        <f>+(BB54+BB55+BB56)/3</f>
        <v>1.4444444444444444</v>
      </c>
      <c r="BD53" s="1099" t="s">
        <v>905</v>
      </c>
      <c r="BE53" s="1092">
        <v>1</v>
      </c>
      <c r="BF53" s="1056">
        <v>0.3</v>
      </c>
      <c r="BG53" s="1056">
        <f>SUM(BE53:BE63)/4</f>
        <v>0.82566534428763538</v>
      </c>
      <c r="BH53" s="1059">
        <f>+BF53*BG53</f>
        <v>0.24769960328629059</v>
      </c>
    </row>
    <row r="54" spans="1:60" ht="34.799999999999997" customHeight="1" x14ac:dyDescent="0.3">
      <c r="A54" s="970"/>
      <c r="B54" s="973"/>
      <c r="C54" s="1194"/>
      <c r="D54" s="1194"/>
      <c r="E54" s="1194"/>
      <c r="F54" s="1195"/>
      <c r="G54" s="91" t="s">
        <v>164</v>
      </c>
      <c r="H54" s="98">
        <v>6</v>
      </c>
      <c r="I54" s="110">
        <v>7</v>
      </c>
      <c r="J54" s="111">
        <f>+H54/I54</f>
        <v>0.8571428571428571</v>
      </c>
      <c r="K54" s="1152"/>
      <c r="L54" s="1100"/>
      <c r="M54" s="1092"/>
      <c r="N54" s="1057"/>
      <c r="O54" s="1057"/>
      <c r="P54" s="1221"/>
      <c r="Q54" s="299" t="s">
        <v>164</v>
      </c>
      <c r="R54" s="321">
        <v>5</v>
      </c>
      <c r="S54" s="322">
        <v>7</v>
      </c>
      <c r="T54" s="323">
        <f>+R54/S54</f>
        <v>0.7142857142857143</v>
      </c>
      <c r="U54" s="1152"/>
      <c r="V54" s="1100"/>
      <c r="W54" s="1092"/>
      <c r="X54" s="1057"/>
      <c r="Y54" s="1057"/>
      <c r="Z54" s="1060"/>
      <c r="AA54" s="425" t="s">
        <v>164</v>
      </c>
      <c r="AB54" s="473">
        <v>5</v>
      </c>
      <c r="AC54" s="474">
        <v>7</v>
      </c>
      <c r="AD54" s="475">
        <f>+AB54/AC54</f>
        <v>0.7142857142857143</v>
      </c>
      <c r="AE54" s="425" t="s">
        <v>164</v>
      </c>
      <c r="AF54" s="473">
        <v>0</v>
      </c>
      <c r="AG54" s="474">
        <v>7</v>
      </c>
      <c r="AH54" s="475">
        <f>+AF54/AG54</f>
        <v>0</v>
      </c>
      <c r="AI54" s="1082"/>
      <c r="AJ54" s="1100"/>
      <c r="AK54" s="1092"/>
      <c r="AL54" s="1057"/>
      <c r="AM54" s="1057"/>
      <c r="AN54" s="1060"/>
      <c r="AO54" s="299" t="s">
        <v>164</v>
      </c>
      <c r="AP54" s="321">
        <v>4</v>
      </c>
      <c r="AQ54" s="322">
        <v>4</v>
      </c>
      <c r="AR54" s="662">
        <f>+AP54/AQ54</f>
        <v>1</v>
      </c>
      <c r="AS54" s="1082"/>
      <c r="AT54" s="1100"/>
      <c r="AU54" s="1092"/>
      <c r="AV54" s="1057"/>
      <c r="AW54" s="1057"/>
      <c r="AX54" s="1060"/>
      <c r="AY54" s="735" t="s">
        <v>164</v>
      </c>
      <c r="AZ54" s="739">
        <v>4</v>
      </c>
      <c r="BA54" s="736">
        <v>4</v>
      </c>
      <c r="BB54" s="833">
        <f>+AZ54/BA54</f>
        <v>1</v>
      </c>
      <c r="BC54" s="1131"/>
      <c r="BD54" s="1100"/>
      <c r="BE54" s="1092"/>
      <c r="BF54" s="1057"/>
      <c r="BG54" s="1057"/>
      <c r="BH54" s="1060"/>
    </row>
    <row r="55" spans="1:60" ht="34.799999999999997" customHeight="1" x14ac:dyDescent="0.3">
      <c r="A55" s="970"/>
      <c r="B55" s="973"/>
      <c r="C55" s="1194"/>
      <c r="D55" s="1194"/>
      <c r="E55" s="1194"/>
      <c r="F55" s="1195"/>
      <c r="G55" s="91" t="s">
        <v>165</v>
      </c>
      <c r="H55" s="98">
        <v>3</v>
      </c>
      <c r="I55" s="98">
        <v>4</v>
      </c>
      <c r="J55" s="111">
        <f>+H55/I55</f>
        <v>0.75</v>
      </c>
      <c r="K55" s="1152"/>
      <c r="L55" s="1100"/>
      <c r="M55" s="1092"/>
      <c r="N55" s="1057"/>
      <c r="O55" s="1057"/>
      <c r="P55" s="1221"/>
      <c r="Q55" s="299" t="s">
        <v>165</v>
      </c>
      <c r="R55" s="321">
        <v>4</v>
      </c>
      <c r="S55" s="321">
        <v>7</v>
      </c>
      <c r="T55" s="323">
        <f>+R55/S55</f>
        <v>0.5714285714285714</v>
      </c>
      <c r="U55" s="1152"/>
      <c r="V55" s="1100"/>
      <c r="W55" s="1092"/>
      <c r="X55" s="1057"/>
      <c r="Y55" s="1057"/>
      <c r="Z55" s="1060"/>
      <c r="AA55" s="425" t="s">
        <v>165</v>
      </c>
      <c r="AB55" s="473">
        <v>5</v>
      </c>
      <c r="AC55" s="473">
        <v>7</v>
      </c>
      <c r="AD55" s="475">
        <f>+AB55/AC55</f>
        <v>0.7142857142857143</v>
      </c>
      <c r="AE55" s="425" t="s">
        <v>165</v>
      </c>
      <c r="AF55" s="473">
        <v>2</v>
      </c>
      <c r="AG55" s="473">
        <v>7</v>
      </c>
      <c r="AH55" s="475">
        <f>+AF55/AG55</f>
        <v>0.2857142857142857</v>
      </c>
      <c r="AI55" s="1082"/>
      <c r="AJ55" s="1100"/>
      <c r="AK55" s="1092"/>
      <c r="AL55" s="1057"/>
      <c r="AM55" s="1057"/>
      <c r="AN55" s="1060"/>
      <c r="AO55" s="299" t="s">
        <v>165</v>
      </c>
      <c r="AP55" s="321">
        <v>1</v>
      </c>
      <c r="AQ55" s="321">
        <v>3</v>
      </c>
      <c r="AR55" s="662">
        <f>+AP55/AQ55</f>
        <v>0.33333333333333331</v>
      </c>
      <c r="AS55" s="1082"/>
      <c r="AT55" s="1100"/>
      <c r="AU55" s="1092"/>
      <c r="AV55" s="1057"/>
      <c r="AW55" s="1057"/>
      <c r="AX55" s="1060"/>
      <c r="AY55" s="735" t="s">
        <v>165</v>
      </c>
      <c r="AZ55" s="739">
        <v>6</v>
      </c>
      <c r="BA55" s="739">
        <v>3</v>
      </c>
      <c r="BB55" s="833">
        <f>+AZ55/BA55</f>
        <v>2</v>
      </c>
      <c r="BC55" s="1131"/>
      <c r="BD55" s="1100"/>
      <c r="BE55" s="1092"/>
      <c r="BF55" s="1057"/>
      <c r="BG55" s="1057"/>
      <c r="BH55" s="1060"/>
    </row>
    <row r="56" spans="1:60" ht="34.799999999999997" customHeight="1" x14ac:dyDescent="0.3">
      <c r="A56" s="970"/>
      <c r="B56" s="973"/>
      <c r="C56" s="1194"/>
      <c r="D56" s="1194"/>
      <c r="E56" s="1194"/>
      <c r="F56" s="1195"/>
      <c r="G56" s="91" t="s">
        <v>166</v>
      </c>
      <c r="H56" s="98">
        <v>3</v>
      </c>
      <c r="I56" s="98">
        <v>7</v>
      </c>
      <c r="J56" s="111">
        <f>+H56/I56</f>
        <v>0.42857142857142855</v>
      </c>
      <c r="K56" s="1152"/>
      <c r="L56" s="1100"/>
      <c r="M56" s="1092"/>
      <c r="N56" s="1057"/>
      <c r="O56" s="1057"/>
      <c r="P56" s="1221"/>
      <c r="Q56" s="299" t="s">
        <v>166</v>
      </c>
      <c r="R56" s="321">
        <v>4</v>
      </c>
      <c r="S56" s="321">
        <v>7</v>
      </c>
      <c r="T56" s="323">
        <f>+R56/S56</f>
        <v>0.5714285714285714</v>
      </c>
      <c r="U56" s="1152"/>
      <c r="V56" s="1100"/>
      <c r="W56" s="1092"/>
      <c r="X56" s="1057"/>
      <c r="Y56" s="1057"/>
      <c r="Z56" s="1060"/>
      <c r="AA56" s="425" t="s">
        <v>166</v>
      </c>
      <c r="AB56" s="473">
        <v>5</v>
      </c>
      <c r="AC56" s="473">
        <v>7</v>
      </c>
      <c r="AD56" s="475">
        <f>+AB56/AC56</f>
        <v>0.7142857142857143</v>
      </c>
      <c r="AE56" s="425" t="s">
        <v>166</v>
      </c>
      <c r="AF56" s="473">
        <v>2</v>
      </c>
      <c r="AG56" s="473">
        <v>7</v>
      </c>
      <c r="AH56" s="475">
        <f>+AF56/AG56</f>
        <v>0.2857142857142857</v>
      </c>
      <c r="AI56" s="1082"/>
      <c r="AJ56" s="1100"/>
      <c r="AK56" s="1092"/>
      <c r="AL56" s="1057"/>
      <c r="AM56" s="1057"/>
      <c r="AN56" s="1060"/>
      <c r="AO56" s="299" t="s">
        <v>166</v>
      </c>
      <c r="AP56" s="321">
        <v>0</v>
      </c>
      <c r="AQ56" s="321">
        <v>3</v>
      </c>
      <c r="AR56" s="662">
        <f>+AP56/AQ56</f>
        <v>0</v>
      </c>
      <c r="AS56" s="1082"/>
      <c r="AT56" s="1100"/>
      <c r="AU56" s="1092"/>
      <c r="AV56" s="1057"/>
      <c r="AW56" s="1057"/>
      <c r="AX56" s="1060"/>
      <c r="AY56" s="735" t="s">
        <v>882</v>
      </c>
      <c r="AZ56" s="739">
        <v>4</v>
      </c>
      <c r="BA56" s="739">
        <v>3</v>
      </c>
      <c r="BB56" s="833">
        <f>+AZ56/BA56</f>
        <v>1.3333333333333333</v>
      </c>
      <c r="BC56" s="1131"/>
      <c r="BD56" s="1100"/>
      <c r="BE56" s="1092"/>
      <c r="BF56" s="1057"/>
      <c r="BG56" s="1057"/>
      <c r="BH56" s="1060"/>
    </row>
    <row r="57" spans="1:60" ht="34.799999999999997" customHeight="1" thickBot="1" x14ac:dyDescent="0.35">
      <c r="A57" s="970"/>
      <c r="B57" s="973"/>
      <c r="C57" s="1190"/>
      <c r="D57" s="1190"/>
      <c r="E57" s="1190"/>
      <c r="F57" s="1192"/>
      <c r="G57" s="91" t="s">
        <v>460</v>
      </c>
      <c r="H57" s="98">
        <f>SUM(H54:H56)</f>
        <v>12</v>
      </c>
      <c r="I57" s="98">
        <f t="shared" ref="I57" si="5">SUM(I54:I56)</f>
        <v>18</v>
      </c>
      <c r="J57" s="111">
        <f>AVERAGE(J54:J56)</f>
        <v>0.67857142857142849</v>
      </c>
      <c r="K57" s="1152"/>
      <c r="L57" s="1100"/>
      <c r="M57" s="1093"/>
      <c r="N57" s="1057"/>
      <c r="O57" s="1057"/>
      <c r="P57" s="1221"/>
      <c r="Q57" s="328" t="s">
        <v>460</v>
      </c>
      <c r="R57" s="364">
        <f>AVERAGE(R54:R56)</f>
        <v>4.333333333333333</v>
      </c>
      <c r="S57" s="329">
        <f t="shared" ref="S57" si="6">SUM(S54:S56)</f>
        <v>21</v>
      </c>
      <c r="T57" s="365">
        <f>AVERAGE(T54:T56)</f>
        <v>0.61904761904761896</v>
      </c>
      <c r="U57" s="1152"/>
      <c r="V57" s="1100"/>
      <c r="W57" s="1093"/>
      <c r="X57" s="1057"/>
      <c r="Y57" s="1057"/>
      <c r="Z57" s="1060"/>
      <c r="AA57" s="434" t="s">
        <v>460</v>
      </c>
      <c r="AB57" s="476">
        <f>AVERAGE(AB54:AB56)</f>
        <v>5</v>
      </c>
      <c r="AC57" s="477">
        <f t="shared" ref="AC57" si="7">SUM(AC54:AC56)</f>
        <v>21</v>
      </c>
      <c r="AD57" s="478">
        <f>AVERAGE(AD54:AD56)</f>
        <v>0.7142857142857143</v>
      </c>
      <c r="AE57" s="434" t="s">
        <v>460</v>
      </c>
      <c r="AF57" s="476">
        <f>AVERAGE(AF54:AF56)</f>
        <v>1.3333333333333333</v>
      </c>
      <c r="AG57" s="477">
        <f t="shared" ref="AG57" si="8">SUM(AG54:AG56)</f>
        <v>21</v>
      </c>
      <c r="AH57" s="478">
        <f>AVERAGE(AH54:AH56)</f>
        <v>0.19047619047619047</v>
      </c>
      <c r="AI57" s="1082"/>
      <c r="AJ57" s="1100"/>
      <c r="AK57" s="1093"/>
      <c r="AL57" s="1057"/>
      <c r="AM57" s="1057"/>
      <c r="AN57" s="1060"/>
      <c r="AO57" s="328" t="s">
        <v>460</v>
      </c>
      <c r="AP57" s="364">
        <f>AVERAGE(AP54:AP56)</f>
        <v>1.6666666666666667</v>
      </c>
      <c r="AQ57" s="329">
        <f t="shared" ref="AQ57" si="9">SUM(AQ54:AQ56)</f>
        <v>10</v>
      </c>
      <c r="AR57" s="663">
        <f>AVERAGE(AR54:AR56)</f>
        <v>0.44444444444444442</v>
      </c>
      <c r="AS57" s="1082"/>
      <c r="AT57" s="1100"/>
      <c r="AU57" s="1093"/>
      <c r="AV57" s="1057"/>
      <c r="AW57" s="1057"/>
      <c r="AX57" s="1060"/>
      <c r="AY57" s="751" t="s">
        <v>460</v>
      </c>
      <c r="AZ57" s="814">
        <f>AVERAGE(AZ54:AZ56)</f>
        <v>4.666666666666667</v>
      </c>
      <c r="BA57" s="815">
        <f>SUM(BA54:BA56)</f>
        <v>10</v>
      </c>
      <c r="BB57" s="834">
        <f>AVERAGE(BB54:BB56)</f>
        <v>1.4444444444444444</v>
      </c>
      <c r="BC57" s="1131"/>
      <c r="BD57" s="1100"/>
      <c r="BE57" s="1093"/>
      <c r="BF57" s="1057"/>
      <c r="BG57" s="1057"/>
      <c r="BH57" s="1060"/>
    </row>
    <row r="58" spans="1:60" ht="28.8" x14ac:dyDescent="0.3">
      <c r="A58" s="970"/>
      <c r="B58" s="973"/>
      <c r="C58" s="2" t="s">
        <v>28</v>
      </c>
      <c r="D58" s="2" t="s">
        <v>29</v>
      </c>
      <c r="E58" s="2" t="s">
        <v>30</v>
      </c>
      <c r="F58" s="55" t="s">
        <v>31</v>
      </c>
      <c r="G58" s="988" t="s">
        <v>309</v>
      </c>
      <c r="H58" s="1196"/>
      <c r="I58" s="1196"/>
      <c r="J58" s="1197"/>
      <c r="K58" s="77">
        <v>0</v>
      </c>
      <c r="L58" s="67" t="s">
        <v>199</v>
      </c>
      <c r="M58" s="71">
        <v>1</v>
      </c>
      <c r="N58" s="1057"/>
      <c r="O58" s="1057"/>
      <c r="P58" s="1221"/>
      <c r="Q58" s="1103" t="s">
        <v>592</v>
      </c>
      <c r="R58" s="1104"/>
      <c r="S58" s="1104"/>
      <c r="T58" s="1145"/>
      <c r="U58" s="77">
        <v>0</v>
      </c>
      <c r="V58" s="67" t="s">
        <v>199</v>
      </c>
      <c r="W58" s="71">
        <v>1</v>
      </c>
      <c r="X58" s="1057"/>
      <c r="Y58" s="1057"/>
      <c r="Z58" s="1060"/>
      <c r="AA58" s="1212" t="s">
        <v>702</v>
      </c>
      <c r="AB58" s="1213"/>
      <c r="AC58" s="1213"/>
      <c r="AD58" s="1214"/>
      <c r="AE58" s="1212" t="s">
        <v>703</v>
      </c>
      <c r="AF58" s="1213"/>
      <c r="AG58" s="1213"/>
      <c r="AH58" s="1214"/>
      <c r="AI58" s="77">
        <v>0</v>
      </c>
      <c r="AJ58" s="67" t="s">
        <v>199</v>
      </c>
      <c r="AK58" s="71">
        <v>1</v>
      </c>
      <c r="AL58" s="1057"/>
      <c r="AM58" s="1057"/>
      <c r="AN58" s="1060"/>
      <c r="AO58" s="1103" t="s">
        <v>805</v>
      </c>
      <c r="AP58" s="1104"/>
      <c r="AQ58" s="1104"/>
      <c r="AR58" s="1105"/>
      <c r="AS58" s="77">
        <v>0</v>
      </c>
      <c r="AT58" s="67" t="s">
        <v>199</v>
      </c>
      <c r="AU58" s="71">
        <v>1</v>
      </c>
      <c r="AV58" s="1057"/>
      <c r="AW58" s="1057"/>
      <c r="AX58" s="1060"/>
      <c r="AY58" s="1254" t="s">
        <v>883</v>
      </c>
      <c r="AZ58" s="1255"/>
      <c r="BA58" s="1255"/>
      <c r="BB58" s="1256"/>
      <c r="BC58" s="77">
        <v>0.01</v>
      </c>
      <c r="BD58" s="67" t="s">
        <v>906</v>
      </c>
      <c r="BE58" s="71">
        <v>1</v>
      </c>
      <c r="BF58" s="1057"/>
      <c r="BG58" s="1057"/>
      <c r="BH58" s="1060"/>
    </row>
    <row r="59" spans="1:60" ht="115.2" x14ac:dyDescent="0.3">
      <c r="A59" s="970"/>
      <c r="B59" s="973"/>
      <c r="C59" s="2" t="s">
        <v>81</v>
      </c>
      <c r="D59" s="2" t="s">
        <v>82</v>
      </c>
      <c r="E59" s="6" t="s">
        <v>83</v>
      </c>
      <c r="F59" s="2" t="s">
        <v>84</v>
      </c>
      <c r="G59" s="988" t="s">
        <v>340</v>
      </c>
      <c r="H59" s="1196"/>
      <c r="I59" s="1196"/>
      <c r="J59" s="1197"/>
      <c r="K59" s="208" t="s">
        <v>201</v>
      </c>
      <c r="L59" s="67" t="s">
        <v>201</v>
      </c>
      <c r="M59" s="71" t="s">
        <v>201</v>
      </c>
      <c r="N59" s="1057"/>
      <c r="O59" s="1057"/>
      <c r="P59" s="1221"/>
      <c r="Q59" s="299" t="s">
        <v>658</v>
      </c>
      <c r="R59" s="1067" t="s">
        <v>659</v>
      </c>
      <c r="S59" s="1106"/>
      <c r="T59" s="1146"/>
      <c r="U59" s="381">
        <v>3.9</v>
      </c>
      <c r="V59" s="382" t="s">
        <v>660</v>
      </c>
      <c r="W59" s="71">
        <f>3.9/5</f>
        <v>0.78</v>
      </c>
      <c r="X59" s="1057"/>
      <c r="Y59" s="1057"/>
      <c r="Z59" s="1060"/>
      <c r="AA59" s="425" t="s">
        <v>658</v>
      </c>
      <c r="AB59" s="1215" t="s">
        <v>659</v>
      </c>
      <c r="AC59" s="1216"/>
      <c r="AD59" s="1217"/>
      <c r="AE59" s="425" t="s">
        <v>658</v>
      </c>
      <c r="AF59" s="1215" t="s">
        <v>659</v>
      </c>
      <c r="AG59" s="1216"/>
      <c r="AH59" s="1217"/>
      <c r="AI59" s="381">
        <v>3.9</v>
      </c>
      <c r="AJ59" s="382" t="s">
        <v>660</v>
      </c>
      <c r="AK59" s="71">
        <f>3.9/5</f>
        <v>0.78</v>
      </c>
      <c r="AL59" s="1057"/>
      <c r="AM59" s="1057"/>
      <c r="AN59" s="1060"/>
      <c r="AO59" s="299" t="s">
        <v>658</v>
      </c>
      <c r="AP59" s="1067" t="s">
        <v>659</v>
      </c>
      <c r="AQ59" s="1106"/>
      <c r="AR59" s="1106"/>
      <c r="AS59" s="381">
        <v>3.9</v>
      </c>
      <c r="AT59" s="382" t="s">
        <v>660</v>
      </c>
      <c r="AU59" s="71">
        <f>3.9/5</f>
        <v>0.78</v>
      </c>
      <c r="AV59" s="1057"/>
      <c r="AW59" s="1057"/>
      <c r="AX59" s="1060"/>
      <c r="AY59" s="735" t="s">
        <v>658</v>
      </c>
      <c r="AZ59" s="1257" t="s">
        <v>659</v>
      </c>
      <c r="BA59" s="1258"/>
      <c r="BB59" s="1259"/>
      <c r="BC59" s="381">
        <v>3.9</v>
      </c>
      <c r="BD59" s="382" t="s">
        <v>660</v>
      </c>
      <c r="BE59" s="71">
        <f>3.9/5</f>
        <v>0.78</v>
      </c>
      <c r="BF59" s="1057"/>
      <c r="BG59" s="1057"/>
      <c r="BH59" s="1060"/>
    </row>
    <row r="60" spans="1:60" ht="85.2" customHeight="1" x14ac:dyDescent="0.3">
      <c r="A60" s="970"/>
      <c r="B60" s="973"/>
      <c r="C60" s="1161" t="s">
        <v>36</v>
      </c>
      <c r="D60" s="1161" t="s">
        <v>37</v>
      </c>
      <c r="E60" s="1161" t="s">
        <v>463</v>
      </c>
      <c r="F60" s="1170" t="s">
        <v>538</v>
      </c>
      <c r="G60" s="210" t="s">
        <v>465</v>
      </c>
      <c r="H60" s="211" t="s">
        <v>252</v>
      </c>
      <c r="I60" s="211" t="s">
        <v>205</v>
      </c>
      <c r="J60" s="148" t="s">
        <v>209</v>
      </c>
      <c r="K60" s="1153">
        <f>AVERAGE(J61:J63)</f>
        <v>1.2455532950232598E-2</v>
      </c>
      <c r="L60" s="1090" t="s">
        <v>464</v>
      </c>
      <c r="M60" s="1097">
        <v>0.62</v>
      </c>
      <c r="N60" s="1057"/>
      <c r="O60" s="1057"/>
      <c r="P60" s="1221"/>
      <c r="Q60" s="324" t="s">
        <v>465</v>
      </c>
      <c r="R60" s="325" t="s">
        <v>252</v>
      </c>
      <c r="S60" s="325" t="s">
        <v>205</v>
      </c>
      <c r="T60" s="326" t="s">
        <v>209</v>
      </c>
      <c r="U60" s="1153">
        <f>AVERAGE(T61:T63)</f>
        <v>2.6336441336441335E-2</v>
      </c>
      <c r="V60" s="1090" t="s">
        <v>642</v>
      </c>
      <c r="W60" s="1097">
        <v>1</v>
      </c>
      <c r="X60" s="1057"/>
      <c r="Y60" s="1057"/>
      <c r="Z60" s="1060"/>
      <c r="AA60" s="479" t="s">
        <v>465</v>
      </c>
      <c r="AB60" s="480" t="s">
        <v>252</v>
      </c>
      <c r="AC60" s="480" t="s">
        <v>205</v>
      </c>
      <c r="AD60" s="481" t="s">
        <v>209</v>
      </c>
      <c r="AE60" s="479" t="s">
        <v>465</v>
      </c>
      <c r="AF60" s="480" t="s">
        <v>252</v>
      </c>
      <c r="AG60" s="480" t="s">
        <v>205</v>
      </c>
      <c r="AH60" s="481" t="s">
        <v>209</v>
      </c>
      <c r="AI60" s="1107">
        <f>AVERAGE(AD61:AD63,AH61:AH63)</f>
        <v>1.3033088504786619E-2</v>
      </c>
      <c r="AJ60" s="1090" t="s">
        <v>747</v>
      </c>
      <c r="AK60" s="1097">
        <f>+(AI60*100)/2.5</f>
        <v>0.52132354019146476</v>
      </c>
      <c r="AL60" s="1057"/>
      <c r="AM60" s="1057"/>
      <c r="AN60" s="1060"/>
      <c r="AO60" s="324" t="s">
        <v>465</v>
      </c>
      <c r="AP60" s="325" t="s">
        <v>252</v>
      </c>
      <c r="AQ60" s="325" t="s">
        <v>205</v>
      </c>
      <c r="AR60" s="664" t="s">
        <v>209</v>
      </c>
      <c r="AS60" s="1107">
        <f>AVERAGE(AR61:AR63)</f>
        <v>6.5371762740183787E-3</v>
      </c>
      <c r="AT60" s="1090" t="s">
        <v>849</v>
      </c>
      <c r="AU60" s="1097">
        <v>0.26</v>
      </c>
      <c r="AV60" s="1057"/>
      <c r="AW60" s="1057"/>
      <c r="AX60" s="1060"/>
      <c r="AY60" s="743" t="s">
        <v>465</v>
      </c>
      <c r="AZ60" s="816" t="s">
        <v>252</v>
      </c>
      <c r="BA60" s="816" t="s">
        <v>205</v>
      </c>
      <c r="BB60" s="835" t="s">
        <v>209</v>
      </c>
      <c r="BC60" s="1107">
        <f>AVERAGE(BB61:BB63)</f>
        <v>1.3066534428763531E-2</v>
      </c>
      <c r="BD60" s="1090" t="s">
        <v>907</v>
      </c>
      <c r="BE60" s="1097">
        <f>+BC60*100/2.5</f>
        <v>0.52266137715054128</v>
      </c>
      <c r="BF60" s="1057"/>
      <c r="BG60" s="1057"/>
      <c r="BH60" s="1060"/>
    </row>
    <row r="61" spans="1:60" ht="85.2" customHeight="1" x14ac:dyDescent="0.3">
      <c r="A61" s="970"/>
      <c r="B61" s="973"/>
      <c r="C61" s="1162"/>
      <c r="D61" s="1162"/>
      <c r="E61" s="1162"/>
      <c r="F61" s="1193"/>
      <c r="G61" s="91" t="s">
        <v>164</v>
      </c>
      <c r="H61" s="98">
        <v>4</v>
      </c>
      <c r="I61" s="89">
        <v>283</v>
      </c>
      <c r="J61" s="209">
        <f>+H61/I61</f>
        <v>1.4134275618374558E-2</v>
      </c>
      <c r="K61" s="1153"/>
      <c r="L61" s="1084"/>
      <c r="M61" s="1097"/>
      <c r="N61" s="1057"/>
      <c r="O61" s="1057"/>
      <c r="P61" s="1221"/>
      <c r="Q61" s="299" t="s">
        <v>164</v>
      </c>
      <c r="R61" s="321">
        <v>4</v>
      </c>
      <c r="S61" s="297">
        <v>78</v>
      </c>
      <c r="T61" s="327">
        <f>+R61/S61</f>
        <v>5.128205128205128E-2</v>
      </c>
      <c r="U61" s="1153"/>
      <c r="V61" s="1084"/>
      <c r="W61" s="1097"/>
      <c r="X61" s="1057"/>
      <c r="Y61" s="1057"/>
      <c r="Z61" s="1060"/>
      <c r="AA61" s="425" t="s">
        <v>164</v>
      </c>
      <c r="AB61" s="473">
        <v>1</v>
      </c>
      <c r="AC61" s="423">
        <v>154</v>
      </c>
      <c r="AD61" s="482">
        <f>+AB61/AC61</f>
        <v>6.4935064935064939E-3</v>
      </c>
      <c r="AE61" s="425" t="s">
        <v>164</v>
      </c>
      <c r="AF61" s="473">
        <v>0</v>
      </c>
      <c r="AG61" s="423">
        <v>100</v>
      </c>
      <c r="AH61" s="482">
        <f>+AF61/AG61</f>
        <v>0</v>
      </c>
      <c r="AI61" s="1107"/>
      <c r="AJ61" s="1084"/>
      <c r="AK61" s="1097"/>
      <c r="AL61" s="1057"/>
      <c r="AM61" s="1057"/>
      <c r="AN61" s="1060"/>
      <c r="AO61" s="299" t="s">
        <v>164</v>
      </c>
      <c r="AP61" s="321">
        <v>3</v>
      </c>
      <c r="AQ61" s="297">
        <v>266</v>
      </c>
      <c r="AR61" s="665">
        <f>+AP61/AQ61</f>
        <v>1.1278195488721804E-2</v>
      </c>
      <c r="AS61" s="1107"/>
      <c r="AT61" s="1084"/>
      <c r="AU61" s="1097"/>
      <c r="AV61" s="1057"/>
      <c r="AW61" s="1057"/>
      <c r="AX61" s="1060"/>
      <c r="AY61" s="735" t="s">
        <v>164</v>
      </c>
      <c r="AZ61" s="739">
        <v>4</v>
      </c>
      <c r="BA61" s="768">
        <v>308</v>
      </c>
      <c r="BB61" s="836">
        <f>+AZ61/BA61</f>
        <v>1.2987012987012988E-2</v>
      </c>
      <c r="BC61" s="1107"/>
      <c r="BD61" s="1084"/>
      <c r="BE61" s="1097"/>
      <c r="BF61" s="1057"/>
      <c r="BG61" s="1057"/>
      <c r="BH61" s="1060"/>
    </row>
    <row r="62" spans="1:60" ht="85.2" customHeight="1" x14ac:dyDescent="0.3">
      <c r="A62" s="970"/>
      <c r="B62" s="973"/>
      <c r="C62" s="1162"/>
      <c r="D62" s="1162"/>
      <c r="E62" s="1162"/>
      <c r="F62" s="1193"/>
      <c r="G62" s="91" t="s">
        <v>165</v>
      </c>
      <c r="H62" s="98">
        <v>2</v>
      </c>
      <c r="I62" s="88">
        <v>180</v>
      </c>
      <c r="J62" s="209">
        <f>+H62/I62</f>
        <v>1.1111111111111112E-2</v>
      </c>
      <c r="K62" s="1153"/>
      <c r="L62" s="1084"/>
      <c r="M62" s="1097"/>
      <c r="N62" s="1057"/>
      <c r="O62" s="1057"/>
      <c r="P62" s="1221"/>
      <c r="Q62" s="299" t="s">
        <v>165</v>
      </c>
      <c r="R62" s="321">
        <v>2</v>
      </c>
      <c r="S62" s="300">
        <v>88</v>
      </c>
      <c r="T62" s="327">
        <f>+R62/S62</f>
        <v>2.2727272727272728E-2</v>
      </c>
      <c r="U62" s="1153"/>
      <c r="V62" s="1084"/>
      <c r="W62" s="1097"/>
      <c r="X62" s="1057"/>
      <c r="Y62" s="1057"/>
      <c r="Z62" s="1060"/>
      <c r="AA62" s="425" t="s">
        <v>165</v>
      </c>
      <c r="AB62" s="473">
        <v>0</v>
      </c>
      <c r="AC62" s="426">
        <v>87</v>
      </c>
      <c r="AD62" s="482">
        <f>+AB62/AC62</f>
        <v>0</v>
      </c>
      <c r="AE62" s="425" t="s">
        <v>165</v>
      </c>
      <c r="AF62" s="473">
        <v>1</v>
      </c>
      <c r="AG62" s="426">
        <v>42</v>
      </c>
      <c r="AH62" s="482">
        <f>+AF62/AG62</f>
        <v>2.3809523809523808E-2</v>
      </c>
      <c r="AI62" s="1107"/>
      <c r="AJ62" s="1084"/>
      <c r="AK62" s="1097"/>
      <c r="AL62" s="1057"/>
      <c r="AM62" s="1057"/>
      <c r="AN62" s="1060"/>
      <c r="AO62" s="299" t="s">
        <v>165</v>
      </c>
      <c r="AP62" s="321">
        <v>1</v>
      </c>
      <c r="AQ62" s="300">
        <v>120</v>
      </c>
      <c r="AR62" s="665">
        <f>+AP62/AQ62</f>
        <v>8.3333333333333332E-3</v>
      </c>
      <c r="AS62" s="1107"/>
      <c r="AT62" s="1084"/>
      <c r="AU62" s="1097"/>
      <c r="AV62" s="1057"/>
      <c r="AW62" s="1057"/>
      <c r="AX62" s="1060"/>
      <c r="AY62" s="735" t="s">
        <v>165</v>
      </c>
      <c r="AZ62" s="739">
        <v>4</v>
      </c>
      <c r="BA62" s="737">
        <v>255</v>
      </c>
      <c r="BB62" s="836">
        <f>+AZ62/BA62</f>
        <v>1.5686274509803921E-2</v>
      </c>
      <c r="BC62" s="1107"/>
      <c r="BD62" s="1084"/>
      <c r="BE62" s="1097"/>
      <c r="BF62" s="1057"/>
      <c r="BG62" s="1057"/>
      <c r="BH62" s="1060"/>
    </row>
    <row r="63" spans="1:60" ht="85.2" customHeight="1" thickBot="1" x14ac:dyDescent="0.35">
      <c r="A63" s="970"/>
      <c r="B63" s="973"/>
      <c r="C63" s="1162"/>
      <c r="D63" s="1162"/>
      <c r="E63" s="1162"/>
      <c r="F63" s="1193"/>
      <c r="G63" s="128" t="s">
        <v>166</v>
      </c>
      <c r="H63" s="132">
        <v>2</v>
      </c>
      <c r="I63" s="129">
        <v>165</v>
      </c>
      <c r="J63" s="244">
        <f>+H63/I63</f>
        <v>1.2121212121212121E-2</v>
      </c>
      <c r="K63" s="1198"/>
      <c r="L63" s="1199"/>
      <c r="M63" s="1091"/>
      <c r="N63" s="1101"/>
      <c r="O63" s="1101"/>
      <c r="P63" s="1224"/>
      <c r="Q63" s="328" t="s">
        <v>166</v>
      </c>
      <c r="R63" s="329">
        <v>2</v>
      </c>
      <c r="S63" s="330">
        <v>400</v>
      </c>
      <c r="T63" s="331">
        <f>+R63/S63</f>
        <v>5.0000000000000001E-3</v>
      </c>
      <c r="U63" s="1154"/>
      <c r="V63" s="1096"/>
      <c r="W63" s="1091"/>
      <c r="X63" s="1101"/>
      <c r="Y63" s="1101"/>
      <c r="Z63" s="1102"/>
      <c r="AA63" s="434" t="s">
        <v>166</v>
      </c>
      <c r="AB63" s="477">
        <v>1</v>
      </c>
      <c r="AC63" s="435">
        <v>106</v>
      </c>
      <c r="AD63" s="483">
        <f>+AB63/AC63</f>
        <v>9.433962264150943E-3</v>
      </c>
      <c r="AE63" s="434" t="s">
        <v>166</v>
      </c>
      <c r="AF63" s="477">
        <v>1</v>
      </c>
      <c r="AG63" s="435">
        <v>26</v>
      </c>
      <c r="AH63" s="483">
        <f>+AF63/AG63</f>
        <v>3.8461538461538464E-2</v>
      </c>
      <c r="AI63" s="1108"/>
      <c r="AJ63" s="1096"/>
      <c r="AK63" s="1091"/>
      <c r="AL63" s="1101"/>
      <c r="AM63" s="1101"/>
      <c r="AN63" s="1102"/>
      <c r="AO63" s="328" t="s">
        <v>166</v>
      </c>
      <c r="AP63" s="329">
        <v>0</v>
      </c>
      <c r="AQ63" s="330">
        <v>105</v>
      </c>
      <c r="AR63" s="666">
        <f>+AP63/AQ63</f>
        <v>0</v>
      </c>
      <c r="AS63" s="1108"/>
      <c r="AT63" s="1096"/>
      <c r="AU63" s="1091"/>
      <c r="AV63" s="1101"/>
      <c r="AW63" s="1101"/>
      <c r="AX63" s="1102"/>
      <c r="AY63" s="751" t="s">
        <v>882</v>
      </c>
      <c r="AZ63" s="815">
        <v>2</v>
      </c>
      <c r="BA63" s="770">
        <v>190</v>
      </c>
      <c r="BB63" s="837">
        <f>+AZ63/BA63</f>
        <v>1.0526315789473684E-2</v>
      </c>
      <c r="BC63" s="1108"/>
      <c r="BD63" s="1096"/>
      <c r="BE63" s="1091"/>
      <c r="BF63" s="1101"/>
      <c r="BG63" s="1101"/>
      <c r="BH63" s="1102"/>
    </row>
    <row r="64" spans="1:60" ht="19.2" customHeight="1" x14ac:dyDescent="0.3">
      <c r="A64" s="993">
        <v>0.3</v>
      </c>
      <c r="B64" s="1180" t="s">
        <v>39</v>
      </c>
      <c r="C64" s="1023" t="s">
        <v>40</v>
      </c>
      <c r="D64" s="1023" t="s">
        <v>41</v>
      </c>
      <c r="E64" s="1023" t="s">
        <v>488</v>
      </c>
      <c r="F64" s="1025" t="s">
        <v>536</v>
      </c>
      <c r="G64" s="245" t="s">
        <v>487</v>
      </c>
      <c r="H64" s="146" t="s">
        <v>203</v>
      </c>
      <c r="I64" s="146" t="s">
        <v>204</v>
      </c>
      <c r="J64" s="126" t="s">
        <v>208</v>
      </c>
      <c r="K64" s="1081">
        <f>SUM(J64:J73)/9</f>
        <v>0.88013815372372928</v>
      </c>
      <c r="L64" s="1083" t="s">
        <v>489</v>
      </c>
      <c r="M64" s="1143">
        <v>0.89790000000000003</v>
      </c>
      <c r="N64" s="1087">
        <v>0.3</v>
      </c>
      <c r="O64" s="1087">
        <f>SUM(M64:M98)/3</f>
        <v>0.82337407407407415</v>
      </c>
      <c r="P64" s="1225">
        <f>+N64*O64</f>
        <v>0.24701222222222224</v>
      </c>
      <c r="Q64" s="370" t="s">
        <v>487</v>
      </c>
      <c r="R64" s="371" t="s">
        <v>203</v>
      </c>
      <c r="S64" s="371" t="s">
        <v>204</v>
      </c>
      <c r="T64" s="384" t="s">
        <v>208</v>
      </c>
      <c r="U64" s="1141">
        <f>SUM(T65:T73)/9</f>
        <v>0.84134799607184763</v>
      </c>
      <c r="V64" s="1083" t="s">
        <v>679</v>
      </c>
      <c r="W64" s="1143">
        <f>+U64</f>
        <v>0.84134799607184763</v>
      </c>
      <c r="X64" s="1087">
        <v>0.3</v>
      </c>
      <c r="Y64" s="1087">
        <f>SUM(W64:W98)/3</f>
        <v>0.83230118387580099</v>
      </c>
      <c r="Z64" s="1088">
        <f>+X64*Y64</f>
        <v>0.2496903551627403</v>
      </c>
      <c r="AA64" s="484" t="s">
        <v>487</v>
      </c>
      <c r="AB64" s="554" t="s">
        <v>203</v>
      </c>
      <c r="AC64" s="554" t="s">
        <v>204</v>
      </c>
      <c r="AD64" s="485" t="s">
        <v>208</v>
      </c>
      <c r="AE64" s="484" t="s">
        <v>487</v>
      </c>
      <c r="AF64" s="554" t="s">
        <v>203</v>
      </c>
      <c r="AG64" s="554" t="s">
        <v>204</v>
      </c>
      <c r="AH64" s="485" t="s">
        <v>208</v>
      </c>
      <c r="AI64" s="1141">
        <f>SUM(AD65:AD73)/9</f>
        <v>0.84134799607184763</v>
      </c>
      <c r="AJ64" s="1083" t="s">
        <v>679</v>
      </c>
      <c r="AK64" s="1143">
        <f>+AI64</f>
        <v>0.84134799607184763</v>
      </c>
      <c r="AL64" s="1087">
        <v>0.3</v>
      </c>
      <c r="AM64" s="1087">
        <f>SUM(AK64:AK98)/3</f>
        <v>0.75267155424617138</v>
      </c>
      <c r="AN64" s="1088">
        <f>+AL64*AM64</f>
        <v>0.22580146627385139</v>
      </c>
      <c r="AO64" s="370" t="s">
        <v>487</v>
      </c>
      <c r="AP64" s="371" t="s">
        <v>203</v>
      </c>
      <c r="AQ64" s="371" t="s">
        <v>204</v>
      </c>
      <c r="AR64" s="384" t="s">
        <v>208</v>
      </c>
      <c r="AS64" s="1081">
        <f>SUM(AR65:AR73)/9</f>
        <v>0.84134799607184763</v>
      </c>
      <c r="AT64" s="1083" t="s">
        <v>679</v>
      </c>
      <c r="AU64" s="1085">
        <f>+AS64</f>
        <v>0.84134799607184763</v>
      </c>
      <c r="AV64" s="1087">
        <v>0.3</v>
      </c>
      <c r="AW64" s="1087">
        <f>SUM(AU64:AU98)/3</f>
        <v>0.75822710980172692</v>
      </c>
      <c r="AX64" s="1088">
        <f>+AV64*AW64</f>
        <v>0.22746813294051807</v>
      </c>
      <c r="AY64" s="1270" t="s">
        <v>378</v>
      </c>
      <c r="AZ64" s="1271"/>
      <c r="BA64" s="1271"/>
      <c r="BB64" s="1272"/>
      <c r="BC64" s="1268">
        <f>(100+85+60)/3</f>
        <v>81.666666666666671</v>
      </c>
      <c r="BD64" s="1083" t="s">
        <v>962</v>
      </c>
      <c r="BE64" s="1085">
        <f>+BC64/100</f>
        <v>0.81666666666666676</v>
      </c>
      <c r="BF64" s="1087">
        <v>0.3</v>
      </c>
      <c r="BG64" s="1087">
        <f>SUM(BE64:BE98)/3</f>
        <v>0.93888888888888899</v>
      </c>
      <c r="BH64" s="1088">
        <f>+BF64*BG64</f>
        <v>0.28166666666666668</v>
      </c>
    </row>
    <row r="65" spans="1:60" ht="19.2" customHeight="1" x14ac:dyDescent="0.3">
      <c r="A65" s="994"/>
      <c r="B65" s="1182"/>
      <c r="C65" s="986"/>
      <c r="D65" s="986"/>
      <c r="E65" s="986"/>
      <c r="F65" s="987"/>
      <c r="G65" s="226" t="s">
        <v>170</v>
      </c>
      <c r="H65" s="214" t="s">
        <v>469</v>
      </c>
      <c r="I65" s="214" t="s">
        <v>470</v>
      </c>
      <c r="J65" s="113">
        <v>0.51449275362318803</v>
      </c>
      <c r="K65" s="1082"/>
      <c r="L65" s="1084"/>
      <c r="M65" s="1144"/>
      <c r="N65" s="1057"/>
      <c r="O65" s="1057"/>
      <c r="P65" s="1221"/>
      <c r="Q65" s="385" t="s">
        <v>170</v>
      </c>
      <c r="R65" s="386" t="s">
        <v>664</v>
      </c>
      <c r="S65" s="386" t="s">
        <v>671</v>
      </c>
      <c r="T65" s="387">
        <v>0.92307692307692313</v>
      </c>
      <c r="U65" s="1142"/>
      <c r="V65" s="1084"/>
      <c r="W65" s="1144"/>
      <c r="X65" s="1057"/>
      <c r="Y65" s="1057"/>
      <c r="Z65" s="1060"/>
      <c r="AA65" s="450" t="s">
        <v>170</v>
      </c>
      <c r="AB65" s="555" t="s">
        <v>664</v>
      </c>
      <c r="AC65" s="555" t="s">
        <v>671</v>
      </c>
      <c r="AD65" s="556">
        <v>0.92307692307692313</v>
      </c>
      <c r="AE65" s="450" t="s">
        <v>170</v>
      </c>
      <c r="AF65" s="555" t="s">
        <v>664</v>
      </c>
      <c r="AG65" s="555" t="s">
        <v>671</v>
      </c>
      <c r="AH65" s="556">
        <v>0.92307692307692313</v>
      </c>
      <c r="AI65" s="1142"/>
      <c r="AJ65" s="1084"/>
      <c r="AK65" s="1144"/>
      <c r="AL65" s="1057"/>
      <c r="AM65" s="1057"/>
      <c r="AN65" s="1060"/>
      <c r="AO65" s="385" t="s">
        <v>170</v>
      </c>
      <c r="AP65" s="386" t="s">
        <v>664</v>
      </c>
      <c r="AQ65" s="386" t="s">
        <v>671</v>
      </c>
      <c r="AR65" s="387">
        <v>0.92307692307692313</v>
      </c>
      <c r="AS65" s="1082"/>
      <c r="AT65" s="1084"/>
      <c r="AU65" s="1086"/>
      <c r="AV65" s="1057"/>
      <c r="AW65" s="1057"/>
      <c r="AX65" s="1060"/>
      <c r="AY65" s="888" t="s">
        <v>951</v>
      </c>
      <c r="AZ65" s="745" t="s">
        <v>952</v>
      </c>
      <c r="BA65" s="745" t="s">
        <v>953</v>
      </c>
      <c r="BB65" s="891" t="s">
        <v>963</v>
      </c>
      <c r="BC65" s="1269"/>
      <c r="BD65" s="1084"/>
      <c r="BE65" s="1086"/>
      <c r="BF65" s="1057"/>
      <c r="BG65" s="1057"/>
      <c r="BH65" s="1060"/>
    </row>
    <row r="66" spans="1:60" ht="19.2" customHeight="1" x14ac:dyDescent="0.3">
      <c r="A66" s="994"/>
      <c r="B66" s="1182"/>
      <c r="C66" s="986"/>
      <c r="D66" s="986"/>
      <c r="E66" s="986"/>
      <c r="F66" s="987"/>
      <c r="G66" s="226" t="s">
        <v>171</v>
      </c>
      <c r="H66" s="214" t="s">
        <v>471</v>
      </c>
      <c r="I66" s="214" t="s">
        <v>472</v>
      </c>
      <c r="J66" s="113">
        <v>0.75862068965517238</v>
      </c>
      <c r="K66" s="1082"/>
      <c r="L66" s="1084"/>
      <c r="M66" s="1144"/>
      <c r="N66" s="1057"/>
      <c r="O66" s="1057"/>
      <c r="P66" s="1221"/>
      <c r="Q66" s="385" t="s">
        <v>171</v>
      </c>
      <c r="R66" s="386" t="s">
        <v>665</v>
      </c>
      <c r="S66" s="386" t="s">
        <v>672</v>
      </c>
      <c r="T66" s="387">
        <v>1</v>
      </c>
      <c r="U66" s="1142"/>
      <c r="V66" s="1084"/>
      <c r="W66" s="1144"/>
      <c r="X66" s="1057"/>
      <c r="Y66" s="1057"/>
      <c r="Z66" s="1060"/>
      <c r="AA66" s="450" t="s">
        <v>171</v>
      </c>
      <c r="AB66" s="555" t="s">
        <v>665</v>
      </c>
      <c r="AC66" s="555" t="s">
        <v>672</v>
      </c>
      <c r="AD66" s="556">
        <v>1</v>
      </c>
      <c r="AE66" s="450" t="s">
        <v>171</v>
      </c>
      <c r="AF66" s="555" t="s">
        <v>665</v>
      </c>
      <c r="AG66" s="555" t="s">
        <v>672</v>
      </c>
      <c r="AH66" s="556">
        <v>1</v>
      </c>
      <c r="AI66" s="1142"/>
      <c r="AJ66" s="1084"/>
      <c r="AK66" s="1144"/>
      <c r="AL66" s="1057"/>
      <c r="AM66" s="1057"/>
      <c r="AN66" s="1060"/>
      <c r="AO66" s="385" t="s">
        <v>171</v>
      </c>
      <c r="AP66" s="386" t="s">
        <v>665</v>
      </c>
      <c r="AQ66" s="386" t="s">
        <v>672</v>
      </c>
      <c r="AR66" s="387">
        <v>1</v>
      </c>
      <c r="AS66" s="1082"/>
      <c r="AT66" s="1084"/>
      <c r="AU66" s="1086"/>
      <c r="AV66" s="1057"/>
      <c r="AW66" s="1057"/>
      <c r="AX66" s="1060"/>
      <c r="AY66" s="735" t="s">
        <v>164</v>
      </c>
      <c r="AZ66" s="739">
        <v>17</v>
      </c>
      <c r="BA66" s="739">
        <v>38.6</v>
      </c>
      <c r="BB66" s="898">
        <v>0.8</v>
      </c>
      <c r="BC66" s="1269"/>
      <c r="BD66" s="1084"/>
      <c r="BE66" s="1086"/>
      <c r="BF66" s="1057"/>
      <c r="BG66" s="1057"/>
      <c r="BH66" s="1060"/>
    </row>
    <row r="67" spans="1:60" ht="19.2" customHeight="1" x14ac:dyDescent="0.3">
      <c r="A67" s="994"/>
      <c r="B67" s="1182"/>
      <c r="C67" s="986"/>
      <c r="D67" s="986"/>
      <c r="E67" s="986"/>
      <c r="F67" s="987"/>
      <c r="G67" s="226" t="s">
        <v>172</v>
      </c>
      <c r="H67" s="214" t="s">
        <v>473</v>
      </c>
      <c r="I67" s="214" t="s">
        <v>474</v>
      </c>
      <c r="J67" s="113">
        <v>1.6842105263157894</v>
      </c>
      <c r="K67" s="1082"/>
      <c r="L67" s="1084"/>
      <c r="M67" s="1144"/>
      <c r="N67" s="1057"/>
      <c r="O67" s="1057"/>
      <c r="P67" s="1221"/>
      <c r="Q67" s="385" t="s">
        <v>172</v>
      </c>
      <c r="R67" s="386" t="s">
        <v>666</v>
      </c>
      <c r="S67" s="386" t="s">
        <v>672</v>
      </c>
      <c r="T67" s="387">
        <v>1</v>
      </c>
      <c r="U67" s="1142"/>
      <c r="V67" s="1084"/>
      <c r="W67" s="1144"/>
      <c r="X67" s="1057"/>
      <c r="Y67" s="1057"/>
      <c r="Z67" s="1060"/>
      <c r="AA67" s="450" t="s">
        <v>172</v>
      </c>
      <c r="AB67" s="555" t="s">
        <v>666</v>
      </c>
      <c r="AC67" s="555" t="s">
        <v>672</v>
      </c>
      <c r="AD67" s="556">
        <v>1</v>
      </c>
      <c r="AE67" s="450" t="s">
        <v>172</v>
      </c>
      <c r="AF67" s="555" t="s">
        <v>666</v>
      </c>
      <c r="AG67" s="555" t="s">
        <v>672</v>
      </c>
      <c r="AH67" s="556">
        <v>1</v>
      </c>
      <c r="AI67" s="1142"/>
      <c r="AJ67" s="1084"/>
      <c r="AK67" s="1144"/>
      <c r="AL67" s="1057"/>
      <c r="AM67" s="1057"/>
      <c r="AN67" s="1060"/>
      <c r="AO67" s="385" t="s">
        <v>172</v>
      </c>
      <c r="AP67" s="386" t="s">
        <v>666</v>
      </c>
      <c r="AQ67" s="386" t="s">
        <v>672</v>
      </c>
      <c r="AR67" s="387">
        <v>1</v>
      </c>
      <c r="AS67" s="1082"/>
      <c r="AT67" s="1084"/>
      <c r="AU67" s="1086"/>
      <c r="AV67" s="1057"/>
      <c r="AW67" s="1057"/>
      <c r="AX67" s="1060"/>
      <c r="AY67" s="735" t="s">
        <v>165</v>
      </c>
      <c r="AZ67" s="739">
        <v>6</v>
      </c>
      <c r="BA67" s="798">
        <v>0.13600000000000001</v>
      </c>
      <c r="BB67" s="898">
        <v>0.6</v>
      </c>
      <c r="BC67" s="1269"/>
      <c r="BD67" s="1084"/>
      <c r="BE67" s="1086"/>
      <c r="BF67" s="1057"/>
      <c r="BG67" s="1057"/>
      <c r="BH67" s="1060"/>
    </row>
    <row r="68" spans="1:60" ht="19.2" customHeight="1" x14ac:dyDescent="0.3">
      <c r="A68" s="994"/>
      <c r="B68" s="1182"/>
      <c r="C68" s="986"/>
      <c r="D68" s="986"/>
      <c r="E68" s="986"/>
      <c r="F68" s="987"/>
      <c r="G68" s="226" t="s">
        <v>173</v>
      </c>
      <c r="H68" s="214" t="s">
        <v>475</v>
      </c>
      <c r="I68" s="214" t="s">
        <v>476</v>
      </c>
      <c r="J68" s="113">
        <v>0.8</v>
      </c>
      <c r="K68" s="1082"/>
      <c r="L68" s="1084"/>
      <c r="M68" s="1144"/>
      <c r="N68" s="1057"/>
      <c r="O68" s="1057"/>
      <c r="P68" s="1221"/>
      <c r="Q68" s="385" t="s">
        <v>173</v>
      </c>
      <c r="R68" s="386" t="s">
        <v>667</v>
      </c>
      <c r="S68" s="386" t="s">
        <v>673</v>
      </c>
      <c r="T68" s="387">
        <f>78/(78+16)</f>
        <v>0.82978723404255317</v>
      </c>
      <c r="U68" s="1142"/>
      <c r="V68" s="1084"/>
      <c r="W68" s="1144"/>
      <c r="X68" s="1057"/>
      <c r="Y68" s="1057"/>
      <c r="Z68" s="1060"/>
      <c r="AA68" s="450" t="s">
        <v>173</v>
      </c>
      <c r="AB68" s="555" t="s">
        <v>667</v>
      </c>
      <c r="AC68" s="555" t="s">
        <v>673</v>
      </c>
      <c r="AD68" s="556">
        <f>78/(78+16)</f>
        <v>0.82978723404255317</v>
      </c>
      <c r="AE68" s="450" t="s">
        <v>173</v>
      </c>
      <c r="AF68" s="555" t="s">
        <v>667</v>
      </c>
      <c r="AG68" s="555" t="s">
        <v>673</v>
      </c>
      <c r="AH68" s="556">
        <f>78/(78+16)</f>
        <v>0.82978723404255317</v>
      </c>
      <c r="AI68" s="1142"/>
      <c r="AJ68" s="1084"/>
      <c r="AK68" s="1144"/>
      <c r="AL68" s="1057"/>
      <c r="AM68" s="1057"/>
      <c r="AN68" s="1060"/>
      <c r="AO68" s="385" t="s">
        <v>173</v>
      </c>
      <c r="AP68" s="386" t="s">
        <v>667</v>
      </c>
      <c r="AQ68" s="386" t="s">
        <v>673</v>
      </c>
      <c r="AR68" s="387">
        <f>78/(78+16)</f>
        <v>0.82978723404255317</v>
      </c>
      <c r="AS68" s="1082"/>
      <c r="AT68" s="1084"/>
      <c r="AU68" s="1086"/>
      <c r="AV68" s="1057"/>
      <c r="AW68" s="1057"/>
      <c r="AX68" s="1060"/>
      <c r="AY68" s="735" t="s">
        <v>882</v>
      </c>
      <c r="AZ68" s="739">
        <v>0</v>
      </c>
      <c r="BA68" s="798">
        <v>0</v>
      </c>
      <c r="BB68" s="757">
        <v>0</v>
      </c>
      <c r="BC68" s="1269"/>
      <c r="BD68" s="1084"/>
      <c r="BE68" s="1086"/>
      <c r="BF68" s="1057"/>
      <c r="BG68" s="1057"/>
      <c r="BH68" s="1060"/>
    </row>
    <row r="69" spans="1:60" ht="19.2" customHeight="1" x14ac:dyDescent="0.3">
      <c r="A69" s="994"/>
      <c r="B69" s="1182"/>
      <c r="C69" s="986"/>
      <c r="D69" s="986"/>
      <c r="E69" s="986"/>
      <c r="F69" s="987"/>
      <c r="G69" s="226" t="s">
        <v>174</v>
      </c>
      <c r="H69" s="214" t="s">
        <v>477</v>
      </c>
      <c r="I69" s="214" t="s">
        <v>478</v>
      </c>
      <c r="J69" s="113">
        <v>1</v>
      </c>
      <c r="K69" s="1082"/>
      <c r="L69" s="1084"/>
      <c r="M69" s="1144"/>
      <c r="N69" s="1057"/>
      <c r="O69" s="1057"/>
      <c r="P69" s="1221"/>
      <c r="Q69" s="385" t="s">
        <v>174</v>
      </c>
      <c r="R69" s="386" t="s">
        <v>668</v>
      </c>
      <c r="S69" s="386" t="s">
        <v>678</v>
      </c>
      <c r="T69" s="387">
        <f>43/(43+64)</f>
        <v>0.40186915887850466</v>
      </c>
      <c r="U69" s="1142"/>
      <c r="V69" s="1084"/>
      <c r="W69" s="1144"/>
      <c r="X69" s="1057"/>
      <c r="Y69" s="1057"/>
      <c r="Z69" s="1060"/>
      <c r="AA69" s="450" t="s">
        <v>174</v>
      </c>
      <c r="AB69" s="555" t="s">
        <v>668</v>
      </c>
      <c r="AC69" s="555" t="s">
        <v>678</v>
      </c>
      <c r="AD69" s="556">
        <f>43/(43+64)</f>
        <v>0.40186915887850466</v>
      </c>
      <c r="AE69" s="450" t="s">
        <v>174</v>
      </c>
      <c r="AF69" s="555" t="s">
        <v>668</v>
      </c>
      <c r="AG69" s="555" t="s">
        <v>678</v>
      </c>
      <c r="AH69" s="556">
        <f>43/(43+64)</f>
        <v>0.40186915887850466</v>
      </c>
      <c r="AI69" s="1142"/>
      <c r="AJ69" s="1084"/>
      <c r="AK69" s="1144"/>
      <c r="AL69" s="1057"/>
      <c r="AM69" s="1057"/>
      <c r="AN69" s="1060"/>
      <c r="AO69" s="385" t="s">
        <v>174</v>
      </c>
      <c r="AP69" s="386" t="s">
        <v>668</v>
      </c>
      <c r="AQ69" s="386" t="s">
        <v>678</v>
      </c>
      <c r="AR69" s="387">
        <f>43/(43+64)</f>
        <v>0.40186915887850466</v>
      </c>
      <c r="AS69" s="1082"/>
      <c r="AT69" s="1084"/>
      <c r="AU69" s="1086"/>
      <c r="AV69" s="1057"/>
      <c r="AW69" s="1057"/>
      <c r="AX69" s="1060"/>
      <c r="AY69" s="1273" t="s">
        <v>954</v>
      </c>
      <c r="AZ69" s="1274"/>
      <c r="BA69" s="1274"/>
      <c r="BB69" s="1275"/>
      <c r="BC69" s="1269"/>
      <c r="BD69" s="1084"/>
      <c r="BE69" s="1086"/>
      <c r="BF69" s="1057"/>
      <c r="BG69" s="1057"/>
      <c r="BH69" s="1060"/>
    </row>
    <row r="70" spans="1:60" ht="19.2" customHeight="1" x14ac:dyDescent="0.3">
      <c r="A70" s="994"/>
      <c r="B70" s="1182"/>
      <c r="C70" s="986"/>
      <c r="D70" s="986"/>
      <c r="E70" s="986"/>
      <c r="F70" s="987"/>
      <c r="G70" s="226" t="s">
        <v>175</v>
      </c>
      <c r="H70" s="214" t="s">
        <v>479</v>
      </c>
      <c r="I70" s="214" t="s">
        <v>480</v>
      </c>
      <c r="J70" s="113">
        <v>0.91666666666666663</v>
      </c>
      <c r="K70" s="1082"/>
      <c r="L70" s="1084"/>
      <c r="M70" s="1144"/>
      <c r="N70" s="1057"/>
      <c r="O70" s="1057"/>
      <c r="P70" s="1221"/>
      <c r="Q70" s="385" t="s">
        <v>175</v>
      </c>
      <c r="R70" s="386" t="s">
        <v>479</v>
      </c>
      <c r="S70" s="386" t="s">
        <v>674</v>
      </c>
      <c r="T70" s="387">
        <f>48/(48+26)</f>
        <v>0.64864864864864868</v>
      </c>
      <c r="U70" s="1142"/>
      <c r="V70" s="1084"/>
      <c r="W70" s="1144"/>
      <c r="X70" s="1057"/>
      <c r="Y70" s="1057"/>
      <c r="Z70" s="1060"/>
      <c r="AA70" s="450" t="s">
        <v>175</v>
      </c>
      <c r="AB70" s="555" t="s">
        <v>479</v>
      </c>
      <c r="AC70" s="555" t="s">
        <v>674</v>
      </c>
      <c r="AD70" s="556">
        <f>48/(48+26)</f>
        <v>0.64864864864864868</v>
      </c>
      <c r="AE70" s="450" t="s">
        <v>175</v>
      </c>
      <c r="AF70" s="555" t="s">
        <v>479</v>
      </c>
      <c r="AG70" s="555" t="s">
        <v>674</v>
      </c>
      <c r="AH70" s="556">
        <f>48/(48+26)</f>
        <v>0.64864864864864868</v>
      </c>
      <c r="AI70" s="1142"/>
      <c r="AJ70" s="1084"/>
      <c r="AK70" s="1144"/>
      <c r="AL70" s="1057"/>
      <c r="AM70" s="1057"/>
      <c r="AN70" s="1060"/>
      <c r="AO70" s="385" t="s">
        <v>175</v>
      </c>
      <c r="AP70" s="386" t="s">
        <v>479</v>
      </c>
      <c r="AQ70" s="386" t="s">
        <v>674</v>
      </c>
      <c r="AR70" s="387">
        <f>48/(48+26)</f>
        <v>0.64864864864864868</v>
      </c>
      <c r="AS70" s="1082"/>
      <c r="AT70" s="1084"/>
      <c r="AU70" s="1086"/>
      <c r="AV70" s="1057"/>
      <c r="AW70" s="1057"/>
      <c r="AX70" s="1060"/>
      <c r="AY70" s="888" t="s">
        <v>951</v>
      </c>
      <c r="AZ70" s="745" t="s">
        <v>955</v>
      </c>
      <c r="BA70" s="745" t="s">
        <v>953</v>
      </c>
      <c r="BB70" s="889"/>
      <c r="BC70" s="1269"/>
      <c r="BD70" s="1084"/>
      <c r="BE70" s="1086"/>
      <c r="BF70" s="1057"/>
      <c r="BG70" s="1057"/>
      <c r="BH70" s="1060"/>
    </row>
    <row r="71" spans="1:60" ht="19.2" customHeight="1" x14ac:dyDescent="0.3">
      <c r="A71" s="994"/>
      <c r="B71" s="1182"/>
      <c r="C71" s="986"/>
      <c r="D71" s="986"/>
      <c r="E71" s="986"/>
      <c r="F71" s="987"/>
      <c r="G71" s="226" t="s">
        <v>176</v>
      </c>
      <c r="H71" s="214" t="s">
        <v>481</v>
      </c>
      <c r="I71" s="214" t="s">
        <v>482</v>
      </c>
      <c r="J71" s="113">
        <v>1</v>
      </c>
      <c r="K71" s="1082"/>
      <c r="L71" s="1084"/>
      <c r="M71" s="1144"/>
      <c r="N71" s="1057"/>
      <c r="O71" s="1057"/>
      <c r="P71" s="1221"/>
      <c r="Q71" s="385" t="s">
        <v>176</v>
      </c>
      <c r="R71" s="386" t="s">
        <v>481</v>
      </c>
      <c r="S71" s="386" t="s">
        <v>675</v>
      </c>
      <c r="T71" s="387">
        <v>1</v>
      </c>
      <c r="U71" s="1142"/>
      <c r="V71" s="1084"/>
      <c r="W71" s="1144"/>
      <c r="X71" s="1057"/>
      <c r="Y71" s="1057"/>
      <c r="Z71" s="1060"/>
      <c r="AA71" s="450" t="s">
        <v>176</v>
      </c>
      <c r="AB71" s="555" t="s">
        <v>481</v>
      </c>
      <c r="AC71" s="555" t="s">
        <v>675</v>
      </c>
      <c r="AD71" s="556">
        <v>1</v>
      </c>
      <c r="AE71" s="450" t="s">
        <v>176</v>
      </c>
      <c r="AF71" s="555" t="s">
        <v>481</v>
      </c>
      <c r="AG71" s="555" t="s">
        <v>675</v>
      </c>
      <c r="AH71" s="556">
        <v>1</v>
      </c>
      <c r="AI71" s="1142"/>
      <c r="AJ71" s="1084"/>
      <c r="AK71" s="1144"/>
      <c r="AL71" s="1057"/>
      <c r="AM71" s="1057"/>
      <c r="AN71" s="1060"/>
      <c r="AO71" s="385" t="s">
        <v>176</v>
      </c>
      <c r="AP71" s="386" t="s">
        <v>481</v>
      </c>
      <c r="AQ71" s="386" t="s">
        <v>675</v>
      </c>
      <c r="AR71" s="387">
        <v>1</v>
      </c>
      <c r="AS71" s="1082"/>
      <c r="AT71" s="1084"/>
      <c r="AU71" s="1086"/>
      <c r="AV71" s="1057"/>
      <c r="AW71" s="1057"/>
      <c r="AX71" s="1060"/>
      <c r="AY71" s="742" t="s">
        <v>164</v>
      </c>
      <c r="AZ71" s="739">
        <v>14</v>
      </c>
      <c r="BA71" s="890">
        <v>0.23699999999999999</v>
      </c>
      <c r="BB71" s="889"/>
      <c r="BC71" s="1269"/>
      <c r="BD71" s="1084"/>
      <c r="BE71" s="1086"/>
      <c r="BF71" s="1057"/>
      <c r="BG71" s="1057"/>
      <c r="BH71" s="1060"/>
    </row>
    <row r="72" spans="1:60" ht="19.2" customHeight="1" x14ac:dyDescent="0.3">
      <c r="A72" s="994"/>
      <c r="B72" s="1182"/>
      <c r="C72" s="986"/>
      <c r="D72" s="986"/>
      <c r="E72" s="986"/>
      <c r="F72" s="987"/>
      <c r="G72" s="226" t="s">
        <v>177</v>
      </c>
      <c r="H72" s="214" t="s">
        <v>483</v>
      </c>
      <c r="I72" s="214" t="s">
        <v>484</v>
      </c>
      <c r="J72" s="113">
        <v>0.96153846153846156</v>
      </c>
      <c r="K72" s="1082"/>
      <c r="L72" s="1084"/>
      <c r="M72" s="1144"/>
      <c r="N72" s="1057"/>
      <c r="O72" s="1057"/>
      <c r="P72" s="1221"/>
      <c r="Q72" s="385" t="s">
        <v>177</v>
      </c>
      <c r="R72" s="386" t="s">
        <v>669</v>
      </c>
      <c r="S72" s="386" t="s">
        <v>676</v>
      </c>
      <c r="T72" s="387">
        <v>0.96875</v>
      </c>
      <c r="U72" s="1142"/>
      <c r="V72" s="1084"/>
      <c r="W72" s="1144"/>
      <c r="X72" s="1057"/>
      <c r="Y72" s="1057"/>
      <c r="Z72" s="1060"/>
      <c r="AA72" s="450" t="s">
        <v>177</v>
      </c>
      <c r="AB72" s="555" t="s">
        <v>669</v>
      </c>
      <c r="AC72" s="555" t="s">
        <v>676</v>
      </c>
      <c r="AD72" s="556">
        <v>0.96875</v>
      </c>
      <c r="AE72" s="450" t="s">
        <v>177</v>
      </c>
      <c r="AF72" s="555" t="s">
        <v>669</v>
      </c>
      <c r="AG72" s="555" t="s">
        <v>676</v>
      </c>
      <c r="AH72" s="556">
        <v>0.96875</v>
      </c>
      <c r="AI72" s="1142"/>
      <c r="AJ72" s="1084"/>
      <c r="AK72" s="1144"/>
      <c r="AL72" s="1057"/>
      <c r="AM72" s="1057"/>
      <c r="AN72" s="1060"/>
      <c r="AO72" s="385" t="s">
        <v>177</v>
      </c>
      <c r="AP72" s="386" t="s">
        <v>669</v>
      </c>
      <c r="AQ72" s="386" t="s">
        <v>676</v>
      </c>
      <c r="AR72" s="387">
        <v>0.96875</v>
      </c>
      <c r="AS72" s="1082"/>
      <c r="AT72" s="1084"/>
      <c r="AU72" s="1086"/>
      <c r="AV72" s="1057"/>
      <c r="AW72" s="1057"/>
      <c r="AX72" s="1060"/>
      <c r="AY72" s="742" t="s">
        <v>165</v>
      </c>
      <c r="AZ72" s="739">
        <v>17</v>
      </c>
      <c r="BA72" s="890">
        <v>0.28799999999999998</v>
      </c>
      <c r="BB72" s="889"/>
      <c r="BC72" s="1269"/>
      <c r="BD72" s="1084"/>
      <c r="BE72" s="1086"/>
      <c r="BF72" s="1057"/>
      <c r="BG72" s="1057"/>
      <c r="BH72" s="1060"/>
    </row>
    <row r="73" spans="1:60" ht="19.2" customHeight="1" thickBot="1" x14ac:dyDescent="0.35">
      <c r="A73" s="994"/>
      <c r="B73" s="1182"/>
      <c r="C73" s="986"/>
      <c r="D73" s="986"/>
      <c r="E73" s="986"/>
      <c r="F73" s="987"/>
      <c r="G73" s="226" t="s">
        <v>178</v>
      </c>
      <c r="H73" s="214" t="s">
        <v>485</v>
      </c>
      <c r="I73" s="214" t="s">
        <v>486</v>
      </c>
      <c r="J73" s="113">
        <v>0.2857142857142857</v>
      </c>
      <c r="K73" s="1082"/>
      <c r="L73" s="1084"/>
      <c r="M73" s="1144"/>
      <c r="N73" s="1057"/>
      <c r="O73" s="1057"/>
      <c r="P73" s="1221"/>
      <c r="Q73" s="388" t="s">
        <v>178</v>
      </c>
      <c r="R73" s="389" t="s">
        <v>670</v>
      </c>
      <c r="S73" s="389" t="s">
        <v>677</v>
      </c>
      <c r="T73" s="387">
        <v>0.8</v>
      </c>
      <c r="U73" s="1142"/>
      <c r="V73" s="1084"/>
      <c r="W73" s="1144"/>
      <c r="X73" s="1057"/>
      <c r="Y73" s="1057"/>
      <c r="Z73" s="1060"/>
      <c r="AA73" s="557" t="s">
        <v>178</v>
      </c>
      <c r="AB73" s="558" t="s">
        <v>670</v>
      </c>
      <c r="AC73" s="558" t="s">
        <v>677</v>
      </c>
      <c r="AD73" s="556">
        <v>0.8</v>
      </c>
      <c r="AE73" s="557" t="s">
        <v>178</v>
      </c>
      <c r="AF73" s="558" t="s">
        <v>670</v>
      </c>
      <c r="AG73" s="558" t="s">
        <v>677</v>
      </c>
      <c r="AH73" s="556">
        <v>0.8</v>
      </c>
      <c r="AI73" s="1142"/>
      <c r="AJ73" s="1084"/>
      <c r="AK73" s="1144"/>
      <c r="AL73" s="1057"/>
      <c r="AM73" s="1057"/>
      <c r="AN73" s="1060"/>
      <c r="AO73" s="388" t="s">
        <v>178</v>
      </c>
      <c r="AP73" s="389" t="s">
        <v>670</v>
      </c>
      <c r="AQ73" s="389" t="s">
        <v>677</v>
      </c>
      <c r="AR73" s="387">
        <v>0.8</v>
      </c>
      <c r="AS73" s="1082"/>
      <c r="AT73" s="1084"/>
      <c r="AU73" s="1086"/>
      <c r="AV73" s="1057"/>
      <c r="AW73" s="1057"/>
      <c r="AX73" s="1060"/>
      <c r="AY73" s="742" t="s">
        <v>882</v>
      </c>
      <c r="AZ73" s="739">
        <v>12</v>
      </c>
      <c r="BA73" s="890">
        <v>0.20300000000000001</v>
      </c>
      <c r="BB73" s="757">
        <v>0.8</v>
      </c>
      <c r="BC73" s="1269"/>
      <c r="BD73" s="1084"/>
      <c r="BE73" s="1086"/>
      <c r="BF73" s="1057"/>
      <c r="BG73" s="1057"/>
      <c r="BH73" s="1060"/>
    </row>
    <row r="74" spans="1:60" x14ac:dyDescent="0.3">
      <c r="A74" s="994"/>
      <c r="B74" s="1182"/>
      <c r="C74" s="1161" t="s">
        <v>44</v>
      </c>
      <c r="D74" s="1161" t="s">
        <v>45</v>
      </c>
      <c r="E74" s="1161" t="s">
        <v>46</v>
      </c>
      <c r="F74" s="987" t="s">
        <v>537</v>
      </c>
      <c r="G74" s="210" t="s">
        <v>203</v>
      </c>
      <c r="H74" s="144" t="s">
        <v>210</v>
      </c>
      <c r="I74" s="144" t="s">
        <v>211</v>
      </c>
      <c r="J74" s="145" t="s">
        <v>212</v>
      </c>
      <c r="K74" s="1089">
        <f>SUM(J75:J86)/12</f>
        <v>12.75</v>
      </c>
      <c r="L74" s="1090" t="s">
        <v>490</v>
      </c>
      <c r="M74" s="1091">
        <v>1</v>
      </c>
      <c r="N74" s="1057"/>
      <c r="O74" s="1057"/>
      <c r="P74" s="1221"/>
      <c r="Q74" s="318" t="s">
        <v>203</v>
      </c>
      <c r="R74" s="373" t="s">
        <v>210</v>
      </c>
      <c r="S74" s="373" t="s">
        <v>211</v>
      </c>
      <c r="T74" s="374" t="s">
        <v>212</v>
      </c>
      <c r="U74" s="1089">
        <f>SUM(T75:T87)/13</f>
        <v>9.2307692307692299</v>
      </c>
      <c r="V74" s="1090" t="s">
        <v>643</v>
      </c>
      <c r="W74" s="1091">
        <v>1</v>
      </c>
      <c r="X74" s="1057"/>
      <c r="Y74" s="1057"/>
      <c r="Z74" s="1060"/>
      <c r="AA74" s="471" t="s">
        <v>203</v>
      </c>
      <c r="AB74" s="515" t="s">
        <v>210</v>
      </c>
      <c r="AC74" s="515" t="s">
        <v>211</v>
      </c>
      <c r="AD74" s="516" t="s">
        <v>212</v>
      </c>
      <c r="AE74" s="513" t="s">
        <v>203</v>
      </c>
      <c r="AF74" s="515" t="s">
        <v>210</v>
      </c>
      <c r="AG74" s="515" t="s">
        <v>211</v>
      </c>
      <c r="AH74" s="517" t="s">
        <v>212</v>
      </c>
      <c r="AI74" s="1089">
        <f>AVERAGE(AD75:AD89,AH75:AH78)</f>
        <v>6.7894736842105265</v>
      </c>
      <c r="AJ74" s="1090" t="s">
        <v>748</v>
      </c>
      <c r="AK74" s="1091">
        <v>1</v>
      </c>
      <c r="AL74" s="1057"/>
      <c r="AM74" s="1057"/>
      <c r="AN74" s="1060"/>
      <c r="AO74" s="318" t="s">
        <v>203</v>
      </c>
      <c r="AP74" s="373" t="s">
        <v>210</v>
      </c>
      <c r="AQ74" s="373" t="s">
        <v>211</v>
      </c>
      <c r="AR74" s="667" t="s">
        <v>212</v>
      </c>
      <c r="AS74" s="1089">
        <f>SUM(AR75:AR79)/5</f>
        <v>1.8</v>
      </c>
      <c r="AT74" s="1090" t="s">
        <v>850</v>
      </c>
      <c r="AU74" s="1091">
        <v>1</v>
      </c>
      <c r="AV74" s="1057"/>
      <c r="AW74" s="1057"/>
      <c r="AX74" s="1060"/>
      <c r="AY74" s="801" t="s">
        <v>203</v>
      </c>
      <c r="AZ74" s="802" t="s">
        <v>210</v>
      </c>
      <c r="BA74" s="802" t="s">
        <v>211</v>
      </c>
      <c r="BB74" s="848" t="s">
        <v>212</v>
      </c>
      <c r="BC74" s="1089">
        <f>AVERAGE(BB75:BB88)</f>
        <v>5</v>
      </c>
      <c r="BD74" s="1090" t="s">
        <v>908</v>
      </c>
      <c r="BE74" s="1091">
        <v>1</v>
      </c>
      <c r="BF74" s="1057"/>
      <c r="BG74" s="1057"/>
      <c r="BH74" s="1060"/>
    </row>
    <row r="75" spans="1:60" x14ac:dyDescent="0.3">
      <c r="A75" s="994"/>
      <c r="B75" s="1182"/>
      <c r="C75" s="1162"/>
      <c r="D75" s="1162"/>
      <c r="E75" s="1162"/>
      <c r="F75" s="987"/>
      <c r="G75" s="91" t="s">
        <v>348</v>
      </c>
      <c r="H75" s="229">
        <v>45902</v>
      </c>
      <c r="I75" s="229">
        <v>45937</v>
      </c>
      <c r="J75" s="112">
        <f t="shared" ref="J75:J86" si="10">_xlfn.DAYS(I75,H75)</f>
        <v>35</v>
      </c>
      <c r="K75" s="1089"/>
      <c r="L75" s="1090"/>
      <c r="M75" s="1092"/>
      <c r="N75" s="1057"/>
      <c r="O75" s="1057"/>
      <c r="P75" s="1221"/>
      <c r="Q75" s="299" t="s">
        <v>164</v>
      </c>
      <c r="R75" s="343">
        <v>45948</v>
      </c>
      <c r="S75" s="343">
        <v>45965</v>
      </c>
      <c r="T75" s="338">
        <f t="shared" ref="T75:T87" si="11">_xlfn.DAYS(S75,R75)</f>
        <v>17</v>
      </c>
      <c r="U75" s="1089"/>
      <c r="V75" s="1090"/>
      <c r="W75" s="1092"/>
      <c r="X75" s="1057"/>
      <c r="Y75" s="1057"/>
      <c r="Z75" s="1060"/>
      <c r="AA75" s="507" t="s">
        <v>708</v>
      </c>
      <c r="AB75" s="512">
        <v>45948</v>
      </c>
      <c r="AC75" s="512">
        <v>45965</v>
      </c>
      <c r="AD75" s="487">
        <f>_xlfn.DAYS(AC75,AB75)</f>
        <v>17</v>
      </c>
      <c r="AE75" s="510" t="s">
        <v>704</v>
      </c>
      <c r="AF75" s="508">
        <v>46030</v>
      </c>
      <c r="AG75" s="508">
        <v>46035</v>
      </c>
      <c r="AH75" s="487">
        <f>_xlfn.DAYS(AG75,AF75)</f>
        <v>5</v>
      </c>
      <c r="AI75" s="1089"/>
      <c r="AJ75" s="1090"/>
      <c r="AK75" s="1092"/>
      <c r="AL75" s="1057"/>
      <c r="AM75" s="1057"/>
      <c r="AN75" s="1060"/>
      <c r="AO75" s="299" t="s">
        <v>806</v>
      </c>
      <c r="AP75" s="343">
        <v>46062</v>
      </c>
      <c r="AQ75" s="343">
        <v>46063</v>
      </c>
      <c r="AR75" s="566">
        <f t="shared" ref="AR75:AR79" si="12">_xlfn.DAYS(AQ75,AP75)</f>
        <v>1</v>
      </c>
      <c r="AS75" s="1089"/>
      <c r="AT75" s="1090"/>
      <c r="AU75" s="1092"/>
      <c r="AV75" s="1057"/>
      <c r="AW75" s="1057"/>
      <c r="AX75" s="1060"/>
      <c r="AY75" s="846" t="s">
        <v>884</v>
      </c>
      <c r="AZ75" s="841">
        <v>46075</v>
      </c>
      <c r="BA75" s="841">
        <v>46104</v>
      </c>
      <c r="BB75" s="838">
        <f t="shared" ref="BB75:BB88" si="13">_xlfn.DAYS(BA75,AZ75)</f>
        <v>29</v>
      </c>
      <c r="BC75" s="1089"/>
      <c r="BD75" s="1090"/>
      <c r="BE75" s="1092"/>
      <c r="BF75" s="1057"/>
      <c r="BG75" s="1057"/>
      <c r="BH75" s="1060"/>
    </row>
    <row r="76" spans="1:60" x14ac:dyDescent="0.3">
      <c r="A76" s="994"/>
      <c r="B76" s="1182"/>
      <c r="C76" s="1162"/>
      <c r="D76" s="1162"/>
      <c r="E76" s="1162"/>
      <c r="F76" s="987"/>
      <c r="G76" s="91" t="s">
        <v>354</v>
      </c>
      <c r="H76" s="229">
        <v>45911</v>
      </c>
      <c r="I76" s="229">
        <v>45912</v>
      </c>
      <c r="J76" s="112">
        <f t="shared" si="10"/>
        <v>1</v>
      </c>
      <c r="K76" s="1089"/>
      <c r="L76" s="1090"/>
      <c r="M76" s="1092"/>
      <c r="N76" s="1057"/>
      <c r="O76" s="1057"/>
      <c r="P76" s="1221"/>
      <c r="Q76" s="299" t="s">
        <v>165</v>
      </c>
      <c r="R76" s="343">
        <v>45960</v>
      </c>
      <c r="S76" s="343">
        <v>45962</v>
      </c>
      <c r="T76" s="338">
        <f t="shared" si="11"/>
        <v>2</v>
      </c>
      <c r="U76" s="1089"/>
      <c r="V76" s="1090"/>
      <c r="W76" s="1092"/>
      <c r="X76" s="1057"/>
      <c r="Y76" s="1057"/>
      <c r="Z76" s="1060"/>
      <c r="AA76" s="507" t="s">
        <v>705</v>
      </c>
      <c r="AB76" s="512">
        <v>45960</v>
      </c>
      <c r="AC76" s="512">
        <v>45962</v>
      </c>
      <c r="AD76" s="487">
        <f t="shared" ref="AD76:AD89" si="14">_xlfn.DAYS(AC76,AB76)</f>
        <v>2</v>
      </c>
      <c r="AE76" s="510" t="s">
        <v>705</v>
      </c>
      <c r="AF76" s="508">
        <v>46030</v>
      </c>
      <c r="AG76" s="508">
        <v>46032</v>
      </c>
      <c r="AH76" s="487">
        <f t="shared" ref="AH76:AH78" si="15">_xlfn.DAYS(AG76,AF76)</f>
        <v>2</v>
      </c>
      <c r="AI76" s="1089"/>
      <c r="AJ76" s="1090"/>
      <c r="AK76" s="1092"/>
      <c r="AL76" s="1057"/>
      <c r="AM76" s="1057"/>
      <c r="AN76" s="1060"/>
      <c r="AO76" s="299" t="s">
        <v>164</v>
      </c>
      <c r="AP76" s="343">
        <v>46061</v>
      </c>
      <c r="AQ76" s="343">
        <v>46061</v>
      </c>
      <c r="AR76" s="566">
        <f t="shared" si="12"/>
        <v>0</v>
      </c>
      <c r="AS76" s="1089"/>
      <c r="AT76" s="1090"/>
      <c r="AU76" s="1092"/>
      <c r="AV76" s="1057"/>
      <c r="AW76" s="1057"/>
      <c r="AX76" s="1060"/>
      <c r="AY76" s="847" t="s">
        <v>884</v>
      </c>
      <c r="AZ76" s="842">
        <v>46091</v>
      </c>
      <c r="BA76" s="843">
        <v>46104</v>
      </c>
      <c r="BB76" s="838">
        <f t="shared" si="13"/>
        <v>13</v>
      </c>
      <c r="BC76" s="1089"/>
      <c r="BD76" s="1090"/>
      <c r="BE76" s="1092"/>
      <c r="BF76" s="1057"/>
      <c r="BG76" s="1057"/>
      <c r="BH76" s="1060"/>
    </row>
    <row r="77" spans="1:60" x14ac:dyDescent="0.3">
      <c r="A77" s="994"/>
      <c r="B77" s="1182"/>
      <c r="C77" s="1162"/>
      <c r="D77" s="1162"/>
      <c r="E77" s="1162"/>
      <c r="F77" s="987"/>
      <c r="G77" s="91" t="s">
        <v>349</v>
      </c>
      <c r="H77" s="229">
        <v>45902</v>
      </c>
      <c r="I77" s="229">
        <v>45903</v>
      </c>
      <c r="J77" s="112">
        <f t="shared" si="10"/>
        <v>1</v>
      </c>
      <c r="K77" s="1089"/>
      <c r="L77" s="1090"/>
      <c r="M77" s="1092"/>
      <c r="N77" s="1057"/>
      <c r="O77" s="1057"/>
      <c r="P77" s="1221"/>
      <c r="Q77" s="299" t="s">
        <v>165</v>
      </c>
      <c r="R77" s="343">
        <v>45972</v>
      </c>
      <c r="S77" s="343">
        <v>45973</v>
      </c>
      <c r="T77" s="338">
        <f t="shared" si="11"/>
        <v>1</v>
      </c>
      <c r="U77" s="1089"/>
      <c r="V77" s="1090"/>
      <c r="W77" s="1092"/>
      <c r="X77" s="1057"/>
      <c r="Y77" s="1057"/>
      <c r="Z77" s="1060"/>
      <c r="AA77" s="507" t="s">
        <v>709</v>
      </c>
      <c r="AB77" s="512">
        <v>45972</v>
      </c>
      <c r="AC77" s="512">
        <v>45973</v>
      </c>
      <c r="AD77" s="487">
        <f t="shared" si="14"/>
        <v>1</v>
      </c>
      <c r="AE77" s="510" t="s">
        <v>706</v>
      </c>
      <c r="AF77" s="508">
        <v>46035</v>
      </c>
      <c r="AG77" s="508">
        <v>46036</v>
      </c>
      <c r="AH77" s="487">
        <f t="shared" si="15"/>
        <v>1</v>
      </c>
      <c r="AI77" s="1089"/>
      <c r="AJ77" s="1090"/>
      <c r="AK77" s="1092"/>
      <c r="AL77" s="1057"/>
      <c r="AM77" s="1057"/>
      <c r="AN77" s="1060"/>
      <c r="AO77" s="299" t="s">
        <v>164</v>
      </c>
      <c r="AP77" s="343">
        <v>46059</v>
      </c>
      <c r="AQ77" s="343">
        <v>46065</v>
      </c>
      <c r="AR77" s="566">
        <f t="shared" si="12"/>
        <v>6</v>
      </c>
      <c r="AS77" s="1089"/>
      <c r="AT77" s="1090"/>
      <c r="AU77" s="1092"/>
      <c r="AV77" s="1057"/>
      <c r="AW77" s="1057"/>
      <c r="AX77" s="1060"/>
      <c r="AY77" s="846" t="s">
        <v>885</v>
      </c>
      <c r="AZ77" s="841">
        <v>46088</v>
      </c>
      <c r="BA77" s="841">
        <v>46093</v>
      </c>
      <c r="BB77" s="838">
        <f t="shared" si="13"/>
        <v>5</v>
      </c>
      <c r="BC77" s="1089"/>
      <c r="BD77" s="1090"/>
      <c r="BE77" s="1092"/>
      <c r="BF77" s="1057"/>
      <c r="BG77" s="1057"/>
      <c r="BH77" s="1060"/>
    </row>
    <row r="78" spans="1:60" x14ac:dyDescent="0.3">
      <c r="A78" s="994"/>
      <c r="B78" s="1182"/>
      <c r="C78" s="1162"/>
      <c r="D78" s="1162"/>
      <c r="E78" s="1162"/>
      <c r="F78" s="987"/>
      <c r="G78" s="91" t="s">
        <v>357</v>
      </c>
      <c r="H78" s="229">
        <v>45906</v>
      </c>
      <c r="I78" s="229">
        <v>45936</v>
      </c>
      <c r="J78" s="112">
        <f t="shared" si="10"/>
        <v>30</v>
      </c>
      <c r="K78" s="1089"/>
      <c r="L78" s="1090"/>
      <c r="M78" s="1092"/>
      <c r="N78" s="1057"/>
      <c r="O78" s="1057"/>
      <c r="P78" s="1221"/>
      <c r="Q78" s="299" t="s">
        <v>166</v>
      </c>
      <c r="R78" s="343">
        <v>45964</v>
      </c>
      <c r="S78" s="343">
        <v>45974</v>
      </c>
      <c r="T78" s="338">
        <f t="shared" si="11"/>
        <v>10</v>
      </c>
      <c r="U78" s="1089"/>
      <c r="V78" s="1090"/>
      <c r="W78" s="1092"/>
      <c r="X78" s="1057"/>
      <c r="Y78" s="1057"/>
      <c r="Z78" s="1060"/>
      <c r="AA78" s="507" t="s">
        <v>711</v>
      </c>
      <c r="AB78" s="512">
        <v>45964</v>
      </c>
      <c r="AC78" s="512">
        <v>45974</v>
      </c>
      <c r="AD78" s="487">
        <f t="shared" si="14"/>
        <v>10</v>
      </c>
      <c r="AE78" s="510" t="s">
        <v>707</v>
      </c>
      <c r="AF78" s="508">
        <v>46036</v>
      </c>
      <c r="AG78" s="508">
        <v>46036</v>
      </c>
      <c r="AH78" s="487">
        <f t="shared" si="15"/>
        <v>0</v>
      </c>
      <c r="AI78" s="1089"/>
      <c r="AJ78" s="1090"/>
      <c r="AK78" s="1092"/>
      <c r="AL78" s="1057"/>
      <c r="AM78" s="1057"/>
      <c r="AN78" s="1060"/>
      <c r="AO78" s="299" t="s">
        <v>164</v>
      </c>
      <c r="AP78" s="343">
        <v>46067</v>
      </c>
      <c r="AQ78" s="343">
        <v>46068</v>
      </c>
      <c r="AR78" s="566">
        <f t="shared" si="12"/>
        <v>1</v>
      </c>
      <c r="AS78" s="1089"/>
      <c r="AT78" s="1090"/>
      <c r="AU78" s="1092"/>
      <c r="AV78" s="1057"/>
      <c r="AW78" s="1057"/>
      <c r="AX78" s="1060"/>
      <c r="AY78" s="847" t="s">
        <v>884</v>
      </c>
      <c r="AZ78" s="842">
        <v>46103</v>
      </c>
      <c r="BA78" s="842">
        <v>46103</v>
      </c>
      <c r="BB78" s="838">
        <f t="shared" si="13"/>
        <v>0</v>
      </c>
      <c r="BC78" s="1089"/>
      <c r="BD78" s="1090"/>
      <c r="BE78" s="1092"/>
      <c r="BF78" s="1057"/>
      <c r="BG78" s="1057"/>
      <c r="BH78" s="1060"/>
    </row>
    <row r="79" spans="1:60" x14ac:dyDescent="0.3">
      <c r="A79" s="994"/>
      <c r="B79" s="1182"/>
      <c r="C79" s="1162"/>
      <c r="D79" s="1162"/>
      <c r="E79" s="1162"/>
      <c r="F79" s="987"/>
      <c r="G79" s="91" t="s">
        <v>355</v>
      </c>
      <c r="H79" s="229">
        <v>45942</v>
      </c>
      <c r="I79" s="229">
        <v>45942</v>
      </c>
      <c r="J79" s="112">
        <f t="shared" si="10"/>
        <v>0</v>
      </c>
      <c r="K79" s="1089"/>
      <c r="L79" s="1090"/>
      <c r="M79" s="1092"/>
      <c r="N79" s="1057"/>
      <c r="O79" s="1057"/>
      <c r="P79" s="1221"/>
      <c r="Q79" s="299" t="s">
        <v>165</v>
      </c>
      <c r="R79" s="343">
        <v>45974</v>
      </c>
      <c r="S79" s="343">
        <v>45974</v>
      </c>
      <c r="T79" s="338">
        <f t="shared" si="11"/>
        <v>0</v>
      </c>
      <c r="U79" s="1089"/>
      <c r="V79" s="1090"/>
      <c r="W79" s="1092"/>
      <c r="X79" s="1057"/>
      <c r="Y79" s="1057"/>
      <c r="Z79" s="1060"/>
      <c r="AA79" s="507" t="s">
        <v>710</v>
      </c>
      <c r="AB79" s="512">
        <v>45974</v>
      </c>
      <c r="AC79" s="512">
        <v>45974</v>
      </c>
      <c r="AD79" s="487">
        <f t="shared" si="14"/>
        <v>0</v>
      </c>
      <c r="AE79" s="511"/>
      <c r="AF79" s="509"/>
      <c r="AG79" s="509"/>
      <c r="AH79" s="487"/>
      <c r="AI79" s="1089"/>
      <c r="AJ79" s="1090"/>
      <c r="AK79" s="1092"/>
      <c r="AL79" s="1057"/>
      <c r="AM79" s="1057"/>
      <c r="AN79" s="1060"/>
      <c r="AO79" s="299" t="s">
        <v>164</v>
      </c>
      <c r="AP79" s="343">
        <v>46068</v>
      </c>
      <c r="AQ79" s="343">
        <v>46069</v>
      </c>
      <c r="AR79" s="566">
        <f t="shared" si="12"/>
        <v>1</v>
      </c>
      <c r="AS79" s="1089"/>
      <c r="AT79" s="1090"/>
      <c r="AU79" s="1092"/>
      <c r="AV79" s="1057"/>
      <c r="AW79" s="1057"/>
      <c r="AX79" s="1060"/>
      <c r="AY79" s="846" t="s">
        <v>884</v>
      </c>
      <c r="AZ79" s="841">
        <v>46104</v>
      </c>
      <c r="BA79" s="841">
        <v>46104</v>
      </c>
      <c r="BB79" s="838">
        <f t="shared" si="13"/>
        <v>0</v>
      </c>
      <c r="BC79" s="1089"/>
      <c r="BD79" s="1090"/>
      <c r="BE79" s="1092"/>
      <c r="BF79" s="1057"/>
      <c r="BG79" s="1057"/>
      <c r="BH79" s="1060"/>
    </row>
    <row r="80" spans="1:60" x14ac:dyDescent="0.3">
      <c r="A80" s="994"/>
      <c r="B80" s="1182"/>
      <c r="C80" s="1162"/>
      <c r="D80" s="1162"/>
      <c r="E80" s="1162"/>
      <c r="F80" s="987"/>
      <c r="G80" s="91" t="s">
        <v>350</v>
      </c>
      <c r="H80" s="229">
        <v>45930</v>
      </c>
      <c r="I80" s="229">
        <v>45945</v>
      </c>
      <c r="J80" s="112">
        <f t="shared" si="10"/>
        <v>15</v>
      </c>
      <c r="K80" s="1089"/>
      <c r="L80" s="1090"/>
      <c r="M80" s="1092"/>
      <c r="N80" s="1057"/>
      <c r="O80" s="1057"/>
      <c r="P80" s="1221"/>
      <c r="Q80" s="299" t="s">
        <v>164</v>
      </c>
      <c r="R80" s="343">
        <v>45965</v>
      </c>
      <c r="S80" s="343">
        <v>45975</v>
      </c>
      <c r="T80" s="338">
        <f t="shared" si="11"/>
        <v>10</v>
      </c>
      <c r="U80" s="1089"/>
      <c r="V80" s="1090"/>
      <c r="W80" s="1092"/>
      <c r="X80" s="1057"/>
      <c r="Y80" s="1057"/>
      <c r="Z80" s="1060"/>
      <c r="AA80" s="507" t="s">
        <v>712</v>
      </c>
      <c r="AB80" s="512">
        <v>45965</v>
      </c>
      <c r="AC80" s="512">
        <v>45975</v>
      </c>
      <c r="AD80" s="487">
        <f t="shared" si="14"/>
        <v>10</v>
      </c>
      <c r="AE80" s="511"/>
      <c r="AF80" s="486"/>
      <c r="AG80" s="486"/>
      <c r="AH80" s="487"/>
      <c r="AI80" s="1089"/>
      <c r="AJ80" s="1090"/>
      <c r="AK80" s="1092"/>
      <c r="AL80" s="1057"/>
      <c r="AM80" s="1057"/>
      <c r="AN80" s="1060"/>
      <c r="AO80" s="299"/>
      <c r="AP80" s="343"/>
      <c r="AQ80" s="343"/>
      <c r="AR80" s="566"/>
      <c r="AS80" s="1089"/>
      <c r="AT80" s="1090"/>
      <c r="AU80" s="1092"/>
      <c r="AV80" s="1057"/>
      <c r="AW80" s="1057"/>
      <c r="AX80" s="1060"/>
      <c r="AY80" s="847" t="s">
        <v>886</v>
      </c>
      <c r="AZ80" s="842">
        <v>46102</v>
      </c>
      <c r="BA80" s="842">
        <v>46105</v>
      </c>
      <c r="BB80" s="838">
        <f t="shared" si="13"/>
        <v>3</v>
      </c>
      <c r="BC80" s="1089"/>
      <c r="BD80" s="1090"/>
      <c r="BE80" s="1092"/>
      <c r="BF80" s="1057"/>
      <c r="BG80" s="1057"/>
      <c r="BH80" s="1060"/>
    </row>
    <row r="81" spans="1:60" x14ac:dyDescent="0.3">
      <c r="A81" s="994"/>
      <c r="B81" s="1182"/>
      <c r="C81" s="1162"/>
      <c r="D81" s="1162"/>
      <c r="E81" s="1162"/>
      <c r="F81" s="987"/>
      <c r="G81" s="91" t="s">
        <v>351</v>
      </c>
      <c r="H81" s="229">
        <v>45910</v>
      </c>
      <c r="I81" s="229">
        <v>45947</v>
      </c>
      <c r="J81" s="112">
        <f t="shared" si="10"/>
        <v>37</v>
      </c>
      <c r="K81" s="1089"/>
      <c r="L81" s="1090"/>
      <c r="M81" s="1092"/>
      <c r="N81" s="1057"/>
      <c r="O81" s="1057"/>
      <c r="P81" s="1221"/>
      <c r="Q81" s="299" t="s">
        <v>164</v>
      </c>
      <c r="R81" s="343">
        <v>45977</v>
      </c>
      <c r="S81" s="343">
        <v>45978</v>
      </c>
      <c r="T81" s="338">
        <f t="shared" si="11"/>
        <v>1</v>
      </c>
      <c r="U81" s="1089"/>
      <c r="V81" s="1090"/>
      <c r="W81" s="1092"/>
      <c r="X81" s="1057"/>
      <c r="Y81" s="1057"/>
      <c r="Z81" s="1060"/>
      <c r="AA81" s="507" t="s">
        <v>713</v>
      </c>
      <c r="AB81" s="512">
        <v>45977</v>
      </c>
      <c r="AC81" s="512">
        <v>45978</v>
      </c>
      <c r="AD81" s="487">
        <f t="shared" si="14"/>
        <v>1</v>
      </c>
      <c r="AE81" s="511"/>
      <c r="AF81" s="486"/>
      <c r="AG81" s="486"/>
      <c r="AH81" s="487"/>
      <c r="AI81" s="1089"/>
      <c r="AJ81" s="1090"/>
      <c r="AK81" s="1092"/>
      <c r="AL81" s="1057"/>
      <c r="AM81" s="1057"/>
      <c r="AN81" s="1060"/>
      <c r="AO81" s="299"/>
      <c r="AP81" s="343"/>
      <c r="AQ81" s="343"/>
      <c r="AR81" s="566"/>
      <c r="AS81" s="1089"/>
      <c r="AT81" s="1090"/>
      <c r="AU81" s="1092"/>
      <c r="AV81" s="1057"/>
      <c r="AW81" s="1057"/>
      <c r="AX81" s="1060"/>
      <c r="AY81" s="846" t="s">
        <v>887</v>
      </c>
      <c r="AZ81" s="841">
        <v>46106</v>
      </c>
      <c r="BA81" s="841">
        <v>46106</v>
      </c>
      <c r="BB81" s="838">
        <f t="shared" si="13"/>
        <v>0</v>
      </c>
      <c r="BC81" s="1089"/>
      <c r="BD81" s="1090"/>
      <c r="BE81" s="1092"/>
      <c r="BF81" s="1057"/>
      <c r="BG81" s="1057"/>
      <c r="BH81" s="1060"/>
    </row>
    <row r="82" spans="1:60" x14ac:dyDescent="0.3">
      <c r="A82" s="994"/>
      <c r="B82" s="1182"/>
      <c r="C82" s="1162"/>
      <c r="D82" s="1162"/>
      <c r="E82" s="1162"/>
      <c r="F82" s="987"/>
      <c r="G82" s="91" t="s">
        <v>352</v>
      </c>
      <c r="H82" s="229">
        <v>45945</v>
      </c>
      <c r="I82" s="229">
        <v>45960</v>
      </c>
      <c r="J82" s="112">
        <f t="shared" si="10"/>
        <v>15</v>
      </c>
      <c r="K82" s="1089"/>
      <c r="L82" s="1090"/>
      <c r="M82" s="1092"/>
      <c r="N82" s="1057"/>
      <c r="O82" s="1057"/>
      <c r="P82" s="1221"/>
      <c r="Q82" s="299" t="s">
        <v>164</v>
      </c>
      <c r="R82" s="343">
        <v>45977</v>
      </c>
      <c r="S82" s="343">
        <v>45978</v>
      </c>
      <c r="T82" s="338">
        <f t="shared" si="11"/>
        <v>1</v>
      </c>
      <c r="U82" s="1089"/>
      <c r="V82" s="1090"/>
      <c r="W82" s="1092"/>
      <c r="X82" s="1057"/>
      <c r="Y82" s="1057"/>
      <c r="Z82" s="1060"/>
      <c r="AA82" s="507" t="s">
        <v>714</v>
      </c>
      <c r="AB82" s="512">
        <v>45977</v>
      </c>
      <c r="AC82" s="512">
        <v>45978</v>
      </c>
      <c r="AD82" s="487">
        <f t="shared" si="14"/>
        <v>1</v>
      </c>
      <c r="AE82" s="511"/>
      <c r="AF82" s="486"/>
      <c r="AG82" s="486"/>
      <c r="AH82" s="487"/>
      <c r="AI82" s="1089"/>
      <c r="AJ82" s="1090"/>
      <c r="AK82" s="1092"/>
      <c r="AL82" s="1057"/>
      <c r="AM82" s="1057"/>
      <c r="AN82" s="1060"/>
      <c r="AO82" s="299"/>
      <c r="AP82" s="343"/>
      <c r="AQ82" s="343"/>
      <c r="AR82" s="566"/>
      <c r="AS82" s="1089"/>
      <c r="AT82" s="1090"/>
      <c r="AU82" s="1092"/>
      <c r="AV82" s="1057"/>
      <c r="AW82" s="1057"/>
      <c r="AX82" s="1060"/>
      <c r="AY82" s="847" t="s">
        <v>884</v>
      </c>
      <c r="AZ82" s="842">
        <v>46107</v>
      </c>
      <c r="BA82" s="842">
        <v>46107</v>
      </c>
      <c r="BB82" s="838">
        <f t="shared" si="13"/>
        <v>0</v>
      </c>
      <c r="BC82" s="1089"/>
      <c r="BD82" s="1090"/>
      <c r="BE82" s="1092"/>
      <c r="BF82" s="1057"/>
      <c r="BG82" s="1057"/>
      <c r="BH82" s="1060"/>
    </row>
    <row r="83" spans="1:60" x14ac:dyDescent="0.3">
      <c r="A83" s="994"/>
      <c r="B83" s="1182"/>
      <c r="C83" s="1162"/>
      <c r="D83" s="1162"/>
      <c r="E83" s="1162"/>
      <c r="F83" s="987"/>
      <c r="G83" s="91" t="s">
        <v>353</v>
      </c>
      <c r="H83" s="229">
        <v>45947</v>
      </c>
      <c r="I83" s="229">
        <v>45950</v>
      </c>
      <c r="J83" s="112">
        <f t="shared" si="10"/>
        <v>3</v>
      </c>
      <c r="K83" s="1089"/>
      <c r="L83" s="1090"/>
      <c r="M83" s="1092"/>
      <c r="N83" s="1057"/>
      <c r="O83" s="1057"/>
      <c r="P83" s="1221"/>
      <c r="Q83" s="299" t="s">
        <v>166</v>
      </c>
      <c r="R83" s="343">
        <v>45983</v>
      </c>
      <c r="S83" s="343">
        <v>45983</v>
      </c>
      <c r="T83" s="338">
        <f t="shared" si="11"/>
        <v>0</v>
      </c>
      <c r="U83" s="1089"/>
      <c r="V83" s="1090"/>
      <c r="W83" s="1092"/>
      <c r="X83" s="1057"/>
      <c r="Y83" s="1057"/>
      <c r="Z83" s="1060"/>
      <c r="AA83" s="507" t="s">
        <v>715</v>
      </c>
      <c r="AB83" s="512">
        <v>45983</v>
      </c>
      <c r="AC83" s="512">
        <v>45983</v>
      </c>
      <c r="AD83" s="487">
        <f t="shared" si="14"/>
        <v>0</v>
      </c>
      <c r="AE83" s="511"/>
      <c r="AF83" s="486"/>
      <c r="AG83" s="486"/>
      <c r="AH83" s="487"/>
      <c r="AI83" s="1089"/>
      <c r="AJ83" s="1090"/>
      <c r="AK83" s="1092"/>
      <c r="AL83" s="1057"/>
      <c r="AM83" s="1057"/>
      <c r="AN83" s="1060"/>
      <c r="AO83" s="299"/>
      <c r="AP83" s="343"/>
      <c r="AQ83" s="343"/>
      <c r="AR83" s="566"/>
      <c r="AS83" s="1089"/>
      <c r="AT83" s="1090"/>
      <c r="AU83" s="1092"/>
      <c r="AV83" s="1057"/>
      <c r="AW83" s="1057"/>
      <c r="AX83" s="1060"/>
      <c r="AY83" s="846" t="s">
        <v>886</v>
      </c>
      <c r="AZ83" s="841">
        <v>46103</v>
      </c>
      <c r="BA83" s="841">
        <v>46107</v>
      </c>
      <c r="BB83" s="838">
        <f t="shared" si="13"/>
        <v>4</v>
      </c>
      <c r="BC83" s="1089"/>
      <c r="BD83" s="1090"/>
      <c r="BE83" s="1092"/>
      <c r="BF83" s="1057"/>
      <c r="BG83" s="1057"/>
      <c r="BH83" s="1060"/>
    </row>
    <row r="84" spans="1:60" x14ac:dyDescent="0.3">
      <c r="A84" s="994"/>
      <c r="B84" s="1182"/>
      <c r="C84" s="1162"/>
      <c r="D84" s="1162"/>
      <c r="E84" s="1162"/>
      <c r="F84" s="987"/>
      <c r="G84" s="91" t="s">
        <v>358</v>
      </c>
      <c r="H84" s="229">
        <v>45951</v>
      </c>
      <c r="I84" s="229">
        <v>45952</v>
      </c>
      <c r="J84" s="112">
        <f t="shared" si="10"/>
        <v>1</v>
      </c>
      <c r="K84" s="1089"/>
      <c r="L84" s="1090"/>
      <c r="M84" s="1092"/>
      <c r="N84" s="1057"/>
      <c r="O84" s="1057"/>
      <c r="P84" s="1221"/>
      <c r="Q84" s="299" t="s">
        <v>166</v>
      </c>
      <c r="R84" s="343">
        <v>45969</v>
      </c>
      <c r="S84" s="343">
        <v>45983</v>
      </c>
      <c r="T84" s="338">
        <f t="shared" si="11"/>
        <v>14</v>
      </c>
      <c r="U84" s="1089"/>
      <c r="V84" s="1090"/>
      <c r="W84" s="1092"/>
      <c r="X84" s="1057"/>
      <c r="Y84" s="1057"/>
      <c r="Z84" s="1060"/>
      <c r="AA84" s="507" t="s">
        <v>716</v>
      </c>
      <c r="AB84" s="512">
        <v>45969</v>
      </c>
      <c r="AC84" s="512">
        <v>45983</v>
      </c>
      <c r="AD84" s="487">
        <f t="shared" si="14"/>
        <v>14</v>
      </c>
      <c r="AE84" s="511"/>
      <c r="AF84" s="486"/>
      <c r="AG84" s="486"/>
      <c r="AH84" s="487"/>
      <c r="AI84" s="1089"/>
      <c r="AJ84" s="1090"/>
      <c r="AK84" s="1092"/>
      <c r="AL84" s="1057"/>
      <c r="AM84" s="1057"/>
      <c r="AN84" s="1060"/>
      <c r="AO84" s="299"/>
      <c r="AP84" s="343"/>
      <c r="AQ84" s="343"/>
      <c r="AR84" s="566"/>
      <c r="AS84" s="1089"/>
      <c r="AT84" s="1090"/>
      <c r="AU84" s="1092"/>
      <c r="AV84" s="1057"/>
      <c r="AW84" s="1057"/>
      <c r="AX84" s="1060"/>
      <c r="AY84" s="847" t="s">
        <v>885</v>
      </c>
      <c r="AZ84" s="842">
        <v>46098</v>
      </c>
      <c r="BA84" s="842">
        <v>46108</v>
      </c>
      <c r="BB84" s="838">
        <f t="shared" si="13"/>
        <v>10</v>
      </c>
      <c r="BC84" s="1089"/>
      <c r="BD84" s="1090"/>
      <c r="BE84" s="1092"/>
      <c r="BF84" s="1057"/>
      <c r="BG84" s="1057"/>
      <c r="BH84" s="1060"/>
    </row>
    <row r="85" spans="1:60" x14ac:dyDescent="0.3">
      <c r="A85" s="994"/>
      <c r="B85" s="1182"/>
      <c r="C85" s="1162"/>
      <c r="D85" s="1162"/>
      <c r="E85" s="1162"/>
      <c r="F85" s="987"/>
      <c r="G85" s="91" t="s">
        <v>359</v>
      </c>
      <c r="H85" s="229">
        <v>45951</v>
      </c>
      <c r="I85" s="229">
        <v>45954</v>
      </c>
      <c r="J85" s="112">
        <f t="shared" si="10"/>
        <v>3</v>
      </c>
      <c r="K85" s="1089"/>
      <c r="L85" s="1090"/>
      <c r="M85" s="1092"/>
      <c r="N85" s="1057"/>
      <c r="O85" s="1057"/>
      <c r="P85" s="1221"/>
      <c r="Q85" s="299" t="s">
        <v>164</v>
      </c>
      <c r="R85" s="343">
        <v>45969</v>
      </c>
      <c r="S85" s="343">
        <v>45990</v>
      </c>
      <c r="T85" s="338">
        <f t="shared" si="11"/>
        <v>21</v>
      </c>
      <c r="U85" s="1089"/>
      <c r="V85" s="1090"/>
      <c r="W85" s="1092"/>
      <c r="X85" s="1057"/>
      <c r="Y85" s="1057"/>
      <c r="Z85" s="1060"/>
      <c r="AA85" s="507" t="s">
        <v>717</v>
      </c>
      <c r="AB85" s="512">
        <v>45969</v>
      </c>
      <c r="AC85" s="512">
        <v>45990</v>
      </c>
      <c r="AD85" s="487">
        <f t="shared" si="14"/>
        <v>21</v>
      </c>
      <c r="AE85" s="511"/>
      <c r="AF85" s="486"/>
      <c r="AG85" s="486"/>
      <c r="AH85" s="487"/>
      <c r="AI85" s="1089"/>
      <c r="AJ85" s="1090"/>
      <c r="AK85" s="1092"/>
      <c r="AL85" s="1057"/>
      <c r="AM85" s="1057"/>
      <c r="AN85" s="1060"/>
      <c r="AO85" s="299"/>
      <c r="AP85" s="343"/>
      <c r="AQ85" s="343"/>
      <c r="AR85" s="566"/>
      <c r="AS85" s="1089"/>
      <c r="AT85" s="1090"/>
      <c r="AU85" s="1092"/>
      <c r="AV85" s="1057"/>
      <c r="AW85" s="1057"/>
      <c r="AX85" s="1060"/>
      <c r="AY85" s="846" t="s">
        <v>885</v>
      </c>
      <c r="AZ85" s="841">
        <v>46108</v>
      </c>
      <c r="BA85" s="841">
        <v>46111</v>
      </c>
      <c r="BB85" s="838">
        <f t="shared" si="13"/>
        <v>3</v>
      </c>
      <c r="BC85" s="1089"/>
      <c r="BD85" s="1090"/>
      <c r="BE85" s="1092"/>
      <c r="BF85" s="1057"/>
      <c r="BG85" s="1057"/>
      <c r="BH85" s="1060"/>
    </row>
    <row r="86" spans="1:60" x14ac:dyDescent="0.3">
      <c r="A86" s="994"/>
      <c r="B86" s="1182"/>
      <c r="C86" s="1162"/>
      <c r="D86" s="1162"/>
      <c r="E86" s="1162"/>
      <c r="F86" s="987"/>
      <c r="G86" s="91" t="s">
        <v>356</v>
      </c>
      <c r="H86" s="229">
        <v>45948</v>
      </c>
      <c r="I86" s="229">
        <v>45960</v>
      </c>
      <c r="J86" s="112">
        <f t="shared" si="10"/>
        <v>12</v>
      </c>
      <c r="K86" s="1089"/>
      <c r="L86" s="1090"/>
      <c r="M86" s="1092"/>
      <c r="N86" s="1057"/>
      <c r="O86" s="1057"/>
      <c r="P86" s="1221"/>
      <c r="Q86" s="299" t="s">
        <v>166</v>
      </c>
      <c r="R86" s="343">
        <v>45949</v>
      </c>
      <c r="S86" s="343">
        <v>45990</v>
      </c>
      <c r="T86" s="357">
        <f t="shared" si="11"/>
        <v>41</v>
      </c>
      <c r="U86" s="1089"/>
      <c r="V86" s="1090"/>
      <c r="W86" s="1092"/>
      <c r="X86" s="1057"/>
      <c r="Y86" s="1057"/>
      <c r="Z86" s="1060"/>
      <c r="AA86" s="507" t="s">
        <v>718</v>
      </c>
      <c r="AB86" s="512">
        <v>45949</v>
      </c>
      <c r="AC86" s="512">
        <v>45990</v>
      </c>
      <c r="AD86" s="487">
        <f t="shared" si="14"/>
        <v>41</v>
      </c>
      <c r="AE86" s="511"/>
      <c r="AF86" s="486"/>
      <c r="AG86" s="486"/>
      <c r="AH86" s="487"/>
      <c r="AI86" s="1089"/>
      <c r="AJ86" s="1090"/>
      <c r="AK86" s="1092"/>
      <c r="AL86" s="1057"/>
      <c r="AM86" s="1057"/>
      <c r="AN86" s="1060"/>
      <c r="AO86" s="299"/>
      <c r="AP86" s="343"/>
      <c r="AQ86" s="343"/>
      <c r="AR86" s="566"/>
      <c r="AS86" s="1089"/>
      <c r="AT86" s="1090"/>
      <c r="AU86" s="1092"/>
      <c r="AV86" s="1057"/>
      <c r="AW86" s="1057"/>
      <c r="AX86" s="1060"/>
      <c r="AY86" s="847" t="s">
        <v>884</v>
      </c>
      <c r="AZ86" s="842">
        <v>46110</v>
      </c>
      <c r="BA86" s="842">
        <v>46110</v>
      </c>
      <c r="BB86" s="838">
        <f t="shared" si="13"/>
        <v>0</v>
      </c>
      <c r="BC86" s="1089"/>
      <c r="BD86" s="1090"/>
      <c r="BE86" s="1092"/>
      <c r="BF86" s="1057"/>
      <c r="BG86" s="1057"/>
      <c r="BH86" s="1060"/>
    </row>
    <row r="87" spans="1:60" x14ac:dyDescent="0.3">
      <c r="A87" s="994"/>
      <c r="B87" s="1182"/>
      <c r="C87" s="1162"/>
      <c r="D87" s="1162"/>
      <c r="E87" s="1162"/>
      <c r="F87" s="987"/>
      <c r="G87" s="91"/>
      <c r="H87" s="229"/>
      <c r="I87" s="229"/>
      <c r="J87" s="112"/>
      <c r="K87" s="1089"/>
      <c r="L87" s="1090"/>
      <c r="M87" s="1092"/>
      <c r="N87" s="1057"/>
      <c r="O87" s="1057"/>
      <c r="P87" s="1221"/>
      <c r="Q87" s="299" t="s">
        <v>165</v>
      </c>
      <c r="R87" s="343">
        <v>45989</v>
      </c>
      <c r="S87" s="343">
        <v>45991</v>
      </c>
      <c r="T87" s="338">
        <f t="shared" si="11"/>
        <v>2</v>
      </c>
      <c r="U87" s="1089"/>
      <c r="V87" s="1090"/>
      <c r="W87" s="1092"/>
      <c r="X87" s="1057"/>
      <c r="Y87" s="1057"/>
      <c r="Z87" s="1060"/>
      <c r="AA87" s="507" t="s">
        <v>719</v>
      </c>
      <c r="AB87" s="512">
        <v>45989</v>
      </c>
      <c r="AC87" s="512">
        <v>45991</v>
      </c>
      <c r="AD87" s="487">
        <f t="shared" si="14"/>
        <v>2</v>
      </c>
      <c r="AE87" s="511"/>
      <c r="AF87" s="486"/>
      <c r="AG87" s="486"/>
      <c r="AH87" s="487"/>
      <c r="AI87" s="1089"/>
      <c r="AJ87" s="1090"/>
      <c r="AK87" s="1092"/>
      <c r="AL87" s="1057"/>
      <c r="AM87" s="1057"/>
      <c r="AN87" s="1060"/>
      <c r="AO87" s="299"/>
      <c r="AP87" s="343"/>
      <c r="AQ87" s="343"/>
      <c r="AR87" s="566"/>
      <c r="AS87" s="1089"/>
      <c r="AT87" s="1090"/>
      <c r="AU87" s="1092"/>
      <c r="AV87" s="1057"/>
      <c r="AW87" s="1057"/>
      <c r="AX87" s="1060"/>
      <c r="AY87" s="846" t="s">
        <v>886</v>
      </c>
      <c r="AZ87" s="844">
        <v>46108</v>
      </c>
      <c r="BA87" s="841">
        <v>46111</v>
      </c>
      <c r="BB87" s="838">
        <f t="shared" si="13"/>
        <v>3</v>
      </c>
      <c r="BC87" s="1089"/>
      <c r="BD87" s="1090"/>
      <c r="BE87" s="1092"/>
      <c r="BF87" s="1057"/>
      <c r="BG87" s="1057"/>
      <c r="BH87" s="1060"/>
    </row>
    <row r="88" spans="1:60" x14ac:dyDescent="0.3">
      <c r="A88" s="994"/>
      <c r="B88" s="1182"/>
      <c r="C88" s="1162"/>
      <c r="D88" s="1162"/>
      <c r="E88" s="1162"/>
      <c r="F88" s="987"/>
      <c r="G88" s="91"/>
      <c r="H88" s="229"/>
      <c r="I88" s="230"/>
      <c r="J88" s="112"/>
      <c r="K88" s="1089"/>
      <c r="L88" s="1090"/>
      <c r="M88" s="1092"/>
      <c r="N88" s="1057"/>
      <c r="O88" s="1057"/>
      <c r="P88" s="1221"/>
      <c r="Q88" s="299"/>
      <c r="R88" s="333"/>
      <c r="S88" s="334"/>
      <c r="T88" s="301"/>
      <c r="U88" s="1089"/>
      <c r="V88" s="1090"/>
      <c r="W88" s="1092"/>
      <c r="X88" s="1057"/>
      <c r="Y88" s="1057"/>
      <c r="Z88" s="1060"/>
      <c r="AA88" s="425" t="s">
        <v>720</v>
      </c>
      <c r="AB88" s="509">
        <v>46020</v>
      </c>
      <c r="AC88" s="509">
        <v>46020</v>
      </c>
      <c r="AD88" s="487">
        <f t="shared" si="14"/>
        <v>0</v>
      </c>
      <c r="AE88" s="511"/>
      <c r="AF88" s="488"/>
      <c r="AG88" s="489"/>
      <c r="AH88" s="427"/>
      <c r="AI88" s="1089"/>
      <c r="AJ88" s="1090"/>
      <c r="AK88" s="1092"/>
      <c r="AL88" s="1057"/>
      <c r="AM88" s="1057"/>
      <c r="AN88" s="1060"/>
      <c r="AO88" s="299"/>
      <c r="AP88" s="333"/>
      <c r="AQ88" s="334"/>
      <c r="AR88" s="642"/>
      <c r="AS88" s="1089"/>
      <c r="AT88" s="1090"/>
      <c r="AU88" s="1092"/>
      <c r="AV88" s="1057"/>
      <c r="AW88" s="1057"/>
      <c r="AX88" s="1060"/>
      <c r="AY88" s="847" t="s">
        <v>886</v>
      </c>
      <c r="AZ88" s="845">
        <v>46112</v>
      </c>
      <c r="BA88" s="842">
        <v>46112</v>
      </c>
      <c r="BB88" s="838">
        <f t="shared" si="13"/>
        <v>0</v>
      </c>
      <c r="BC88" s="1089"/>
      <c r="BD88" s="1090"/>
      <c r="BE88" s="1092"/>
      <c r="BF88" s="1057"/>
      <c r="BG88" s="1057"/>
      <c r="BH88" s="1060"/>
    </row>
    <row r="89" spans="1:60" x14ac:dyDescent="0.3">
      <c r="A89" s="994"/>
      <c r="B89" s="1182"/>
      <c r="C89" s="1162"/>
      <c r="D89" s="1162"/>
      <c r="E89" s="1162"/>
      <c r="F89" s="987"/>
      <c r="G89" s="91"/>
      <c r="H89" s="229"/>
      <c r="I89" s="229"/>
      <c r="J89" s="112"/>
      <c r="K89" s="1089"/>
      <c r="L89" s="1090"/>
      <c r="M89" s="1092"/>
      <c r="N89" s="1057"/>
      <c r="O89" s="1057"/>
      <c r="P89" s="1221"/>
      <c r="Q89" s="299"/>
      <c r="R89" s="333"/>
      <c r="S89" s="333"/>
      <c r="T89" s="301"/>
      <c r="U89" s="1089"/>
      <c r="V89" s="1090"/>
      <c r="W89" s="1092"/>
      <c r="X89" s="1057"/>
      <c r="Y89" s="1057"/>
      <c r="Z89" s="1060"/>
      <c r="AA89" s="425" t="s">
        <v>721</v>
      </c>
      <c r="AB89" s="486">
        <v>46019</v>
      </c>
      <c r="AC89" s="486">
        <v>46020</v>
      </c>
      <c r="AD89" s="487">
        <f t="shared" si="14"/>
        <v>1</v>
      </c>
      <c r="AE89" s="511"/>
      <c r="AF89" s="488"/>
      <c r="AG89" s="488"/>
      <c r="AH89" s="427"/>
      <c r="AI89" s="1089"/>
      <c r="AJ89" s="1090"/>
      <c r="AK89" s="1092"/>
      <c r="AL89" s="1057"/>
      <c r="AM89" s="1057"/>
      <c r="AN89" s="1060"/>
      <c r="AO89" s="299"/>
      <c r="AP89" s="333"/>
      <c r="AQ89" s="333"/>
      <c r="AR89" s="642"/>
      <c r="AS89" s="1089"/>
      <c r="AT89" s="1090"/>
      <c r="AU89" s="1092"/>
      <c r="AV89" s="1057"/>
      <c r="AW89" s="1057"/>
      <c r="AX89" s="1060"/>
      <c r="AY89" s="735"/>
      <c r="AZ89" s="820"/>
      <c r="BA89" s="820"/>
      <c r="BB89" s="825"/>
      <c r="BC89" s="1089"/>
      <c r="BD89" s="1090"/>
      <c r="BE89" s="1092"/>
      <c r="BF89" s="1057"/>
      <c r="BG89" s="1057"/>
      <c r="BH89" s="1060"/>
    </row>
    <row r="90" spans="1:60" x14ac:dyDescent="0.3">
      <c r="A90" s="994"/>
      <c r="B90" s="1182"/>
      <c r="C90" s="1162"/>
      <c r="D90" s="1162"/>
      <c r="E90" s="1162"/>
      <c r="F90" s="987"/>
      <c r="G90" s="91"/>
      <c r="H90" s="229"/>
      <c r="I90" s="229"/>
      <c r="J90" s="112"/>
      <c r="K90" s="1089"/>
      <c r="L90" s="1090"/>
      <c r="M90" s="1092"/>
      <c r="N90" s="1057"/>
      <c r="O90" s="1057"/>
      <c r="P90" s="1221"/>
      <c r="Q90" s="299"/>
      <c r="R90" s="333"/>
      <c r="S90" s="333"/>
      <c r="T90" s="301"/>
      <c r="U90" s="1089"/>
      <c r="V90" s="1090"/>
      <c r="W90" s="1092"/>
      <c r="X90" s="1057"/>
      <c r="Y90" s="1057"/>
      <c r="Z90" s="1060"/>
      <c r="AA90" s="425"/>
      <c r="AB90" s="486"/>
      <c r="AC90" s="486"/>
      <c r="AD90" s="487"/>
      <c r="AE90" s="511"/>
      <c r="AF90" s="488"/>
      <c r="AG90" s="488"/>
      <c r="AH90" s="427"/>
      <c r="AI90" s="1089"/>
      <c r="AJ90" s="1090"/>
      <c r="AK90" s="1092"/>
      <c r="AL90" s="1057"/>
      <c r="AM90" s="1057"/>
      <c r="AN90" s="1060"/>
      <c r="AO90" s="299"/>
      <c r="AP90" s="333"/>
      <c r="AQ90" s="333"/>
      <c r="AR90" s="642"/>
      <c r="AS90" s="1089"/>
      <c r="AT90" s="1090"/>
      <c r="AU90" s="1092"/>
      <c r="AV90" s="1057"/>
      <c r="AW90" s="1057"/>
      <c r="AX90" s="1060"/>
      <c r="AY90" s="735"/>
      <c r="AZ90" s="820"/>
      <c r="BA90" s="820"/>
      <c r="BB90" s="825"/>
      <c r="BC90" s="1089"/>
      <c r="BD90" s="1090"/>
      <c r="BE90" s="1092"/>
      <c r="BF90" s="1057"/>
      <c r="BG90" s="1057"/>
      <c r="BH90" s="1060"/>
    </row>
    <row r="91" spans="1:60" x14ac:dyDescent="0.3">
      <c r="A91" s="994"/>
      <c r="B91" s="1182"/>
      <c r="C91" s="1162"/>
      <c r="D91" s="1162"/>
      <c r="E91" s="1162"/>
      <c r="F91" s="987"/>
      <c r="G91" s="91"/>
      <c r="H91" s="229"/>
      <c r="I91" s="229"/>
      <c r="J91" s="112"/>
      <c r="K91" s="1089"/>
      <c r="L91" s="1090"/>
      <c r="M91" s="1092"/>
      <c r="N91" s="1057"/>
      <c r="O91" s="1057"/>
      <c r="P91" s="1221"/>
      <c r="Q91" s="299"/>
      <c r="R91" s="333"/>
      <c r="S91" s="333"/>
      <c r="T91" s="301"/>
      <c r="U91" s="1089"/>
      <c r="V91" s="1090"/>
      <c r="W91" s="1092"/>
      <c r="X91" s="1057"/>
      <c r="Y91" s="1057"/>
      <c r="Z91" s="1060"/>
      <c r="AA91" s="425"/>
      <c r="AB91" s="486"/>
      <c r="AC91" s="486"/>
      <c r="AD91" s="487"/>
      <c r="AE91" s="511"/>
      <c r="AF91" s="488"/>
      <c r="AG91" s="488"/>
      <c r="AH91" s="427"/>
      <c r="AI91" s="1089"/>
      <c r="AJ91" s="1090"/>
      <c r="AK91" s="1092"/>
      <c r="AL91" s="1057"/>
      <c r="AM91" s="1057"/>
      <c r="AN91" s="1060"/>
      <c r="AO91" s="299"/>
      <c r="AP91" s="333"/>
      <c r="AQ91" s="333"/>
      <c r="AR91" s="642"/>
      <c r="AS91" s="1089"/>
      <c r="AT91" s="1090"/>
      <c r="AU91" s="1092"/>
      <c r="AV91" s="1057"/>
      <c r="AW91" s="1057"/>
      <c r="AX91" s="1060"/>
      <c r="AY91" s="735"/>
      <c r="AZ91" s="820"/>
      <c r="BA91" s="820"/>
      <c r="BB91" s="825"/>
      <c r="BC91" s="1089"/>
      <c r="BD91" s="1090"/>
      <c r="BE91" s="1092"/>
      <c r="BF91" s="1057"/>
      <c r="BG91" s="1057"/>
      <c r="BH91" s="1060"/>
    </row>
    <row r="92" spans="1:60" x14ac:dyDescent="0.3">
      <c r="A92" s="994"/>
      <c r="B92" s="1182"/>
      <c r="C92" s="1162"/>
      <c r="D92" s="1162"/>
      <c r="E92" s="1162"/>
      <c r="F92" s="987"/>
      <c r="G92" s="91"/>
      <c r="H92" s="229"/>
      <c r="I92" s="229"/>
      <c r="J92" s="112"/>
      <c r="K92" s="1089"/>
      <c r="L92" s="1090"/>
      <c r="M92" s="1092"/>
      <c r="N92" s="1057"/>
      <c r="O92" s="1057"/>
      <c r="P92" s="1221"/>
      <c r="Q92" s="299"/>
      <c r="R92" s="333"/>
      <c r="S92" s="333"/>
      <c r="T92" s="301"/>
      <c r="U92" s="1089"/>
      <c r="V92" s="1090"/>
      <c r="W92" s="1092"/>
      <c r="X92" s="1057"/>
      <c r="Y92" s="1057"/>
      <c r="Z92" s="1060"/>
      <c r="AA92" s="425"/>
      <c r="AB92" s="488"/>
      <c r="AC92" s="488"/>
      <c r="AD92" s="427"/>
      <c r="AE92" s="511"/>
      <c r="AF92" s="488"/>
      <c r="AG92" s="488"/>
      <c r="AH92" s="427"/>
      <c r="AI92" s="1089"/>
      <c r="AJ92" s="1090"/>
      <c r="AK92" s="1092"/>
      <c r="AL92" s="1057"/>
      <c r="AM92" s="1057"/>
      <c r="AN92" s="1060"/>
      <c r="AO92" s="299"/>
      <c r="AP92" s="333"/>
      <c r="AQ92" s="333"/>
      <c r="AR92" s="642"/>
      <c r="AS92" s="1089"/>
      <c r="AT92" s="1090"/>
      <c r="AU92" s="1092"/>
      <c r="AV92" s="1057"/>
      <c r="AW92" s="1057"/>
      <c r="AX92" s="1060"/>
      <c r="AY92" s="735"/>
      <c r="AZ92" s="820"/>
      <c r="BA92" s="820"/>
      <c r="BB92" s="825"/>
      <c r="BC92" s="1089"/>
      <c r="BD92" s="1090"/>
      <c r="BE92" s="1092"/>
      <c r="BF92" s="1057"/>
      <c r="BG92" s="1057"/>
      <c r="BH92" s="1060"/>
    </row>
    <row r="93" spans="1:60" x14ac:dyDescent="0.3">
      <c r="A93" s="994"/>
      <c r="B93" s="1182"/>
      <c r="C93" s="1162"/>
      <c r="D93" s="1162"/>
      <c r="E93" s="1162"/>
      <c r="F93" s="987"/>
      <c r="G93" s="91"/>
      <c r="H93" s="229"/>
      <c r="I93" s="229"/>
      <c r="J93" s="112"/>
      <c r="K93" s="1089"/>
      <c r="L93" s="1090"/>
      <c r="M93" s="1092"/>
      <c r="N93" s="1057"/>
      <c r="O93" s="1057"/>
      <c r="P93" s="1221"/>
      <c r="Q93" s="299"/>
      <c r="R93" s="333"/>
      <c r="S93" s="333"/>
      <c r="T93" s="301"/>
      <c r="U93" s="1089"/>
      <c r="V93" s="1090"/>
      <c r="W93" s="1092"/>
      <c r="X93" s="1057"/>
      <c r="Y93" s="1057"/>
      <c r="Z93" s="1060"/>
      <c r="AA93" s="425"/>
      <c r="AB93" s="488"/>
      <c r="AC93" s="488"/>
      <c r="AD93" s="427"/>
      <c r="AE93" s="511"/>
      <c r="AF93" s="488"/>
      <c r="AG93" s="488"/>
      <c r="AH93" s="427"/>
      <c r="AI93" s="1089"/>
      <c r="AJ93" s="1090"/>
      <c r="AK93" s="1092"/>
      <c r="AL93" s="1057"/>
      <c r="AM93" s="1057"/>
      <c r="AN93" s="1060"/>
      <c r="AO93" s="299"/>
      <c r="AP93" s="333"/>
      <c r="AQ93" s="333"/>
      <c r="AR93" s="642"/>
      <c r="AS93" s="1089"/>
      <c r="AT93" s="1090"/>
      <c r="AU93" s="1092"/>
      <c r="AV93" s="1057"/>
      <c r="AW93" s="1057"/>
      <c r="AX93" s="1060"/>
      <c r="AY93" s="735"/>
      <c r="AZ93" s="820"/>
      <c r="BA93" s="820"/>
      <c r="BB93" s="825"/>
      <c r="BC93" s="1089"/>
      <c r="BD93" s="1090"/>
      <c r="BE93" s="1092"/>
      <c r="BF93" s="1057"/>
      <c r="BG93" s="1057"/>
      <c r="BH93" s="1060"/>
    </row>
    <row r="94" spans="1:60" ht="15" thickBot="1" x14ac:dyDescent="0.35">
      <c r="A94" s="994"/>
      <c r="B94" s="1182"/>
      <c r="C94" s="1163"/>
      <c r="D94" s="1163"/>
      <c r="E94" s="1163"/>
      <c r="F94" s="987"/>
      <c r="G94" s="91"/>
      <c r="H94" s="231"/>
      <c r="I94" s="231"/>
      <c r="J94" s="112"/>
      <c r="K94" s="1089"/>
      <c r="L94" s="1090"/>
      <c r="M94" s="1093"/>
      <c r="N94" s="1057"/>
      <c r="O94" s="1057"/>
      <c r="P94" s="1221"/>
      <c r="Q94" s="328"/>
      <c r="R94" s="375"/>
      <c r="S94" s="375"/>
      <c r="T94" s="376"/>
      <c r="U94" s="1089"/>
      <c r="V94" s="1090"/>
      <c r="W94" s="1093"/>
      <c r="X94" s="1057"/>
      <c r="Y94" s="1057"/>
      <c r="Z94" s="1060"/>
      <c r="AA94" s="434"/>
      <c r="AB94" s="490"/>
      <c r="AC94" s="490"/>
      <c r="AD94" s="491"/>
      <c r="AE94" s="514"/>
      <c r="AF94" s="490"/>
      <c r="AG94" s="490"/>
      <c r="AH94" s="491"/>
      <c r="AI94" s="1089"/>
      <c r="AJ94" s="1090"/>
      <c r="AK94" s="1093"/>
      <c r="AL94" s="1057"/>
      <c r="AM94" s="1057"/>
      <c r="AN94" s="1060"/>
      <c r="AO94" s="328"/>
      <c r="AP94" s="375"/>
      <c r="AQ94" s="375"/>
      <c r="AR94" s="643"/>
      <c r="AS94" s="1089"/>
      <c r="AT94" s="1090"/>
      <c r="AU94" s="1093"/>
      <c r="AV94" s="1057"/>
      <c r="AW94" s="1057"/>
      <c r="AX94" s="1060"/>
      <c r="AY94" s="751"/>
      <c r="AZ94" s="821"/>
      <c r="BA94" s="821"/>
      <c r="BB94" s="771"/>
      <c r="BC94" s="1089"/>
      <c r="BD94" s="1090"/>
      <c r="BE94" s="1093"/>
      <c r="BF94" s="1057"/>
      <c r="BG94" s="1057"/>
      <c r="BH94" s="1060"/>
    </row>
    <row r="95" spans="1:60" ht="62.4" customHeight="1" x14ac:dyDescent="0.3">
      <c r="A95" s="994"/>
      <c r="B95" s="1182"/>
      <c r="C95" s="1161" t="s">
        <v>48</v>
      </c>
      <c r="D95" s="1161" t="s">
        <v>49</v>
      </c>
      <c r="E95" s="1161" t="s">
        <v>50</v>
      </c>
      <c r="F95" s="1170" t="s">
        <v>491</v>
      </c>
      <c r="G95" s="210" t="s">
        <v>492</v>
      </c>
      <c r="H95" s="144" t="s">
        <v>207</v>
      </c>
      <c r="I95" s="144" t="s">
        <v>214</v>
      </c>
      <c r="J95" s="148" t="s">
        <v>208</v>
      </c>
      <c r="K95" s="1131">
        <f>(J96+J97+J98)/3</f>
        <v>0.5722222222222223</v>
      </c>
      <c r="L95" s="1090" t="s">
        <v>493</v>
      </c>
      <c r="M95" s="1097">
        <f>+K95</f>
        <v>0.5722222222222223</v>
      </c>
      <c r="N95" s="1057"/>
      <c r="O95" s="1057"/>
      <c r="P95" s="1221"/>
      <c r="Q95" s="370" t="s">
        <v>492</v>
      </c>
      <c r="R95" s="371" t="s">
        <v>207</v>
      </c>
      <c r="S95" s="371" t="s">
        <v>214</v>
      </c>
      <c r="T95" s="372" t="s">
        <v>208</v>
      </c>
      <c r="U95" s="1131">
        <f>(T96+T97+T98)/3</f>
        <v>0.65555555555555556</v>
      </c>
      <c r="V95" s="1090" t="s">
        <v>644</v>
      </c>
      <c r="W95" s="1097">
        <f>+U95</f>
        <v>0.65555555555555556</v>
      </c>
      <c r="X95" s="1057"/>
      <c r="Y95" s="1057"/>
      <c r="Z95" s="1060"/>
      <c r="AA95" s="484" t="s">
        <v>492</v>
      </c>
      <c r="AB95" s="520" t="s">
        <v>207</v>
      </c>
      <c r="AC95" s="520" t="s">
        <v>214</v>
      </c>
      <c r="AD95" s="485" t="s">
        <v>208</v>
      </c>
      <c r="AE95" s="484" t="s">
        <v>492</v>
      </c>
      <c r="AF95" s="520" t="s">
        <v>207</v>
      </c>
      <c r="AG95" s="520" t="s">
        <v>214</v>
      </c>
      <c r="AH95" s="485" t="s">
        <v>208</v>
      </c>
      <c r="AI95" s="1082">
        <f>AVERAGE(AD96:AD98,AH96:AH98)</f>
        <v>0.41666666666666674</v>
      </c>
      <c r="AJ95" s="1090" t="s">
        <v>749</v>
      </c>
      <c r="AK95" s="1097">
        <f>+AI95</f>
        <v>0.41666666666666674</v>
      </c>
      <c r="AL95" s="1057"/>
      <c r="AM95" s="1057"/>
      <c r="AN95" s="1060"/>
      <c r="AO95" s="370" t="s">
        <v>492</v>
      </c>
      <c r="AP95" s="371" t="s">
        <v>207</v>
      </c>
      <c r="AQ95" s="371" t="s">
        <v>214</v>
      </c>
      <c r="AR95" s="668" t="s">
        <v>208</v>
      </c>
      <c r="AS95" s="1094">
        <f>(AR96+AR97+AR98)/3</f>
        <v>0.43333333333333335</v>
      </c>
      <c r="AT95" s="1090" t="s">
        <v>851</v>
      </c>
      <c r="AU95" s="1097">
        <f>+AS95</f>
        <v>0.43333333333333335</v>
      </c>
      <c r="AV95" s="1057"/>
      <c r="AW95" s="1057"/>
      <c r="AX95" s="1060"/>
      <c r="AY95" s="817" t="s">
        <v>492</v>
      </c>
      <c r="AZ95" s="818" t="s">
        <v>207</v>
      </c>
      <c r="BA95" s="818" t="s">
        <v>214</v>
      </c>
      <c r="BB95" s="839" t="s">
        <v>208</v>
      </c>
      <c r="BC95" s="1131">
        <f>(BB96+BB97+BB98)/3</f>
        <v>1.2222222222222221</v>
      </c>
      <c r="BD95" s="1090" t="s">
        <v>909</v>
      </c>
      <c r="BE95" s="1097">
        <v>1</v>
      </c>
      <c r="BF95" s="1057"/>
      <c r="BG95" s="1057"/>
      <c r="BH95" s="1060"/>
    </row>
    <row r="96" spans="1:60" ht="62.4" customHeight="1" x14ac:dyDescent="0.3">
      <c r="A96" s="994"/>
      <c r="B96" s="1182"/>
      <c r="C96" s="1162"/>
      <c r="D96" s="1162"/>
      <c r="E96" s="1162"/>
      <c r="F96" s="1193"/>
      <c r="G96" s="91" t="s">
        <v>190</v>
      </c>
      <c r="H96" s="88">
        <f>+H3*0.5</f>
        <v>10</v>
      </c>
      <c r="I96" s="88">
        <v>8</v>
      </c>
      <c r="J96" s="113">
        <f>+I96/H96</f>
        <v>0.8</v>
      </c>
      <c r="K96" s="1131"/>
      <c r="L96" s="1084"/>
      <c r="M96" s="1097"/>
      <c r="N96" s="1057"/>
      <c r="O96" s="1057"/>
      <c r="P96" s="1221"/>
      <c r="Q96" s="299" t="s">
        <v>190</v>
      </c>
      <c r="R96" s="300">
        <f>+R3*0.5</f>
        <v>10</v>
      </c>
      <c r="S96" s="300">
        <v>8</v>
      </c>
      <c r="T96" s="302">
        <f>+S96/R96</f>
        <v>0.8</v>
      </c>
      <c r="U96" s="1131"/>
      <c r="V96" s="1084"/>
      <c r="W96" s="1097"/>
      <c r="X96" s="1057"/>
      <c r="Y96" s="1057"/>
      <c r="Z96" s="1060"/>
      <c r="AA96" s="425" t="s">
        <v>190</v>
      </c>
      <c r="AB96" s="473">
        <f>+AB3*0.5</f>
        <v>10</v>
      </c>
      <c r="AC96" s="473">
        <v>8</v>
      </c>
      <c r="AD96" s="475">
        <f>+AC96/AB96</f>
        <v>0.8</v>
      </c>
      <c r="AE96" s="425" t="s">
        <v>190</v>
      </c>
      <c r="AF96" s="473">
        <f>+AF3*0.5</f>
        <v>10</v>
      </c>
      <c r="AG96" s="473">
        <v>2</v>
      </c>
      <c r="AH96" s="475">
        <f>+AG96/AF96</f>
        <v>0.2</v>
      </c>
      <c r="AI96" s="1082"/>
      <c r="AJ96" s="1084"/>
      <c r="AK96" s="1097"/>
      <c r="AL96" s="1057"/>
      <c r="AM96" s="1057"/>
      <c r="AN96" s="1060"/>
      <c r="AO96" s="299" t="s">
        <v>190</v>
      </c>
      <c r="AP96" s="300">
        <f>+AP3*0.5</f>
        <v>5</v>
      </c>
      <c r="AQ96" s="300">
        <v>4</v>
      </c>
      <c r="AR96" s="655">
        <f>+AQ96/AP96</f>
        <v>0.8</v>
      </c>
      <c r="AS96" s="1094"/>
      <c r="AT96" s="1084"/>
      <c r="AU96" s="1097"/>
      <c r="AV96" s="1057"/>
      <c r="AW96" s="1057"/>
      <c r="AX96" s="1060"/>
      <c r="AY96" s="735" t="s">
        <v>190</v>
      </c>
      <c r="AZ96" s="737">
        <f>+AZ3*0.5</f>
        <v>5</v>
      </c>
      <c r="BA96" s="737">
        <v>10</v>
      </c>
      <c r="BB96" s="826">
        <f>+BA96/AZ96</f>
        <v>2</v>
      </c>
      <c r="BC96" s="1131"/>
      <c r="BD96" s="1084"/>
      <c r="BE96" s="1097"/>
      <c r="BF96" s="1057"/>
      <c r="BG96" s="1057"/>
      <c r="BH96" s="1060"/>
    </row>
    <row r="97" spans="1:60" ht="62.4" customHeight="1" x14ac:dyDescent="0.3">
      <c r="A97" s="994"/>
      <c r="B97" s="1182"/>
      <c r="C97" s="1162"/>
      <c r="D97" s="1162"/>
      <c r="E97" s="1162"/>
      <c r="F97" s="1193"/>
      <c r="G97" s="91" t="s">
        <v>191</v>
      </c>
      <c r="H97" s="88">
        <f>+H3*0.3</f>
        <v>6</v>
      </c>
      <c r="I97" s="88">
        <v>1</v>
      </c>
      <c r="J97" s="113">
        <f>+I97/H97</f>
        <v>0.16666666666666666</v>
      </c>
      <c r="K97" s="1131"/>
      <c r="L97" s="1084"/>
      <c r="M97" s="1097"/>
      <c r="N97" s="1057"/>
      <c r="O97" s="1057"/>
      <c r="P97" s="1221"/>
      <c r="Q97" s="299" t="s">
        <v>191</v>
      </c>
      <c r="R97" s="300">
        <f>+R3*0.3</f>
        <v>6</v>
      </c>
      <c r="S97" s="300">
        <v>1</v>
      </c>
      <c r="T97" s="302">
        <f>+S97/R97</f>
        <v>0.16666666666666666</v>
      </c>
      <c r="U97" s="1131"/>
      <c r="V97" s="1084"/>
      <c r="W97" s="1097"/>
      <c r="X97" s="1057"/>
      <c r="Y97" s="1057"/>
      <c r="Z97" s="1060"/>
      <c r="AA97" s="425" t="s">
        <v>191</v>
      </c>
      <c r="AB97" s="473">
        <f>+AB3*0.3</f>
        <v>6</v>
      </c>
      <c r="AC97" s="473">
        <v>1</v>
      </c>
      <c r="AD97" s="475">
        <f>+AC97/AB97</f>
        <v>0.16666666666666666</v>
      </c>
      <c r="AE97" s="425" t="s">
        <v>191</v>
      </c>
      <c r="AF97" s="473">
        <f>+AF3*0.3</f>
        <v>6</v>
      </c>
      <c r="AG97" s="473">
        <v>2</v>
      </c>
      <c r="AH97" s="475">
        <f>+AG97/AF97</f>
        <v>0.33333333333333331</v>
      </c>
      <c r="AI97" s="1082"/>
      <c r="AJ97" s="1084"/>
      <c r="AK97" s="1097"/>
      <c r="AL97" s="1057"/>
      <c r="AM97" s="1057"/>
      <c r="AN97" s="1060"/>
      <c r="AO97" s="299" t="s">
        <v>191</v>
      </c>
      <c r="AP97" s="300">
        <f>+AP3*0.3</f>
        <v>3</v>
      </c>
      <c r="AQ97" s="300">
        <v>0</v>
      </c>
      <c r="AR97" s="655">
        <f>+AQ97/AP97</f>
        <v>0</v>
      </c>
      <c r="AS97" s="1094"/>
      <c r="AT97" s="1084"/>
      <c r="AU97" s="1097"/>
      <c r="AV97" s="1057"/>
      <c r="AW97" s="1057"/>
      <c r="AX97" s="1060"/>
      <c r="AY97" s="735" t="s">
        <v>191</v>
      </c>
      <c r="AZ97" s="737">
        <f>+AZ3*0.3</f>
        <v>3</v>
      </c>
      <c r="BA97" s="737">
        <v>2</v>
      </c>
      <c r="BB97" s="826">
        <f>+BA97/AZ97</f>
        <v>0.66666666666666663</v>
      </c>
      <c r="BC97" s="1131"/>
      <c r="BD97" s="1084"/>
      <c r="BE97" s="1097"/>
      <c r="BF97" s="1057"/>
      <c r="BG97" s="1057"/>
      <c r="BH97" s="1060"/>
    </row>
    <row r="98" spans="1:60" ht="62.4" customHeight="1" thickBot="1" x14ac:dyDescent="0.35">
      <c r="A98" s="995"/>
      <c r="B98" s="1183"/>
      <c r="C98" s="1210"/>
      <c r="D98" s="1210"/>
      <c r="E98" s="1210"/>
      <c r="F98" s="1211"/>
      <c r="G98" s="103" t="s">
        <v>192</v>
      </c>
      <c r="H98" s="104">
        <f>+H3*0.2</f>
        <v>4</v>
      </c>
      <c r="I98" s="104">
        <v>3</v>
      </c>
      <c r="J98" s="124">
        <f>+I98/H98</f>
        <v>0.75</v>
      </c>
      <c r="K98" s="1150"/>
      <c r="L98" s="1096"/>
      <c r="M98" s="1098"/>
      <c r="N98" s="1058"/>
      <c r="O98" s="1058"/>
      <c r="P98" s="1222"/>
      <c r="Q98" s="335" t="s">
        <v>192</v>
      </c>
      <c r="R98" s="336">
        <f>+R3*0.2</f>
        <v>4</v>
      </c>
      <c r="S98" s="336">
        <v>4</v>
      </c>
      <c r="T98" s="337">
        <f>+S98/R98</f>
        <v>1</v>
      </c>
      <c r="U98" s="1150"/>
      <c r="V98" s="1096"/>
      <c r="W98" s="1098"/>
      <c r="X98" s="1058"/>
      <c r="Y98" s="1058"/>
      <c r="Z98" s="1061"/>
      <c r="AA98" s="492" t="s">
        <v>192</v>
      </c>
      <c r="AB98" s="518">
        <f>+AB3*0.2</f>
        <v>4</v>
      </c>
      <c r="AC98" s="518">
        <v>4</v>
      </c>
      <c r="AD98" s="519">
        <f>+AC98/AB98</f>
        <v>1</v>
      </c>
      <c r="AE98" s="492" t="s">
        <v>192</v>
      </c>
      <c r="AF98" s="518">
        <f>+AF3*0.2</f>
        <v>4</v>
      </c>
      <c r="AG98" s="518">
        <v>0</v>
      </c>
      <c r="AH98" s="519">
        <f>+AG98/AF98</f>
        <v>0</v>
      </c>
      <c r="AI98" s="1238"/>
      <c r="AJ98" s="1096"/>
      <c r="AK98" s="1098"/>
      <c r="AL98" s="1058"/>
      <c r="AM98" s="1058"/>
      <c r="AN98" s="1061"/>
      <c r="AO98" s="335" t="s">
        <v>192</v>
      </c>
      <c r="AP98" s="336">
        <f>+AP3*0.2</f>
        <v>2</v>
      </c>
      <c r="AQ98" s="336">
        <v>1</v>
      </c>
      <c r="AR98" s="669">
        <f>+AQ98/AP98</f>
        <v>0.5</v>
      </c>
      <c r="AS98" s="1095"/>
      <c r="AT98" s="1096"/>
      <c r="AU98" s="1098"/>
      <c r="AV98" s="1058"/>
      <c r="AW98" s="1058"/>
      <c r="AX98" s="1061"/>
      <c r="AY98" s="761" t="s">
        <v>192</v>
      </c>
      <c r="AZ98" s="822">
        <f>+AZ3*0.2</f>
        <v>2</v>
      </c>
      <c r="BA98" s="822">
        <v>2</v>
      </c>
      <c r="BB98" s="840">
        <f>+BA98/AZ98</f>
        <v>1</v>
      </c>
      <c r="BC98" s="1150"/>
      <c r="BD98" s="1096"/>
      <c r="BE98" s="1098"/>
      <c r="BF98" s="1058"/>
      <c r="BG98" s="1058"/>
      <c r="BH98" s="1061"/>
    </row>
    <row r="99" spans="1:60" ht="195.6" customHeight="1" x14ac:dyDescent="0.3">
      <c r="A99" s="970">
        <v>0.1</v>
      </c>
      <c r="B99" s="973" t="s">
        <v>52</v>
      </c>
      <c r="C99" s="127" t="s">
        <v>53</v>
      </c>
      <c r="D99" s="127" t="s">
        <v>54</v>
      </c>
      <c r="E99" s="127" t="s">
        <v>488</v>
      </c>
      <c r="F99" s="131" t="s">
        <v>56</v>
      </c>
      <c r="G99" s="1204" t="s">
        <v>215</v>
      </c>
      <c r="H99" s="1205"/>
      <c r="I99" s="1205"/>
      <c r="J99" s="1206"/>
      <c r="K99" s="240">
        <f>+K64</f>
        <v>0.88013815372372928</v>
      </c>
      <c r="L99" s="241" t="str">
        <f>+L64</f>
        <v>88% / 98% = 89,79% del cumplimiento esperado                                                                                            Conclusión:
La precisión del CRM se encuentra en 88 %, evidenciando brechas de actualización que limitan la trazabilidad de las operaciones comerciales.
El resultado requiere acciones correctivas inmediatas en control documental y sincronización de información entre ventas, archivo y posventa.
Plan de acción:
Depurar y actualizar información faltante en CRM de T1 y Croma antes del 30 de noviembre.
Implementar checklist obligatorio de “Carpeta OK” previo al registro de negocio cerrado.
Asignar responsables por torre con validación semanal del avance de actualización.
Automatizar alertas en Zoho CRM para negocios sin documentos completos.
Meta noviembre: elevar precisión global al 95 %, con cumplimiento del 98 % al cierre del trimestre (diciembre).</v>
      </c>
      <c r="M99" s="233">
        <v>0.89790000000000003</v>
      </c>
      <c r="N99" s="1056">
        <v>0.1</v>
      </c>
      <c r="O99" s="1056">
        <f>SUM(M99:M103)/2</f>
        <v>0.94894999999999996</v>
      </c>
      <c r="P99" s="1220">
        <f>+N99*O99</f>
        <v>9.4895000000000007E-2</v>
      </c>
      <c r="Q99" s="1064" t="s">
        <v>215</v>
      </c>
      <c r="R99" s="1065"/>
      <c r="S99" s="1065"/>
      <c r="T99" s="1072"/>
      <c r="U99" s="377">
        <f>+U64</f>
        <v>0.84134799607184763</v>
      </c>
      <c r="V99" s="241" t="str">
        <f>+V64</f>
        <v>84 % – 🔴 Nivel Bajo (No cumple la meta)
Análisis:
Se evidencia alto cumplimiento en archivos comerciales T2 y T3, así como en Otrosí T4.
Los principales focos de desviación del indicador se concentran en:
Otrosí T2 y T3
Croma
Otrosí T1
El resultado global indica riesgo en la confiabilidad del CRM, afectando la trazabilidad contractual y el control comercial.
Plan de acción:
Priorizar cierre documental de otrosíes pendientes.
Establecer responsables y fechas de regularización.
Implementar revisión semanal de calidad del CRM para evitar reprocesos y acumulación.</v>
      </c>
      <c r="W99" s="233">
        <f>+U99</f>
        <v>0.84134799607184763</v>
      </c>
      <c r="X99" s="1056">
        <v>0.1</v>
      </c>
      <c r="Y99" s="1056">
        <f>SUM(W99:W103)/2</f>
        <v>0.92067399803592376</v>
      </c>
      <c r="Z99" s="1059">
        <f>+X99*Y99</f>
        <v>9.2067399803592381E-2</v>
      </c>
      <c r="AA99" s="1073" t="s">
        <v>215</v>
      </c>
      <c r="AB99" s="1074"/>
      <c r="AC99" s="1074"/>
      <c r="AD99" s="1075"/>
      <c r="AE99" s="1073" t="s">
        <v>215</v>
      </c>
      <c r="AF99" s="1074"/>
      <c r="AG99" s="1074"/>
      <c r="AH99" s="1075"/>
      <c r="AI99" s="377">
        <f>+AI64</f>
        <v>0.84134799607184763</v>
      </c>
      <c r="AJ99" s="241" t="s">
        <v>750</v>
      </c>
      <c r="AK99" s="233">
        <f>+AI99</f>
        <v>0.84134799607184763</v>
      </c>
      <c r="AL99" s="1056">
        <v>0.1</v>
      </c>
      <c r="AM99" s="1056">
        <f>SUM(AK99:AK103)/2</f>
        <v>0.92067399803592376</v>
      </c>
      <c r="AN99" s="1059">
        <f>+AL99*AM99</f>
        <v>9.2067399803592381E-2</v>
      </c>
      <c r="AO99" s="1064" t="s">
        <v>215</v>
      </c>
      <c r="AP99" s="1065"/>
      <c r="AQ99" s="1065"/>
      <c r="AR99" s="1066"/>
      <c r="AS99" s="240">
        <f>+AS64</f>
        <v>0.84134799607184763</v>
      </c>
      <c r="AT99" s="241" t="str">
        <f>+AT64</f>
        <v>84 % – 🔴 Nivel Bajo (No cumple la meta)
Análisis:
Se evidencia alto cumplimiento en archivos comerciales T2 y T3, así como en Otrosí T4.
Los principales focos de desviación del indicador se concentran en:
Otrosí T2 y T3
Croma
Otrosí T1
El resultado global indica riesgo en la confiabilidad del CRM, afectando la trazabilidad contractual y el control comercial.
Plan de acción:
Priorizar cierre documental de otrosíes pendientes.
Establecer responsables y fechas de regularización.
Implementar revisión semanal de calidad del CRM para evitar reprocesos y acumulación.</v>
      </c>
      <c r="AU99" s="774">
        <f>+AS99</f>
        <v>0.84134799607184763</v>
      </c>
      <c r="AV99" s="1056">
        <v>0.1</v>
      </c>
      <c r="AW99" s="1056">
        <f>SUM(AU99:AU103)/2</f>
        <v>0.92067399803592376</v>
      </c>
      <c r="AX99" s="1059">
        <f>+AV99*AW99</f>
        <v>9.2067399803592381E-2</v>
      </c>
      <c r="AY99" s="1260" t="s">
        <v>215</v>
      </c>
      <c r="AZ99" s="1261"/>
      <c r="BA99" s="1261"/>
      <c r="BB99" s="1262"/>
      <c r="BC99" s="900">
        <f>+BC64</f>
        <v>81.666666666666671</v>
      </c>
      <c r="BD99" s="241" t="str">
        <f>+BD64</f>
        <v>Ingrid lidera el desempeño integral, con la mayor participación en traslados y la mejor efectividad (85%), además de una contribución relevante en promesas.
Natalia presenta alta capacidad de cierre, liderando en promesas (28.8%), pero con menor eficiencia en la gestión de traslados (60%).
Paola evidencia una brecha operativa crítica, sin ejecución en traslados (0%), aunque mantiene una participación relevante en promesas (20.3%).</v>
      </c>
      <c r="BE99" s="774">
        <f>+BE64</f>
        <v>0.81666666666666676</v>
      </c>
      <c r="BF99" s="1056">
        <v>0.1</v>
      </c>
      <c r="BG99" s="1056">
        <f>SUM(BE99:BE103)/3</f>
        <v>0.93888888888888899</v>
      </c>
      <c r="BH99" s="1059">
        <f>+BF99*BG99</f>
        <v>9.3888888888888911E-2</v>
      </c>
    </row>
    <row r="100" spans="1:60" ht="195.6" customHeight="1" x14ac:dyDescent="0.3">
      <c r="A100" s="970"/>
      <c r="B100" s="973"/>
      <c r="C100" s="1161" t="s">
        <v>499</v>
      </c>
      <c r="D100" s="127" t="s">
        <v>494</v>
      </c>
      <c r="E100" s="127" t="s">
        <v>495</v>
      </c>
      <c r="F100" s="131" t="s">
        <v>496</v>
      </c>
      <c r="G100" s="107" t="s">
        <v>497</v>
      </c>
      <c r="H100" s="189">
        <v>5</v>
      </c>
      <c r="I100" s="176" t="s">
        <v>498</v>
      </c>
      <c r="J100" s="109">
        <v>5</v>
      </c>
      <c r="K100" s="246">
        <f>+H100/J100</f>
        <v>1</v>
      </c>
      <c r="L100" s="241" t="s">
        <v>500</v>
      </c>
      <c r="M100" s="233">
        <v>1</v>
      </c>
      <c r="N100" s="1056"/>
      <c r="O100" s="1056"/>
      <c r="P100" s="1220"/>
      <c r="Q100" s="299" t="s">
        <v>497</v>
      </c>
      <c r="R100" s="321">
        <v>4</v>
      </c>
      <c r="S100" s="300" t="s">
        <v>593</v>
      </c>
      <c r="T100" s="338">
        <v>4</v>
      </c>
      <c r="U100" s="246">
        <f>+R100/T100</f>
        <v>1</v>
      </c>
      <c r="V100" s="241" t="s">
        <v>645</v>
      </c>
      <c r="W100" s="233">
        <v>1</v>
      </c>
      <c r="X100" s="1056"/>
      <c r="Y100" s="1056"/>
      <c r="Z100" s="1059"/>
      <c r="AA100" s="425" t="s">
        <v>497</v>
      </c>
      <c r="AB100" s="473">
        <v>4</v>
      </c>
      <c r="AC100" s="426" t="s">
        <v>722</v>
      </c>
      <c r="AD100" s="487">
        <v>4</v>
      </c>
      <c r="AE100" s="425" t="s">
        <v>497</v>
      </c>
      <c r="AF100" s="473">
        <v>4</v>
      </c>
      <c r="AG100" s="426" t="s">
        <v>723</v>
      </c>
      <c r="AH100" s="487">
        <v>4</v>
      </c>
      <c r="AI100" s="246">
        <f>+AB100/AD100</f>
        <v>1</v>
      </c>
      <c r="AJ100" s="241" t="s">
        <v>751</v>
      </c>
      <c r="AK100" s="233">
        <v>1</v>
      </c>
      <c r="AL100" s="1056"/>
      <c r="AM100" s="1056"/>
      <c r="AN100" s="1059"/>
      <c r="AO100" s="299" t="s">
        <v>497</v>
      </c>
      <c r="AP100" s="321">
        <v>4</v>
      </c>
      <c r="AQ100" s="300" t="s">
        <v>807</v>
      </c>
      <c r="AR100" s="566">
        <v>4</v>
      </c>
      <c r="AS100" s="246">
        <f>+AP100/AR100</f>
        <v>1</v>
      </c>
      <c r="AT100" s="241" t="s">
        <v>645</v>
      </c>
      <c r="AU100" s="233">
        <v>1</v>
      </c>
      <c r="AV100" s="1056"/>
      <c r="AW100" s="1056"/>
      <c r="AX100" s="1059"/>
      <c r="AY100" s="735" t="s">
        <v>497</v>
      </c>
      <c r="AZ100" s="739">
        <v>4</v>
      </c>
      <c r="BA100" s="737" t="s">
        <v>888</v>
      </c>
      <c r="BB100" s="838">
        <v>4</v>
      </c>
      <c r="BC100" s="246">
        <f>+AZ100/BB100</f>
        <v>1</v>
      </c>
      <c r="BD100" s="241" t="s">
        <v>917</v>
      </c>
      <c r="BE100" s="233">
        <v>1</v>
      </c>
      <c r="BF100" s="1056"/>
      <c r="BG100" s="1056"/>
      <c r="BH100" s="1059"/>
    </row>
    <row r="101" spans="1:60" ht="28.8" x14ac:dyDescent="0.3">
      <c r="A101" s="970"/>
      <c r="B101" s="973"/>
      <c r="C101" s="1163"/>
      <c r="D101" s="127" t="s">
        <v>910</v>
      </c>
      <c r="E101" s="127" t="s">
        <v>911</v>
      </c>
      <c r="F101" s="131" t="s">
        <v>912</v>
      </c>
      <c r="G101" s="107"/>
      <c r="H101" s="189"/>
      <c r="I101" s="176"/>
      <c r="J101" s="109"/>
      <c r="K101" s="246"/>
      <c r="L101" s="241"/>
      <c r="M101" s="233"/>
      <c r="N101" s="1056"/>
      <c r="O101" s="1056"/>
      <c r="P101" s="1220"/>
      <c r="Q101" s="299"/>
      <c r="R101" s="321"/>
      <c r="S101" s="300"/>
      <c r="T101" s="338"/>
      <c r="U101" s="875"/>
      <c r="V101" s="241"/>
      <c r="W101" s="233"/>
      <c r="X101" s="1056"/>
      <c r="Y101" s="1056"/>
      <c r="Z101" s="1059"/>
      <c r="AA101" s="425"/>
      <c r="AB101" s="473"/>
      <c r="AC101" s="426"/>
      <c r="AD101" s="487"/>
      <c r="AE101" s="425"/>
      <c r="AF101" s="473"/>
      <c r="AG101" s="426"/>
      <c r="AH101" s="487"/>
      <c r="AI101" s="875"/>
      <c r="AJ101" s="241"/>
      <c r="AK101" s="233"/>
      <c r="AL101" s="1056"/>
      <c r="AM101" s="1056"/>
      <c r="AN101" s="1059"/>
      <c r="AO101" s="299"/>
      <c r="AP101" s="321"/>
      <c r="AQ101" s="300"/>
      <c r="AR101" s="566"/>
      <c r="AS101" s="246"/>
      <c r="AT101" s="241"/>
      <c r="AU101" s="233"/>
      <c r="AV101" s="1056"/>
      <c r="AW101" s="1056"/>
      <c r="AX101" s="1059"/>
      <c r="AY101" s="735" t="s">
        <v>913</v>
      </c>
      <c r="AZ101" s="876">
        <v>46121</v>
      </c>
      <c r="BA101" s="737" t="s">
        <v>914</v>
      </c>
      <c r="BB101" s="838" t="s">
        <v>915</v>
      </c>
      <c r="BC101" s="246">
        <v>1</v>
      </c>
      <c r="BD101" s="241" t="s">
        <v>913</v>
      </c>
      <c r="BE101" s="233">
        <v>1</v>
      </c>
      <c r="BF101" s="1056"/>
      <c r="BG101" s="1056"/>
      <c r="BH101" s="1059"/>
    </row>
    <row r="102" spans="1:60" ht="28.8" x14ac:dyDescent="0.3">
      <c r="A102" s="970"/>
      <c r="B102" s="973"/>
      <c r="C102" s="2" t="s">
        <v>57</v>
      </c>
      <c r="D102" s="2" t="s">
        <v>58</v>
      </c>
      <c r="E102" s="2" t="s">
        <v>59</v>
      </c>
      <c r="F102" s="55" t="s">
        <v>60</v>
      </c>
      <c r="G102" s="232" t="s">
        <v>216</v>
      </c>
      <c r="H102" s="1207"/>
      <c r="I102" s="1207"/>
      <c r="J102" s="1208"/>
      <c r="K102" s="116"/>
      <c r="L102" s="58">
        <f>+L65</f>
        <v>0</v>
      </c>
      <c r="M102" s="71"/>
      <c r="N102" s="1057"/>
      <c r="O102" s="1057"/>
      <c r="P102" s="1221"/>
      <c r="Q102" s="295" t="s">
        <v>216</v>
      </c>
      <c r="R102" s="1062" t="s">
        <v>599</v>
      </c>
      <c r="S102" s="1062"/>
      <c r="T102" s="1063"/>
      <c r="U102" s="380" t="s">
        <v>201</v>
      </c>
      <c r="V102" s="395" t="s">
        <v>201</v>
      </c>
      <c r="W102" s="71" t="s">
        <v>201</v>
      </c>
      <c r="X102" s="1057"/>
      <c r="Y102" s="1057"/>
      <c r="Z102" s="1060"/>
      <c r="AA102" s="521" t="s">
        <v>216</v>
      </c>
      <c r="AB102" s="1076" t="s">
        <v>752</v>
      </c>
      <c r="AC102" s="1076"/>
      <c r="AD102" s="1077"/>
      <c r="AE102" s="521" t="s">
        <v>216</v>
      </c>
      <c r="AF102" s="1076" t="s">
        <v>752</v>
      </c>
      <c r="AG102" s="1076"/>
      <c r="AH102" s="1077"/>
      <c r="AI102" s="380" t="s">
        <v>201</v>
      </c>
      <c r="AJ102" s="395" t="s">
        <v>201</v>
      </c>
      <c r="AK102" s="71" t="s">
        <v>201</v>
      </c>
      <c r="AL102" s="1057"/>
      <c r="AM102" s="1057"/>
      <c r="AN102" s="1060"/>
      <c r="AO102" s="295" t="s">
        <v>216</v>
      </c>
      <c r="AP102" s="1062" t="s">
        <v>599</v>
      </c>
      <c r="AQ102" s="1062"/>
      <c r="AR102" s="1067"/>
      <c r="AS102" s="140" t="s">
        <v>201</v>
      </c>
      <c r="AT102" s="395" t="s">
        <v>201</v>
      </c>
      <c r="AU102" s="71" t="s">
        <v>201</v>
      </c>
      <c r="AV102" s="1057"/>
      <c r="AW102" s="1057"/>
      <c r="AX102" s="1060"/>
      <c r="AY102" s="790" t="s">
        <v>216</v>
      </c>
      <c r="AZ102" s="1263" t="s">
        <v>916</v>
      </c>
      <c r="BA102" s="1263"/>
      <c r="BB102" s="1264"/>
      <c r="BC102" s="140" t="s">
        <v>201</v>
      </c>
      <c r="BD102" s="395" t="s">
        <v>201</v>
      </c>
      <c r="BE102" s="71" t="s">
        <v>201</v>
      </c>
      <c r="BF102" s="1057"/>
      <c r="BG102" s="1057"/>
      <c r="BH102" s="1060"/>
    </row>
    <row r="103" spans="1:60" ht="29.4" thickBot="1" x14ac:dyDescent="0.35">
      <c r="A103" s="971"/>
      <c r="B103" s="1209"/>
      <c r="C103" s="59" t="s">
        <v>61</v>
      </c>
      <c r="D103" s="59" t="s">
        <v>62</v>
      </c>
      <c r="E103" s="59" t="s">
        <v>63</v>
      </c>
      <c r="F103" s="64" t="s">
        <v>64</v>
      </c>
      <c r="G103" s="1201"/>
      <c r="H103" s="1202"/>
      <c r="I103" s="1202"/>
      <c r="J103" s="1203"/>
      <c r="K103" s="234" t="s">
        <v>201</v>
      </c>
      <c r="L103" s="121" t="s">
        <v>201</v>
      </c>
      <c r="M103" s="72"/>
      <c r="N103" s="1058"/>
      <c r="O103" s="1058"/>
      <c r="P103" s="1222"/>
      <c r="Q103" s="1068"/>
      <c r="R103" s="1069"/>
      <c r="S103" s="1069"/>
      <c r="T103" s="1071"/>
      <c r="U103" s="394" t="s">
        <v>201</v>
      </c>
      <c r="V103" s="121" t="s">
        <v>201</v>
      </c>
      <c r="W103" s="72" t="s">
        <v>201</v>
      </c>
      <c r="X103" s="1058"/>
      <c r="Y103" s="1058"/>
      <c r="Z103" s="1061"/>
      <c r="AA103" s="1078"/>
      <c r="AB103" s="1079"/>
      <c r="AC103" s="1079"/>
      <c r="AD103" s="1080"/>
      <c r="AE103" s="1078"/>
      <c r="AF103" s="1079"/>
      <c r="AG103" s="1079"/>
      <c r="AH103" s="1080"/>
      <c r="AI103" s="394" t="s">
        <v>201</v>
      </c>
      <c r="AJ103" s="121" t="s">
        <v>201</v>
      </c>
      <c r="AK103" s="72" t="s">
        <v>201</v>
      </c>
      <c r="AL103" s="1058"/>
      <c r="AM103" s="1058"/>
      <c r="AN103" s="1061"/>
      <c r="AO103" s="1068"/>
      <c r="AP103" s="1069"/>
      <c r="AQ103" s="1069"/>
      <c r="AR103" s="1070"/>
      <c r="AS103" s="122" t="s">
        <v>201</v>
      </c>
      <c r="AT103" s="121" t="s">
        <v>201</v>
      </c>
      <c r="AU103" s="72" t="s">
        <v>201</v>
      </c>
      <c r="AV103" s="1058"/>
      <c r="AW103" s="1058"/>
      <c r="AX103" s="1061"/>
      <c r="AY103" s="1265"/>
      <c r="AZ103" s="1266"/>
      <c r="BA103" s="1266"/>
      <c r="BB103" s="1267"/>
      <c r="BC103" s="122" t="s">
        <v>201</v>
      </c>
      <c r="BD103" s="121" t="s">
        <v>201</v>
      </c>
      <c r="BE103" s="72" t="s">
        <v>201</v>
      </c>
      <c r="BF103" s="1058"/>
      <c r="BG103" s="1058"/>
      <c r="BH103" s="1061"/>
    </row>
    <row r="104" spans="1:60" x14ac:dyDescent="0.3">
      <c r="H104" s="56"/>
      <c r="P104" s="286">
        <f>SUM(P3:P103)</f>
        <v>0.79852417046858659</v>
      </c>
      <c r="R104" s="56"/>
      <c r="Z104" s="286">
        <f>SUM(Z3:Z103)</f>
        <v>0.82365211586858822</v>
      </c>
      <c r="AB104" s="56"/>
      <c r="AN104" s="284">
        <f>SUM(AN3:AN103)</f>
        <v>0.72271836919126509</v>
      </c>
      <c r="AP104" s="56"/>
      <c r="AX104" s="284">
        <f>SUM(AX3:AX103)</f>
        <v>0.72022526851646818</v>
      </c>
      <c r="AY104" s="52"/>
      <c r="AZ104" s="56"/>
      <c r="BA104" s="52"/>
      <c r="BB104" s="52"/>
      <c r="BC104" s="12"/>
      <c r="BD104" s="52"/>
      <c r="BE104" s="12"/>
      <c r="BH104" s="393">
        <f>SUM(BH3:BH103)</f>
        <v>0.84674720190587061</v>
      </c>
    </row>
    <row r="105" spans="1:60" x14ac:dyDescent="0.3">
      <c r="H105" s="56"/>
      <c r="R105" s="56"/>
      <c r="AB105" s="56"/>
      <c r="AP105" s="56"/>
    </row>
    <row r="106" spans="1:60" x14ac:dyDescent="0.3">
      <c r="H106" s="56"/>
      <c r="R106" s="56"/>
      <c r="AB106" s="56"/>
      <c r="AP106" s="56"/>
    </row>
    <row r="107" spans="1:60" x14ac:dyDescent="0.3">
      <c r="H107" s="56"/>
      <c r="R107" s="56"/>
      <c r="AB107" s="56"/>
      <c r="AP107" s="56"/>
    </row>
    <row r="108" spans="1:60" x14ac:dyDescent="0.3">
      <c r="H108" s="56"/>
      <c r="R108" s="56"/>
      <c r="AB108" s="56"/>
      <c r="AP108" s="56"/>
    </row>
    <row r="109" spans="1:60" x14ac:dyDescent="0.3">
      <c r="H109" s="56"/>
      <c r="R109" s="56"/>
      <c r="AB109" s="56"/>
      <c r="AP109" s="56"/>
    </row>
    <row r="110" spans="1:60" x14ac:dyDescent="0.3">
      <c r="H110" s="56"/>
      <c r="R110" s="56"/>
      <c r="AB110" s="56"/>
      <c r="AP110" s="56"/>
    </row>
    <row r="119" spans="1:46" x14ac:dyDescent="0.3">
      <c r="R119" s="349">
        <f>217/1533</f>
        <v>0.14155251141552511</v>
      </c>
      <c r="AB119" s="349">
        <f>217/1533</f>
        <v>0.14155251141552511</v>
      </c>
      <c r="AP119" s="349">
        <f>217/1533</f>
        <v>0.14155251141552511</v>
      </c>
    </row>
    <row r="128" spans="1:46" ht="28.8" x14ac:dyDescent="0.3">
      <c r="A128" s="51"/>
      <c r="B128" s="5"/>
      <c r="C128" s="2" t="s">
        <v>65</v>
      </c>
      <c r="D128" s="2" t="s">
        <v>66</v>
      </c>
      <c r="E128" s="2" t="s">
        <v>67</v>
      </c>
      <c r="F128" s="2" t="s">
        <v>68</v>
      </c>
      <c r="G128" s="53" t="s">
        <v>193</v>
      </c>
      <c r="H128" s="52">
        <v>21</v>
      </c>
      <c r="I128" s="52">
        <v>15</v>
      </c>
      <c r="J128" s="54" t="s">
        <v>194</v>
      </c>
      <c r="K128" s="12">
        <v>6</v>
      </c>
      <c r="L128" s="52" t="s">
        <v>195</v>
      </c>
      <c r="Q128" s="53" t="s">
        <v>193</v>
      </c>
      <c r="R128" s="52">
        <v>21</v>
      </c>
      <c r="S128" s="52">
        <v>15</v>
      </c>
      <c r="T128" s="54" t="s">
        <v>194</v>
      </c>
      <c r="U128" s="12">
        <v>6</v>
      </c>
      <c r="V128" s="52" t="s">
        <v>195</v>
      </c>
      <c r="AA128" s="53" t="s">
        <v>193</v>
      </c>
      <c r="AB128" s="52">
        <v>21</v>
      </c>
      <c r="AC128" s="52">
        <v>15</v>
      </c>
      <c r="AD128" s="54" t="s">
        <v>194</v>
      </c>
      <c r="AE128" s="54"/>
      <c r="AF128" s="54"/>
      <c r="AG128" s="54"/>
      <c r="AH128" s="54"/>
      <c r="AI128" s="12">
        <v>6</v>
      </c>
      <c r="AJ128" s="52" t="s">
        <v>195</v>
      </c>
      <c r="AO128" s="53" t="s">
        <v>193</v>
      </c>
      <c r="AP128" s="52">
        <v>21</v>
      </c>
      <c r="AQ128" s="52">
        <v>15</v>
      </c>
      <c r="AR128" s="54" t="s">
        <v>194</v>
      </c>
      <c r="AS128" s="12">
        <v>6</v>
      </c>
      <c r="AT128" s="52" t="s">
        <v>195</v>
      </c>
    </row>
    <row r="129" spans="1:41" ht="28.8" x14ac:dyDescent="0.3">
      <c r="A129" s="51"/>
      <c r="B129" s="5"/>
      <c r="C129" s="2" t="s">
        <v>69</v>
      </c>
      <c r="D129" s="2" t="s">
        <v>70</v>
      </c>
      <c r="E129" s="2" t="s">
        <v>71</v>
      </c>
      <c r="F129" s="2" t="s">
        <v>72</v>
      </c>
      <c r="G129" s="53" t="s">
        <v>168</v>
      </c>
      <c r="Q129" s="53" t="s">
        <v>168</v>
      </c>
      <c r="AA129" s="53" t="s">
        <v>168</v>
      </c>
      <c r="AO129" s="53" t="s">
        <v>168</v>
      </c>
    </row>
    <row r="152" spans="6:42" x14ac:dyDescent="0.3">
      <c r="F152" s="194" t="s">
        <v>405</v>
      </c>
      <c r="G152" s="194" t="s">
        <v>406</v>
      </c>
      <c r="H152" s="194" t="s">
        <v>407</v>
      </c>
      <c r="Q152" s="194" t="s">
        <v>406</v>
      </c>
      <c r="R152" s="194" t="s">
        <v>407</v>
      </c>
      <c r="AA152" s="194" t="s">
        <v>406</v>
      </c>
      <c r="AB152" s="194" t="s">
        <v>407</v>
      </c>
      <c r="AO152" s="194" t="s">
        <v>406</v>
      </c>
      <c r="AP152" s="194" t="s">
        <v>407</v>
      </c>
    </row>
    <row r="153" spans="6:42" ht="28.8" x14ac:dyDescent="0.3">
      <c r="F153" s="168" t="s">
        <v>408</v>
      </c>
      <c r="G153" s="168" t="s">
        <v>409</v>
      </c>
      <c r="H153" s="168" t="s">
        <v>410</v>
      </c>
      <c r="Q153" s="168" t="s">
        <v>409</v>
      </c>
      <c r="R153" s="168" t="s">
        <v>410</v>
      </c>
      <c r="AA153" s="168" t="s">
        <v>409</v>
      </c>
      <c r="AB153" s="168" t="s">
        <v>410</v>
      </c>
      <c r="AO153" s="168" t="s">
        <v>409</v>
      </c>
      <c r="AP153" s="168" t="s">
        <v>410</v>
      </c>
    </row>
    <row r="154" spans="6:42" ht="28.8" x14ac:dyDescent="0.3">
      <c r="F154" s="168" t="s">
        <v>411</v>
      </c>
      <c r="G154" s="168" t="s">
        <v>412</v>
      </c>
      <c r="H154" s="168" t="s">
        <v>413</v>
      </c>
      <c r="Q154" s="168" t="s">
        <v>412</v>
      </c>
      <c r="R154" s="168" t="s">
        <v>413</v>
      </c>
      <c r="AA154" s="168" t="s">
        <v>412</v>
      </c>
      <c r="AB154" s="168" t="s">
        <v>413</v>
      </c>
      <c r="AO154" s="168" t="s">
        <v>412</v>
      </c>
      <c r="AP154" s="168" t="s">
        <v>413</v>
      </c>
    </row>
    <row r="155" spans="6:42" ht="28.8" x14ac:dyDescent="0.3">
      <c r="F155" s="168" t="s">
        <v>414</v>
      </c>
      <c r="G155" s="168" t="s">
        <v>415</v>
      </c>
      <c r="H155" s="168" t="s">
        <v>416</v>
      </c>
      <c r="Q155" s="168" t="s">
        <v>415</v>
      </c>
      <c r="R155" s="168" t="s">
        <v>416</v>
      </c>
      <c r="AA155" s="168" t="s">
        <v>415</v>
      </c>
      <c r="AB155" s="168" t="s">
        <v>416</v>
      </c>
      <c r="AO155" s="168" t="s">
        <v>415</v>
      </c>
      <c r="AP155" s="168" t="s">
        <v>416</v>
      </c>
    </row>
    <row r="156" spans="6:42" ht="43.2" customHeight="1" x14ac:dyDescent="0.3">
      <c r="F156" s="168" t="s">
        <v>417</v>
      </c>
      <c r="G156" s="168" t="s">
        <v>418</v>
      </c>
      <c r="H156" s="168" t="s">
        <v>419</v>
      </c>
      <c r="Q156" s="168" t="s">
        <v>418</v>
      </c>
      <c r="R156" s="168" t="s">
        <v>419</v>
      </c>
      <c r="AA156" s="168" t="s">
        <v>418</v>
      </c>
      <c r="AB156" s="168" t="s">
        <v>419</v>
      </c>
      <c r="AO156" s="168" t="s">
        <v>418</v>
      </c>
      <c r="AP156" s="168" t="s">
        <v>419</v>
      </c>
    </row>
    <row r="157" spans="6:42" x14ac:dyDescent="0.3">
      <c r="F157" s="168"/>
      <c r="G157" s="168"/>
      <c r="H157" s="168"/>
      <c r="Q157" s="168"/>
      <c r="R157" s="168"/>
      <c r="AA157" s="168"/>
      <c r="AB157" s="168"/>
      <c r="AO157" s="168"/>
      <c r="AP157" s="168"/>
    </row>
    <row r="158" spans="6:42" x14ac:dyDescent="0.3">
      <c r="F158" s="168"/>
      <c r="G158" s="168"/>
      <c r="H158" s="168"/>
      <c r="Q158" s="168"/>
      <c r="R158" s="168"/>
      <c r="AA158" s="168"/>
      <c r="AB158" s="168"/>
      <c r="AO158" s="168"/>
      <c r="AP158" s="168"/>
    </row>
    <row r="159" spans="6:42" x14ac:dyDescent="0.3">
      <c r="G159"/>
      <c r="H159"/>
      <c r="Q159"/>
      <c r="R159"/>
      <c r="AA159"/>
      <c r="AB159"/>
      <c r="AO159"/>
      <c r="AP159"/>
    </row>
    <row r="160" spans="6:42" x14ac:dyDescent="0.3">
      <c r="G160"/>
      <c r="H160"/>
      <c r="Q160"/>
      <c r="R160"/>
      <c r="AA160"/>
      <c r="AB160"/>
      <c r="AO160"/>
      <c r="AP160"/>
    </row>
  </sheetData>
  <mergeCells count="335">
    <mergeCell ref="AY99:BB99"/>
    <mergeCell ref="BF99:BF103"/>
    <mergeCell ref="BG99:BG103"/>
    <mergeCell ref="BH99:BH103"/>
    <mergeCell ref="AZ102:BB102"/>
    <mergeCell ref="AY103:BB103"/>
    <mergeCell ref="BC64:BC73"/>
    <mergeCell ref="BD64:BD73"/>
    <mergeCell ref="BE64:BE73"/>
    <mergeCell ref="BF64:BF98"/>
    <mergeCell ref="BG64:BG98"/>
    <mergeCell ref="BH64:BH98"/>
    <mergeCell ref="BC74:BC94"/>
    <mergeCell ref="BD74:BD94"/>
    <mergeCell ref="BE74:BE94"/>
    <mergeCell ref="BC95:BC98"/>
    <mergeCell ref="BD95:BD98"/>
    <mergeCell ref="BE95:BE98"/>
    <mergeCell ref="AY64:BB64"/>
    <mergeCell ref="AY69:BB69"/>
    <mergeCell ref="BE50:BE52"/>
    <mergeCell ref="BC53:BC57"/>
    <mergeCell ref="BD53:BD57"/>
    <mergeCell ref="BE53:BE57"/>
    <mergeCell ref="BF53:BF63"/>
    <mergeCell ref="BG53:BG63"/>
    <mergeCell ref="BH53:BH63"/>
    <mergeCell ref="AY58:BB58"/>
    <mergeCell ref="AZ59:BB59"/>
    <mergeCell ref="BC60:BC63"/>
    <mergeCell ref="BD60:BD63"/>
    <mergeCell ref="BE60:BE63"/>
    <mergeCell ref="AY1:BH1"/>
    <mergeCell ref="AY2:BB2"/>
    <mergeCell ref="BC2:BD2"/>
    <mergeCell ref="BF3:BF52"/>
    <mergeCell ref="BG3:BG52"/>
    <mergeCell ref="BH3:BH52"/>
    <mergeCell ref="BD4:BD5"/>
    <mergeCell ref="BD8:BD9"/>
    <mergeCell ref="BD10:BD11"/>
    <mergeCell ref="BE10:BE11"/>
    <mergeCell ref="BD12:BD13"/>
    <mergeCell ref="BE12:BE13"/>
    <mergeCell ref="BC17:BC18"/>
    <mergeCell ref="BD17:BD18"/>
    <mergeCell ref="BE17:BE18"/>
    <mergeCell ref="BB19:BB37"/>
    <mergeCell ref="BC19:BC37"/>
    <mergeCell ref="BD19:BD37"/>
    <mergeCell ref="BE19:BE37"/>
    <mergeCell ref="BC38:BC49"/>
    <mergeCell ref="BD38:BD49"/>
    <mergeCell ref="BE38:BE49"/>
    <mergeCell ref="BC50:BC52"/>
    <mergeCell ref="BD50:BD52"/>
    <mergeCell ref="AN64:AN98"/>
    <mergeCell ref="AI74:AI94"/>
    <mergeCell ref="AJ74:AJ94"/>
    <mergeCell ref="AK74:AK94"/>
    <mergeCell ref="AI95:AI98"/>
    <mergeCell ref="AJ95:AJ98"/>
    <mergeCell ref="AK95:AK98"/>
    <mergeCell ref="AI64:AI73"/>
    <mergeCell ref="AJ64:AJ73"/>
    <mergeCell ref="AK64:AK73"/>
    <mergeCell ref="AL64:AL98"/>
    <mergeCell ref="AM64:AM98"/>
    <mergeCell ref="AM53:AM63"/>
    <mergeCell ref="AN53:AN63"/>
    <mergeCell ref="AA58:AD58"/>
    <mergeCell ref="AB59:AD59"/>
    <mergeCell ref="AI60:AI63"/>
    <mergeCell ref="AJ60:AJ63"/>
    <mergeCell ref="AK60:AK63"/>
    <mergeCell ref="AL3:AL52"/>
    <mergeCell ref="AM3:AM52"/>
    <mergeCell ref="AN3:AN52"/>
    <mergeCell ref="AJ4:AJ5"/>
    <mergeCell ref="AJ8:AJ9"/>
    <mergeCell ref="AI17:AI18"/>
    <mergeCell ref="AJ17:AJ18"/>
    <mergeCell ref="AI38:AI49"/>
    <mergeCell ref="AJ38:AJ49"/>
    <mergeCell ref="AK38:AK49"/>
    <mergeCell ref="AI50:AI52"/>
    <mergeCell ref="AJ50:AJ52"/>
    <mergeCell ref="AK50:AK52"/>
    <mergeCell ref="AI53:AI57"/>
    <mergeCell ref="AJ53:AJ57"/>
    <mergeCell ref="AK53:AK57"/>
    <mergeCell ref="AL53:AL63"/>
    <mergeCell ref="AD19:AD37"/>
    <mergeCell ref="AI19:AI37"/>
    <mergeCell ref="AJ19:AJ37"/>
    <mergeCell ref="AK19:AK37"/>
    <mergeCell ref="AK17:AK18"/>
    <mergeCell ref="AA1:AN1"/>
    <mergeCell ref="AA2:AD2"/>
    <mergeCell ref="AI2:AJ2"/>
    <mergeCell ref="AJ10:AJ11"/>
    <mergeCell ref="AK10:AK11"/>
    <mergeCell ref="AJ12:AJ13"/>
    <mergeCell ref="AK12:AK13"/>
    <mergeCell ref="AE2:AH2"/>
    <mergeCell ref="AH19:AH37"/>
    <mergeCell ref="AE58:AH58"/>
    <mergeCell ref="AF59:AH59"/>
    <mergeCell ref="AI10:AI11"/>
    <mergeCell ref="AI12:AI13"/>
    <mergeCell ref="O99:O103"/>
    <mergeCell ref="P99:P103"/>
    <mergeCell ref="M74:M94"/>
    <mergeCell ref="N99:N103"/>
    <mergeCell ref="M95:M98"/>
    <mergeCell ref="P3:P52"/>
    <mergeCell ref="O53:O63"/>
    <mergeCell ref="P53:P63"/>
    <mergeCell ref="O64:O98"/>
    <mergeCell ref="P64:P98"/>
    <mergeCell ref="O3:O52"/>
    <mergeCell ref="N53:N63"/>
    <mergeCell ref="M50:M52"/>
    <mergeCell ref="M60:M63"/>
    <mergeCell ref="M53:M57"/>
    <mergeCell ref="N3:N52"/>
    <mergeCell ref="N64:N98"/>
    <mergeCell ref="M19:M37"/>
    <mergeCell ref="M10:M11"/>
    <mergeCell ref="M12:M13"/>
    <mergeCell ref="A99:A103"/>
    <mergeCell ref="G103:J103"/>
    <mergeCell ref="L74:L94"/>
    <mergeCell ref="F74:F94"/>
    <mergeCell ref="E74:E94"/>
    <mergeCell ref="G99:J99"/>
    <mergeCell ref="H102:J102"/>
    <mergeCell ref="B99:B103"/>
    <mergeCell ref="K74:K94"/>
    <mergeCell ref="C95:C98"/>
    <mergeCell ref="D74:D94"/>
    <mergeCell ref="K95:K98"/>
    <mergeCell ref="L95:L98"/>
    <mergeCell ref="F95:F98"/>
    <mergeCell ref="E95:E98"/>
    <mergeCell ref="D95:D98"/>
    <mergeCell ref="C74:C94"/>
    <mergeCell ref="B64:B98"/>
    <mergeCell ref="A64:A98"/>
    <mergeCell ref="C64:C73"/>
    <mergeCell ref="C100:C101"/>
    <mergeCell ref="C53:C57"/>
    <mergeCell ref="D53:D57"/>
    <mergeCell ref="E53:E57"/>
    <mergeCell ref="F53:F57"/>
    <mergeCell ref="L64:L73"/>
    <mergeCell ref="F64:F73"/>
    <mergeCell ref="E64:E73"/>
    <mergeCell ref="G59:J59"/>
    <mergeCell ref="D64:D73"/>
    <mergeCell ref="K64:K73"/>
    <mergeCell ref="K60:K63"/>
    <mergeCell ref="F60:F63"/>
    <mergeCell ref="E60:E63"/>
    <mergeCell ref="D60:D63"/>
    <mergeCell ref="L60:L63"/>
    <mergeCell ref="L53:L57"/>
    <mergeCell ref="K53:K57"/>
    <mergeCell ref="G58:J58"/>
    <mergeCell ref="C60:C63"/>
    <mergeCell ref="B53:B63"/>
    <mergeCell ref="A53:A63"/>
    <mergeCell ref="A3:A52"/>
    <mergeCell ref="F50:F52"/>
    <mergeCell ref="A1:F1"/>
    <mergeCell ref="G1:P1"/>
    <mergeCell ref="B3:B52"/>
    <mergeCell ref="C50:C52"/>
    <mergeCell ref="D50:D52"/>
    <mergeCell ref="E50:E52"/>
    <mergeCell ref="C19:C37"/>
    <mergeCell ref="E10:E11"/>
    <mergeCell ref="F10:F11"/>
    <mergeCell ref="E12:E13"/>
    <mergeCell ref="F12:F13"/>
    <mergeCell ref="C4:C5"/>
    <mergeCell ref="K2:L2"/>
    <mergeCell ref="G2:J2"/>
    <mergeCell ref="C8:C9"/>
    <mergeCell ref="D8:D9"/>
    <mergeCell ref="E8:E9"/>
    <mergeCell ref="F8:F9"/>
    <mergeCell ref="D4:D5"/>
    <mergeCell ref="F38:F49"/>
    <mergeCell ref="C38:C49"/>
    <mergeCell ref="L4:L5"/>
    <mergeCell ref="L8:L9"/>
    <mergeCell ref="L10:L11"/>
    <mergeCell ref="L12:L13"/>
    <mergeCell ref="E19:F37"/>
    <mergeCell ref="J19:J37"/>
    <mergeCell ref="K19:K37"/>
    <mergeCell ref="E4:E5"/>
    <mergeCell ref="F4:F5"/>
    <mergeCell ref="D19:D37"/>
    <mergeCell ref="L19:L37"/>
    <mergeCell ref="K38:K49"/>
    <mergeCell ref="L38:L49"/>
    <mergeCell ref="C17:C18"/>
    <mergeCell ref="F17:F18"/>
    <mergeCell ref="E17:E18"/>
    <mergeCell ref="D17:D18"/>
    <mergeCell ref="E38:E49"/>
    <mergeCell ref="D38:D49"/>
    <mergeCell ref="Q1:Z1"/>
    <mergeCell ref="Q2:T2"/>
    <mergeCell ref="U2:V2"/>
    <mergeCell ref="X3:X52"/>
    <mergeCell ref="Y3:Y52"/>
    <mergeCell ref="Z3:Z52"/>
    <mergeCell ref="V4:V5"/>
    <mergeCell ref="V8:V9"/>
    <mergeCell ref="V10:V11"/>
    <mergeCell ref="W10:W11"/>
    <mergeCell ref="V12:V13"/>
    <mergeCell ref="W12:W13"/>
    <mergeCell ref="T19:T37"/>
    <mergeCell ref="U19:U37"/>
    <mergeCell ref="V19:V37"/>
    <mergeCell ref="W19:W37"/>
    <mergeCell ref="U38:U49"/>
    <mergeCell ref="V38:V49"/>
    <mergeCell ref="W38:W49"/>
    <mergeCell ref="U50:U52"/>
    <mergeCell ref="V50:V52"/>
    <mergeCell ref="W50:W52"/>
    <mergeCell ref="W17:W18"/>
    <mergeCell ref="V17:V18"/>
    <mergeCell ref="Y64:Y98"/>
    <mergeCell ref="Z64:Z98"/>
    <mergeCell ref="U74:U94"/>
    <mergeCell ref="V74:V94"/>
    <mergeCell ref="W74:W94"/>
    <mergeCell ref="U95:U98"/>
    <mergeCell ref="V95:V98"/>
    <mergeCell ref="W95:W98"/>
    <mergeCell ref="U53:U57"/>
    <mergeCell ref="V53:V57"/>
    <mergeCell ref="W53:W57"/>
    <mergeCell ref="X53:X63"/>
    <mergeCell ref="Y53:Y63"/>
    <mergeCell ref="Z53:Z63"/>
    <mergeCell ref="U60:U63"/>
    <mergeCell ref="V60:V63"/>
    <mergeCell ref="W60:W63"/>
    <mergeCell ref="U17:U18"/>
    <mergeCell ref="U64:U73"/>
    <mergeCell ref="V64:V73"/>
    <mergeCell ref="W64:W73"/>
    <mergeCell ref="X64:X98"/>
    <mergeCell ref="Q58:T58"/>
    <mergeCell ref="R59:T59"/>
    <mergeCell ref="K50:K52"/>
    <mergeCell ref="L50:L52"/>
    <mergeCell ref="M38:M49"/>
    <mergeCell ref="M64:M73"/>
    <mergeCell ref="AO1:AX1"/>
    <mergeCell ref="AO2:AR2"/>
    <mergeCell ref="AS2:AT2"/>
    <mergeCell ref="AV3:AV52"/>
    <mergeCell ref="AW3:AW52"/>
    <mergeCell ref="AX3:AX52"/>
    <mergeCell ref="AT4:AT5"/>
    <mergeCell ref="AT8:AT9"/>
    <mergeCell ref="AT10:AT11"/>
    <mergeCell ref="AU10:AU11"/>
    <mergeCell ref="AT12:AT13"/>
    <mergeCell ref="AU12:AU13"/>
    <mergeCell ref="AS17:AS18"/>
    <mergeCell ref="AT17:AT18"/>
    <mergeCell ref="AU17:AU18"/>
    <mergeCell ref="AR19:AR37"/>
    <mergeCell ref="AS19:AS37"/>
    <mergeCell ref="AT19:AT37"/>
    <mergeCell ref="AU19:AU37"/>
    <mergeCell ref="AS38:AS49"/>
    <mergeCell ref="AT38:AT49"/>
    <mergeCell ref="AU38:AU49"/>
    <mergeCell ref="AS50:AS52"/>
    <mergeCell ref="AT50:AT52"/>
    <mergeCell ref="AU50:AU52"/>
    <mergeCell ref="AS53:AS57"/>
    <mergeCell ref="AT53:AT57"/>
    <mergeCell ref="AU53:AU57"/>
    <mergeCell ref="AV53:AV63"/>
    <mergeCell ref="AW53:AW63"/>
    <mergeCell ref="AX53:AX63"/>
    <mergeCell ref="AO58:AR58"/>
    <mergeCell ref="AP59:AR59"/>
    <mergeCell ref="AS60:AS63"/>
    <mergeCell ref="AT60:AT63"/>
    <mergeCell ref="AU60:AU63"/>
    <mergeCell ref="AS64:AS73"/>
    <mergeCell ref="AT64:AT73"/>
    <mergeCell ref="AU64:AU73"/>
    <mergeCell ref="AV64:AV98"/>
    <mergeCell ref="AW64:AW98"/>
    <mergeCell ref="AX64:AX98"/>
    <mergeCell ref="AS74:AS94"/>
    <mergeCell ref="AT74:AT94"/>
    <mergeCell ref="AU74:AU94"/>
    <mergeCell ref="AS95:AS98"/>
    <mergeCell ref="AT95:AT98"/>
    <mergeCell ref="AU95:AU98"/>
    <mergeCell ref="Y99:Y103"/>
    <mergeCell ref="Z99:Z103"/>
    <mergeCell ref="R102:T102"/>
    <mergeCell ref="AO99:AR99"/>
    <mergeCell ref="AV99:AV103"/>
    <mergeCell ref="AW99:AW103"/>
    <mergeCell ref="AX99:AX103"/>
    <mergeCell ref="AP102:AR102"/>
    <mergeCell ref="AO103:AR103"/>
    <mergeCell ref="Q103:T103"/>
    <mergeCell ref="Q99:T99"/>
    <mergeCell ref="X99:X103"/>
    <mergeCell ref="AE99:AH99"/>
    <mergeCell ref="AA99:AD99"/>
    <mergeCell ref="AL99:AL103"/>
    <mergeCell ref="AM99:AM103"/>
    <mergeCell ref="AN99:AN103"/>
    <mergeCell ref="AB102:AD102"/>
    <mergeCell ref="AA103:AD103"/>
    <mergeCell ref="AF102:AH102"/>
    <mergeCell ref="AE103:AH103"/>
  </mergeCells>
  <phoneticPr fontId="8"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09ED-4D87-422E-BDA6-CF26E2F8F714}">
  <dimension ref="A1:Z111"/>
  <sheetViews>
    <sheetView topLeftCell="A50" zoomScale="53" zoomScaleNormal="85" workbookViewId="0">
      <selection activeCell="Q8" sqref="Q8:V18"/>
    </sheetView>
  </sheetViews>
  <sheetFormatPr baseColWidth="10" defaultRowHeight="14.4" outlineLevelCol="1" x14ac:dyDescent="0.3"/>
  <cols>
    <col min="2" max="2" width="27.88671875" customWidth="1"/>
    <col min="3" max="3" width="43.77734375" customWidth="1"/>
    <col min="4" max="4" width="38.88671875" customWidth="1"/>
    <col min="5" max="5" width="31.44140625" customWidth="1"/>
    <col min="6" max="6" width="37.88671875" customWidth="1"/>
    <col min="7" max="7" width="23.5546875" style="52" hidden="1" customWidth="1" outlineLevel="1"/>
    <col min="8" max="8" width="18.109375" style="52" hidden="1" customWidth="1" outlineLevel="1"/>
    <col min="9" max="9" width="13" style="52" hidden="1" customWidth="1" outlineLevel="1"/>
    <col min="10" max="10" width="11.5546875" style="52" hidden="1" customWidth="1" outlineLevel="1"/>
    <col min="11" max="11" width="11.5546875" style="12" hidden="1" customWidth="1" outlineLevel="1"/>
    <col min="12" max="12" width="44.33203125" style="52" hidden="1" customWidth="1" outlineLevel="1"/>
    <col min="13" max="13" width="16.6640625" style="12" hidden="1" customWidth="1" outlineLevel="1"/>
    <col min="14" max="15" width="11.5546875" hidden="1" customWidth="1" outlineLevel="1"/>
    <col min="16" max="16" width="22.6640625" customWidth="1" collapsed="1"/>
    <col min="17" max="17" width="23.109375" customWidth="1"/>
    <col min="18" max="18" width="16.6640625" bestFit="1" customWidth="1"/>
    <col min="19" max="19" width="15.21875" bestFit="1" customWidth="1"/>
    <col min="21" max="21" width="12.88671875" bestFit="1" customWidth="1"/>
    <col min="22" max="22" width="50.88671875" customWidth="1"/>
    <col min="23" max="23" width="21.88671875" customWidth="1"/>
    <col min="24" max="24" width="17.77734375" customWidth="1"/>
    <col min="26" max="26" width="21.21875" customWidth="1"/>
  </cols>
  <sheetData>
    <row r="1" spans="1:26" s="133" customFormat="1" ht="39" customHeight="1" thickBot="1" x14ac:dyDescent="0.35">
      <c r="A1" s="1276" t="s">
        <v>242</v>
      </c>
      <c r="B1" s="1277"/>
      <c r="C1" s="1277"/>
      <c r="D1" s="1277"/>
      <c r="E1" s="1277"/>
      <c r="F1" s="1277"/>
      <c r="G1" s="1278">
        <v>45870</v>
      </c>
      <c r="H1" s="1279"/>
      <c r="I1" s="1279"/>
      <c r="J1" s="1279"/>
      <c r="K1" s="1279"/>
      <c r="L1" s="1279"/>
      <c r="M1" s="1279"/>
      <c r="N1" s="1279"/>
      <c r="O1" s="1279"/>
      <c r="P1" s="1280"/>
      <c r="Q1" s="1303">
        <v>45901</v>
      </c>
      <c r="R1" s="1304"/>
      <c r="S1" s="1304"/>
      <c r="T1" s="1304"/>
      <c r="U1" s="1304"/>
      <c r="V1" s="1304"/>
      <c r="W1" s="1304"/>
      <c r="X1" s="1304"/>
      <c r="Y1" s="1304"/>
      <c r="Z1" s="1305"/>
    </row>
    <row r="2" spans="1:26" ht="29.4" thickBot="1" x14ac:dyDescent="0.35">
      <c r="A2" s="61" t="s">
        <v>123</v>
      </c>
      <c r="B2" s="3" t="s">
        <v>0</v>
      </c>
      <c r="C2" s="3" t="s">
        <v>1</v>
      </c>
      <c r="D2" s="3" t="s">
        <v>2</v>
      </c>
      <c r="E2" s="3" t="s">
        <v>3</v>
      </c>
      <c r="F2" s="62" t="s">
        <v>4</v>
      </c>
      <c r="G2" s="1289" t="s">
        <v>132</v>
      </c>
      <c r="H2" s="1290"/>
      <c r="I2" s="1290"/>
      <c r="J2" s="1290"/>
      <c r="K2" s="1287" t="s">
        <v>219</v>
      </c>
      <c r="L2" s="1288"/>
      <c r="M2" s="69" t="s">
        <v>88</v>
      </c>
      <c r="N2" s="60" t="s">
        <v>92</v>
      </c>
      <c r="O2" s="60" t="s">
        <v>220</v>
      </c>
      <c r="P2" s="68" t="s">
        <v>221</v>
      </c>
      <c r="Q2" s="1289" t="s">
        <v>132</v>
      </c>
      <c r="R2" s="1290"/>
      <c r="S2" s="1290"/>
      <c r="T2" s="1290"/>
      <c r="U2" s="1287" t="s">
        <v>262</v>
      </c>
      <c r="V2" s="1288"/>
      <c r="W2" s="69" t="s">
        <v>88</v>
      </c>
      <c r="X2" s="60" t="s">
        <v>92</v>
      </c>
      <c r="Y2" s="60" t="s">
        <v>220</v>
      </c>
      <c r="Z2" s="68" t="s">
        <v>263</v>
      </c>
    </row>
    <row r="3" spans="1:26" ht="28.8" x14ac:dyDescent="0.3">
      <c r="A3" s="993">
        <v>0.3</v>
      </c>
      <c r="B3" s="1180" t="s">
        <v>5</v>
      </c>
      <c r="C3" s="57" t="s">
        <v>6</v>
      </c>
      <c r="D3" s="57" t="s">
        <v>7</v>
      </c>
      <c r="E3" s="57" t="s">
        <v>8</v>
      </c>
      <c r="F3" s="63" t="s">
        <v>9</v>
      </c>
      <c r="G3" s="83" t="s">
        <v>3</v>
      </c>
      <c r="H3" s="84">
        <v>20</v>
      </c>
      <c r="I3" s="85" t="s">
        <v>133</v>
      </c>
      <c r="J3" s="86">
        <v>11</v>
      </c>
      <c r="K3" s="73">
        <f>+J3/H3</f>
        <v>0.55000000000000004</v>
      </c>
      <c r="L3" s="58" t="s">
        <v>196</v>
      </c>
      <c r="M3" s="70">
        <f>+K3</f>
        <v>0.55000000000000004</v>
      </c>
      <c r="N3" s="976">
        <v>0.3</v>
      </c>
      <c r="O3" s="976">
        <f>(M3+M4+M5+M8+M9+M11+M13+M19+M29)/9</f>
        <v>0.71629629629629632</v>
      </c>
      <c r="P3" s="978">
        <f>+N3*O3</f>
        <v>0.21488888888888888</v>
      </c>
      <c r="Q3" s="83" t="s">
        <v>3</v>
      </c>
      <c r="R3" s="84">
        <v>20</v>
      </c>
      <c r="S3" s="85" t="s">
        <v>133</v>
      </c>
      <c r="T3" s="86">
        <v>20</v>
      </c>
      <c r="U3" s="74">
        <v>1</v>
      </c>
      <c r="V3" s="58" t="s">
        <v>243</v>
      </c>
      <c r="W3" s="70">
        <v>1</v>
      </c>
      <c r="X3" s="976">
        <v>0.3</v>
      </c>
      <c r="Y3" s="976">
        <f>SUM(W3:W31)/13</f>
        <v>0.6283333333333333</v>
      </c>
      <c r="Z3" s="978">
        <f>+X3*Y3</f>
        <v>0.18849999999999997</v>
      </c>
    </row>
    <row r="4" spans="1:26" ht="172.8" customHeight="1" x14ac:dyDescent="0.3">
      <c r="A4" s="994"/>
      <c r="B4" s="1182"/>
      <c r="C4" s="2" t="s">
        <v>10</v>
      </c>
      <c r="D4" s="2" t="s">
        <v>11</v>
      </c>
      <c r="E4" s="2" t="s">
        <v>12</v>
      </c>
      <c r="F4" s="55" t="s">
        <v>13</v>
      </c>
      <c r="G4" s="87" t="s">
        <v>136</v>
      </c>
      <c r="H4" s="88" t="s">
        <v>134</v>
      </c>
      <c r="I4" s="89" t="s">
        <v>137</v>
      </c>
      <c r="J4" s="90" t="s">
        <v>135</v>
      </c>
      <c r="K4" s="74">
        <f>(J4/H4)-1</f>
        <v>-0.86119507091374103</v>
      </c>
      <c r="L4" s="66" t="s">
        <v>138</v>
      </c>
      <c r="M4" s="71">
        <v>1</v>
      </c>
      <c r="N4" s="976"/>
      <c r="O4" s="976"/>
      <c r="P4" s="978"/>
      <c r="Q4" s="87" t="s">
        <v>137</v>
      </c>
      <c r="R4" s="134">
        <v>1194</v>
      </c>
      <c r="S4" s="89" t="s">
        <v>244</v>
      </c>
      <c r="T4" s="135" t="s">
        <v>245</v>
      </c>
      <c r="U4" s="74">
        <v>-0.05</v>
      </c>
      <c r="V4" s="66" t="s">
        <v>246</v>
      </c>
      <c r="W4" s="71">
        <v>1</v>
      </c>
      <c r="X4" s="976"/>
      <c r="Y4" s="976"/>
      <c r="Z4" s="978"/>
    </row>
    <row r="5" spans="1:26" ht="28.8" customHeight="1" x14ac:dyDescent="0.3">
      <c r="A5" s="994"/>
      <c r="B5" s="1182"/>
      <c r="C5" s="75" t="s">
        <v>271</v>
      </c>
      <c r="D5" s="75" t="s">
        <v>14</v>
      </c>
      <c r="E5" s="75" t="s">
        <v>278</v>
      </c>
      <c r="F5" s="76" t="s">
        <v>157</v>
      </c>
      <c r="G5" s="87" t="s">
        <v>158</v>
      </c>
      <c r="H5" s="88">
        <f>+J8</f>
        <v>538</v>
      </c>
      <c r="I5" s="89" t="s">
        <v>3</v>
      </c>
      <c r="J5" s="90">
        <v>600</v>
      </c>
      <c r="K5" s="74">
        <f>+H5/J5</f>
        <v>0.89666666666666661</v>
      </c>
      <c r="L5" s="67" t="s">
        <v>200</v>
      </c>
      <c r="M5" s="71">
        <f>+K5</f>
        <v>0.89666666666666661</v>
      </c>
      <c r="N5" s="976"/>
      <c r="O5" s="976"/>
      <c r="P5" s="978"/>
      <c r="Q5" s="87" t="s">
        <v>158</v>
      </c>
      <c r="R5" s="88">
        <v>476</v>
      </c>
      <c r="S5" s="89" t="s">
        <v>3</v>
      </c>
      <c r="T5" s="90">
        <v>600</v>
      </c>
      <c r="U5" s="74">
        <f>+R5/T5</f>
        <v>0.79333333333333333</v>
      </c>
      <c r="V5" s="67" t="s">
        <v>283</v>
      </c>
      <c r="W5" s="71">
        <f>+U5</f>
        <v>0.79333333333333333</v>
      </c>
      <c r="X5" s="976"/>
      <c r="Y5" s="976"/>
      <c r="Z5" s="978"/>
    </row>
    <row r="6" spans="1:26" ht="28.8" customHeight="1" x14ac:dyDescent="0.3">
      <c r="A6" s="994"/>
      <c r="B6" s="1182"/>
      <c r="C6" s="75" t="s">
        <v>272</v>
      </c>
      <c r="D6" s="75" t="s">
        <v>274</v>
      </c>
      <c r="E6" s="75" t="s">
        <v>275</v>
      </c>
      <c r="F6" s="76" t="s">
        <v>157</v>
      </c>
      <c r="G6" s="87"/>
      <c r="H6" s="88"/>
      <c r="I6" s="89"/>
      <c r="J6" s="90"/>
      <c r="K6" s="74"/>
      <c r="L6" s="67"/>
      <c r="M6" s="71"/>
      <c r="N6" s="976"/>
      <c r="O6" s="976"/>
      <c r="P6" s="978"/>
      <c r="Q6" s="87" t="s">
        <v>158</v>
      </c>
      <c r="R6" s="88">
        <v>139</v>
      </c>
      <c r="S6" s="89" t="s">
        <v>3</v>
      </c>
      <c r="T6" s="90">
        <v>60</v>
      </c>
      <c r="U6" s="74">
        <f t="shared" ref="U6:U7" si="0">+R6/T6</f>
        <v>2.3166666666666669</v>
      </c>
      <c r="V6" s="67" t="s">
        <v>284</v>
      </c>
      <c r="W6" s="71">
        <v>1</v>
      </c>
      <c r="X6" s="976"/>
      <c r="Y6" s="976"/>
      <c r="Z6" s="978"/>
    </row>
    <row r="7" spans="1:26" ht="28.8" customHeight="1" x14ac:dyDescent="0.3">
      <c r="A7" s="994"/>
      <c r="B7" s="1182"/>
      <c r="C7" s="75" t="s">
        <v>273</v>
      </c>
      <c r="D7" s="75" t="s">
        <v>276</v>
      </c>
      <c r="E7" s="75" t="s">
        <v>277</v>
      </c>
      <c r="F7" s="76" t="s">
        <v>157</v>
      </c>
      <c r="G7" s="87"/>
      <c r="H7" s="88"/>
      <c r="I7" s="89"/>
      <c r="J7" s="90"/>
      <c r="K7" s="74"/>
      <c r="L7" s="67"/>
      <c r="M7" s="71"/>
      <c r="N7" s="976"/>
      <c r="O7" s="976"/>
      <c r="P7" s="978"/>
      <c r="Q7" s="87" t="s">
        <v>158</v>
      </c>
      <c r="R7" s="88">
        <v>30</v>
      </c>
      <c r="S7" s="89" t="s">
        <v>3</v>
      </c>
      <c r="T7" s="90">
        <v>80</v>
      </c>
      <c r="U7" s="74">
        <f t="shared" si="0"/>
        <v>0.375</v>
      </c>
      <c r="V7" s="67" t="s">
        <v>285</v>
      </c>
      <c r="W7" s="71">
        <f>+U7</f>
        <v>0.375</v>
      </c>
      <c r="X7" s="976"/>
      <c r="Y7" s="976"/>
      <c r="Z7" s="978"/>
    </row>
    <row r="8" spans="1:26" ht="43.8" thickBot="1" x14ac:dyDescent="0.35">
      <c r="A8" s="994"/>
      <c r="B8" s="1182"/>
      <c r="C8" s="149" t="s">
        <v>279</v>
      </c>
      <c r="D8" s="149" t="s">
        <v>155</v>
      </c>
      <c r="E8" s="149" t="s">
        <v>156</v>
      </c>
      <c r="F8" s="150" t="s">
        <v>142</v>
      </c>
      <c r="G8" s="91" t="s">
        <v>104</v>
      </c>
      <c r="H8" s="88">
        <v>331</v>
      </c>
      <c r="I8" s="88" t="s">
        <v>105</v>
      </c>
      <c r="J8" s="90">
        <v>538</v>
      </c>
      <c r="K8" s="74">
        <f>(J8/H8)-1</f>
        <v>0.62537764350453173</v>
      </c>
      <c r="L8" s="66" t="s">
        <v>197</v>
      </c>
      <c r="M8" s="71">
        <v>1</v>
      </c>
      <c r="N8" s="976"/>
      <c r="O8" s="976"/>
      <c r="P8" s="978"/>
      <c r="Q8" s="88" t="s">
        <v>105</v>
      </c>
      <c r="R8" s="90">
        <v>538</v>
      </c>
      <c r="S8" s="88" t="s">
        <v>107</v>
      </c>
      <c r="T8" s="90">
        <f>+R5</f>
        <v>476</v>
      </c>
      <c r="U8" s="74">
        <f>(T8/R8)-1</f>
        <v>-0.11524163568773238</v>
      </c>
      <c r="V8" s="66" t="s">
        <v>286</v>
      </c>
      <c r="W8" s="71">
        <v>0</v>
      </c>
      <c r="X8" s="976"/>
      <c r="Y8" s="976"/>
      <c r="Z8" s="978"/>
    </row>
    <row r="9" spans="1:26" x14ac:dyDescent="0.3">
      <c r="A9" s="994"/>
      <c r="B9" s="1286"/>
      <c r="C9" s="151" t="s">
        <v>139</v>
      </c>
      <c r="D9" s="152" t="s">
        <v>140</v>
      </c>
      <c r="E9" s="1281" t="s">
        <v>141</v>
      </c>
      <c r="F9" s="1283" t="s">
        <v>142</v>
      </c>
      <c r="G9" s="91" t="s">
        <v>104</v>
      </c>
      <c r="H9" s="89">
        <v>25</v>
      </c>
      <c r="I9" s="88" t="s">
        <v>105</v>
      </c>
      <c r="J9" s="92">
        <v>48</v>
      </c>
      <c r="K9" s="1153">
        <f>(J10/H10)-1</f>
        <v>0.18126394052044614</v>
      </c>
      <c r="L9" s="1090" t="s">
        <v>236</v>
      </c>
      <c r="M9" s="1097">
        <v>1</v>
      </c>
      <c r="N9" s="976"/>
      <c r="O9" s="976"/>
      <c r="P9" s="978"/>
      <c r="Q9" s="88" t="s">
        <v>105</v>
      </c>
      <c r="R9" s="92">
        <v>48</v>
      </c>
      <c r="S9" s="88" t="s">
        <v>107</v>
      </c>
      <c r="T9" s="92">
        <v>75</v>
      </c>
      <c r="U9" s="1153">
        <f>+T10</f>
        <v>0.15756302521008403</v>
      </c>
      <c r="V9" s="1090" t="s">
        <v>264</v>
      </c>
      <c r="W9" s="1097">
        <v>1</v>
      </c>
      <c r="X9" s="976"/>
      <c r="Y9" s="976"/>
      <c r="Z9" s="978"/>
    </row>
    <row r="10" spans="1:26" ht="15" thickBot="1" x14ac:dyDescent="0.35">
      <c r="A10" s="994"/>
      <c r="B10" s="1286"/>
      <c r="C10" s="153" t="s">
        <v>143</v>
      </c>
      <c r="D10" s="154" t="s">
        <v>144</v>
      </c>
      <c r="E10" s="1282"/>
      <c r="F10" s="1284"/>
      <c r="G10" s="91" t="s">
        <v>104</v>
      </c>
      <c r="H10" s="93">
        <f>+H9/H8</f>
        <v>7.5528700906344406E-2</v>
      </c>
      <c r="I10" s="88" t="s">
        <v>105</v>
      </c>
      <c r="J10" s="94">
        <f>+J9/J8</f>
        <v>8.9219330855018583E-2</v>
      </c>
      <c r="K10" s="1153"/>
      <c r="L10" s="1090"/>
      <c r="M10" s="1097"/>
      <c r="N10" s="976"/>
      <c r="O10" s="976"/>
      <c r="P10" s="978"/>
      <c r="Q10" s="88" t="s">
        <v>105</v>
      </c>
      <c r="R10" s="94">
        <v>8.9219330855018583E-2</v>
      </c>
      <c r="S10" s="88" t="s">
        <v>107</v>
      </c>
      <c r="T10" s="94">
        <f>+T9/T8</f>
        <v>0.15756302521008403</v>
      </c>
      <c r="U10" s="1153">
        <f t="shared" ref="U10" si="1">(T10/R10)-1</f>
        <v>0.76601890756302526</v>
      </c>
      <c r="V10" s="1090"/>
      <c r="W10" s="1097"/>
      <c r="X10" s="976"/>
      <c r="Y10" s="976"/>
      <c r="Z10" s="978"/>
    </row>
    <row r="11" spans="1:26" x14ac:dyDescent="0.3">
      <c r="A11" s="994"/>
      <c r="B11" s="1286"/>
      <c r="C11" s="155" t="s">
        <v>145</v>
      </c>
      <c r="D11" s="152" t="s">
        <v>146</v>
      </c>
      <c r="E11" s="1281" t="s">
        <v>141</v>
      </c>
      <c r="F11" s="1283" t="s">
        <v>142</v>
      </c>
      <c r="G11" s="91" t="s">
        <v>104</v>
      </c>
      <c r="H11" s="89">
        <v>3</v>
      </c>
      <c r="I11" s="88" t="s">
        <v>105</v>
      </c>
      <c r="J11" s="92">
        <v>4</v>
      </c>
      <c r="K11" s="1082">
        <f>(J12/H12)-1</f>
        <v>-0.17967781908302372</v>
      </c>
      <c r="L11" s="1090" t="s">
        <v>147</v>
      </c>
      <c r="M11" s="1097">
        <v>0</v>
      </c>
      <c r="N11" s="976"/>
      <c r="O11" s="976"/>
      <c r="P11" s="978"/>
      <c r="Q11" s="88" t="s">
        <v>105</v>
      </c>
      <c r="R11" s="92">
        <v>4</v>
      </c>
      <c r="S11" s="88" t="s">
        <v>107</v>
      </c>
      <c r="T11" s="92">
        <v>30</v>
      </c>
      <c r="U11" s="1131">
        <f>+T12</f>
        <v>0.4</v>
      </c>
      <c r="V11" s="1090" t="s">
        <v>265</v>
      </c>
      <c r="W11" s="1097">
        <v>1</v>
      </c>
      <c r="X11" s="976"/>
      <c r="Y11" s="976"/>
      <c r="Z11" s="978"/>
    </row>
    <row r="12" spans="1:26" ht="15" thickBot="1" x14ac:dyDescent="0.35">
      <c r="A12" s="994"/>
      <c r="B12" s="1286"/>
      <c r="C12" s="156" t="s">
        <v>148</v>
      </c>
      <c r="D12" s="154" t="s">
        <v>149</v>
      </c>
      <c r="E12" s="1282"/>
      <c r="F12" s="1284"/>
      <c r="G12" s="91" t="s">
        <v>104</v>
      </c>
      <c r="H12" s="95">
        <f>+H11/H8</f>
        <v>9.0634441087613302E-3</v>
      </c>
      <c r="I12" s="88" t="s">
        <v>105</v>
      </c>
      <c r="J12" s="96">
        <f>+J11/J8</f>
        <v>7.4349442379182153E-3</v>
      </c>
      <c r="K12" s="1082"/>
      <c r="L12" s="1090"/>
      <c r="M12" s="1097"/>
      <c r="N12" s="976"/>
      <c r="O12" s="976"/>
      <c r="P12" s="978"/>
      <c r="Q12" s="88" t="s">
        <v>105</v>
      </c>
      <c r="R12" s="96">
        <v>7.4349442379182153E-3</v>
      </c>
      <c r="S12" s="88" t="s">
        <v>107</v>
      </c>
      <c r="T12" s="96">
        <f>+T11/T9</f>
        <v>0.4</v>
      </c>
      <c r="U12" s="1131"/>
      <c r="V12" s="1090"/>
      <c r="W12" s="1097"/>
      <c r="X12" s="976"/>
      <c r="Y12" s="976"/>
      <c r="Z12" s="978"/>
    </row>
    <row r="13" spans="1:26" ht="25.2" customHeight="1" x14ac:dyDescent="0.3">
      <c r="A13" s="994"/>
      <c r="B13" s="1286"/>
      <c r="C13" s="155" t="s">
        <v>150</v>
      </c>
      <c r="D13" s="152" t="s">
        <v>151</v>
      </c>
      <c r="E13" s="1281" t="s">
        <v>267</v>
      </c>
      <c r="F13" s="1283" t="s">
        <v>142</v>
      </c>
      <c r="G13" s="91" t="s">
        <v>104</v>
      </c>
      <c r="H13" s="89">
        <v>2</v>
      </c>
      <c r="I13" s="88" t="s">
        <v>105</v>
      </c>
      <c r="J13" s="92">
        <v>2</v>
      </c>
      <c r="K13" s="1082">
        <f>(J14/H14)-1</f>
        <v>-0.38475836431226773</v>
      </c>
      <c r="L13" s="1285" t="s">
        <v>152</v>
      </c>
      <c r="M13" s="1097">
        <v>0</v>
      </c>
      <c r="N13" s="976"/>
      <c r="O13" s="976"/>
      <c r="P13" s="978"/>
      <c r="Q13" s="88" t="s">
        <v>105</v>
      </c>
      <c r="R13" s="92">
        <v>11</v>
      </c>
      <c r="S13" s="88" t="s">
        <v>107</v>
      </c>
      <c r="T13" s="92">
        <v>4</v>
      </c>
      <c r="U13" s="1107">
        <f>+T14</f>
        <v>8.4033613445378148E-3</v>
      </c>
      <c r="V13" s="1285" t="s">
        <v>287</v>
      </c>
      <c r="W13" s="1097">
        <v>0</v>
      </c>
      <c r="X13" s="976"/>
      <c r="Y13" s="976"/>
      <c r="Z13" s="978"/>
    </row>
    <row r="14" spans="1:26" ht="25.2" customHeight="1" thickBot="1" x14ac:dyDescent="0.35">
      <c r="A14" s="994"/>
      <c r="B14" s="1286"/>
      <c r="C14" s="156" t="s">
        <v>153</v>
      </c>
      <c r="D14" s="154" t="s">
        <v>154</v>
      </c>
      <c r="E14" s="1282"/>
      <c r="F14" s="1284"/>
      <c r="G14" s="91" t="s">
        <v>104</v>
      </c>
      <c r="H14" s="95">
        <f>+H13/H8</f>
        <v>6.0422960725075529E-3</v>
      </c>
      <c r="I14" s="88" t="s">
        <v>105</v>
      </c>
      <c r="J14" s="96">
        <f>+J13/J8</f>
        <v>3.7174721189591076E-3</v>
      </c>
      <c r="K14" s="1082"/>
      <c r="L14" s="1285"/>
      <c r="M14" s="1097"/>
      <c r="N14" s="976"/>
      <c r="O14" s="976"/>
      <c r="P14" s="978"/>
      <c r="Q14" s="88" t="s">
        <v>105</v>
      </c>
      <c r="R14" s="95">
        <v>2.0446096654275093E-2</v>
      </c>
      <c r="S14" s="88" t="s">
        <v>107</v>
      </c>
      <c r="T14" s="96">
        <f>+T13/T8</f>
        <v>8.4033613445378148E-3</v>
      </c>
      <c r="U14" s="1107"/>
      <c r="V14" s="1285"/>
      <c r="W14" s="1097"/>
      <c r="X14" s="976"/>
      <c r="Y14" s="976"/>
      <c r="Z14" s="978"/>
    </row>
    <row r="15" spans="1:26" x14ac:dyDescent="0.3">
      <c r="A15" s="994"/>
      <c r="B15" s="1286"/>
      <c r="C15" s="155" t="s">
        <v>266</v>
      </c>
      <c r="D15" s="152" t="s">
        <v>151</v>
      </c>
      <c r="E15" s="1281" t="s">
        <v>268</v>
      </c>
      <c r="F15" s="1283" t="s">
        <v>142</v>
      </c>
      <c r="G15" s="91"/>
      <c r="H15" s="95"/>
      <c r="I15" s="88"/>
      <c r="J15" s="96"/>
      <c r="K15" s="116"/>
      <c r="L15" s="115"/>
      <c r="M15" s="71"/>
      <c r="N15" s="976"/>
      <c r="O15" s="976"/>
      <c r="P15" s="978"/>
      <c r="Q15" s="91"/>
      <c r="R15" s="95"/>
      <c r="S15" s="88" t="s">
        <v>107</v>
      </c>
      <c r="T15" s="136">
        <v>3</v>
      </c>
      <c r="U15" s="1314">
        <f>+T16</f>
        <v>2.1582733812949641E-2</v>
      </c>
      <c r="V15" s="1285" t="s">
        <v>280</v>
      </c>
      <c r="W15" s="1126">
        <v>0</v>
      </c>
      <c r="X15" s="976"/>
      <c r="Y15" s="976"/>
      <c r="Z15" s="978"/>
    </row>
    <row r="16" spans="1:26" ht="15" thickBot="1" x14ac:dyDescent="0.35">
      <c r="A16" s="994"/>
      <c r="B16" s="1286"/>
      <c r="C16" s="156" t="s">
        <v>153</v>
      </c>
      <c r="D16" s="154" t="s">
        <v>154</v>
      </c>
      <c r="E16" s="1282"/>
      <c r="F16" s="1284"/>
      <c r="G16" s="91"/>
      <c r="H16" s="95"/>
      <c r="I16" s="88"/>
      <c r="J16" s="96"/>
      <c r="K16" s="116"/>
      <c r="L16" s="115"/>
      <c r="M16" s="71"/>
      <c r="N16" s="976"/>
      <c r="O16" s="976"/>
      <c r="P16" s="978"/>
      <c r="Q16" s="91"/>
      <c r="R16" s="95"/>
      <c r="S16" s="88" t="s">
        <v>107</v>
      </c>
      <c r="T16" s="96">
        <f>+T15/R6</f>
        <v>2.1582733812949641E-2</v>
      </c>
      <c r="U16" s="1315"/>
      <c r="V16" s="1285"/>
      <c r="W16" s="1127"/>
      <c r="X16" s="976"/>
      <c r="Y16" s="976"/>
      <c r="Z16" s="978"/>
    </row>
    <row r="17" spans="1:26" ht="28.8" customHeight="1" x14ac:dyDescent="0.3">
      <c r="A17" s="994"/>
      <c r="B17" s="1286"/>
      <c r="C17" s="155" t="s">
        <v>269</v>
      </c>
      <c r="D17" s="152" t="s">
        <v>151</v>
      </c>
      <c r="E17" s="1281" t="s">
        <v>270</v>
      </c>
      <c r="F17" s="1283" t="s">
        <v>142</v>
      </c>
      <c r="G17" s="91"/>
      <c r="H17" s="95"/>
      <c r="I17" s="88"/>
      <c r="J17" s="96"/>
      <c r="K17" s="116"/>
      <c r="L17" s="115"/>
      <c r="M17" s="71"/>
      <c r="N17" s="976"/>
      <c r="O17" s="976"/>
      <c r="P17" s="978"/>
      <c r="Q17" s="91"/>
      <c r="R17" s="95"/>
      <c r="S17" s="88" t="s">
        <v>107</v>
      </c>
      <c r="T17" s="136">
        <v>13</v>
      </c>
      <c r="U17" s="1122">
        <f>-T18</f>
        <v>-0.43333333333333335</v>
      </c>
      <c r="V17" s="1285" t="s">
        <v>281</v>
      </c>
      <c r="W17" s="1126">
        <v>1</v>
      </c>
      <c r="X17" s="976"/>
      <c r="Y17" s="976"/>
      <c r="Z17" s="978"/>
    </row>
    <row r="18" spans="1:26" ht="28.8" customHeight="1" thickBot="1" x14ac:dyDescent="0.35">
      <c r="A18" s="994"/>
      <c r="B18" s="1286"/>
      <c r="C18" s="156" t="s">
        <v>153</v>
      </c>
      <c r="D18" s="154" t="s">
        <v>154</v>
      </c>
      <c r="E18" s="1282"/>
      <c r="F18" s="1284"/>
      <c r="G18" s="91"/>
      <c r="H18" s="95"/>
      <c r="I18" s="88"/>
      <c r="J18" s="96"/>
      <c r="K18" s="116"/>
      <c r="L18" s="115"/>
      <c r="M18" s="71"/>
      <c r="N18" s="976"/>
      <c r="O18" s="976"/>
      <c r="P18" s="978"/>
      <c r="Q18" s="91"/>
      <c r="R18" s="95"/>
      <c r="S18" s="88" t="s">
        <v>107</v>
      </c>
      <c r="T18" s="96">
        <f>+T17/R7</f>
        <v>0.43333333333333335</v>
      </c>
      <c r="U18" s="1123"/>
      <c r="V18" s="1285"/>
      <c r="W18" s="1127"/>
      <c r="X18" s="976"/>
      <c r="Y18" s="976"/>
      <c r="Z18" s="978"/>
    </row>
    <row r="19" spans="1:26" ht="28.8" customHeight="1" x14ac:dyDescent="0.3">
      <c r="A19" s="994"/>
      <c r="B19" s="1182"/>
      <c r="C19" s="1162" t="s">
        <v>15</v>
      </c>
      <c r="D19" s="1162" t="s">
        <v>16</v>
      </c>
      <c r="E19" s="1162" t="s">
        <v>17</v>
      </c>
      <c r="F19" s="1193" t="s">
        <v>18</v>
      </c>
      <c r="G19" s="97" t="s">
        <v>231</v>
      </c>
      <c r="H19" s="98" t="s">
        <v>232</v>
      </c>
      <c r="I19" s="98" t="s">
        <v>233</v>
      </c>
      <c r="J19" s="99" t="s">
        <v>234</v>
      </c>
      <c r="K19" s="1294">
        <f>(J20+J21+J22+J23+J24+J25+J26+J27+J28)/9</f>
        <v>8.1111111111111107</v>
      </c>
      <c r="L19" s="1133" t="s">
        <v>235</v>
      </c>
      <c r="M19" s="1097">
        <v>1</v>
      </c>
      <c r="N19" s="976"/>
      <c r="O19" s="976"/>
      <c r="P19" s="978"/>
      <c r="Q19" s="97" t="s">
        <v>231</v>
      </c>
      <c r="R19" s="98" t="s">
        <v>233</v>
      </c>
      <c r="S19" s="99" t="s">
        <v>234</v>
      </c>
      <c r="T19" s="99" t="s">
        <v>247</v>
      </c>
      <c r="U19" s="1294"/>
      <c r="V19" s="1133" t="s">
        <v>248</v>
      </c>
      <c r="W19" s="1097"/>
      <c r="X19" s="976"/>
      <c r="Y19" s="976"/>
      <c r="Z19" s="978"/>
    </row>
    <row r="20" spans="1:26" x14ac:dyDescent="0.3">
      <c r="A20" s="994"/>
      <c r="B20" s="1182"/>
      <c r="C20" s="1162"/>
      <c r="D20" s="1162"/>
      <c r="E20" s="1162"/>
      <c r="F20" s="1193"/>
      <c r="G20" s="100" t="s">
        <v>222</v>
      </c>
      <c r="H20" s="101">
        <v>2</v>
      </c>
      <c r="I20" s="101">
        <v>17</v>
      </c>
      <c r="J20" s="102">
        <v>11</v>
      </c>
      <c r="K20" s="1294"/>
      <c r="L20" s="1133"/>
      <c r="M20" s="1097"/>
      <c r="N20" s="976"/>
      <c r="O20" s="976"/>
      <c r="P20" s="978"/>
      <c r="Q20" s="137" t="s">
        <v>222</v>
      </c>
      <c r="R20" s="138"/>
      <c r="S20" s="139"/>
      <c r="T20" s="139"/>
      <c r="U20" s="1294"/>
      <c r="V20" s="1133"/>
      <c r="W20" s="1097"/>
      <c r="X20" s="976"/>
      <c r="Y20" s="976"/>
      <c r="Z20" s="978"/>
    </row>
    <row r="21" spans="1:26" x14ac:dyDescent="0.3">
      <c r="A21" s="994"/>
      <c r="B21" s="1182"/>
      <c r="C21" s="1162"/>
      <c r="D21" s="1162"/>
      <c r="E21" s="1162"/>
      <c r="F21" s="1193"/>
      <c r="G21" s="100" t="s">
        <v>223</v>
      </c>
      <c r="H21" s="101">
        <v>0</v>
      </c>
      <c r="I21" s="101">
        <v>4</v>
      </c>
      <c r="J21" s="102">
        <v>5</v>
      </c>
      <c r="K21" s="1294"/>
      <c r="L21" s="1133"/>
      <c r="M21" s="1097"/>
      <c r="N21" s="976"/>
      <c r="O21" s="976"/>
      <c r="P21" s="978"/>
      <c r="Q21" s="137" t="s">
        <v>223</v>
      </c>
      <c r="R21" s="138"/>
      <c r="S21" s="139"/>
      <c r="T21" s="139"/>
      <c r="U21" s="1294"/>
      <c r="V21" s="1133"/>
      <c r="W21" s="1097"/>
      <c r="X21" s="976"/>
      <c r="Y21" s="976"/>
      <c r="Z21" s="978"/>
    </row>
    <row r="22" spans="1:26" x14ac:dyDescent="0.3">
      <c r="A22" s="994"/>
      <c r="B22" s="1182"/>
      <c r="C22" s="1162"/>
      <c r="D22" s="1162"/>
      <c r="E22" s="1162"/>
      <c r="F22" s="1193"/>
      <c r="G22" s="100" t="s">
        <v>224</v>
      </c>
      <c r="H22" s="101">
        <v>11</v>
      </c>
      <c r="I22" s="101">
        <v>9</v>
      </c>
      <c r="J22" s="102">
        <v>4</v>
      </c>
      <c r="K22" s="1294"/>
      <c r="L22" s="1133"/>
      <c r="M22" s="1097"/>
      <c r="N22" s="976"/>
      <c r="O22" s="976"/>
      <c r="P22" s="978"/>
      <c r="Q22" s="137" t="s">
        <v>224</v>
      </c>
      <c r="R22" s="138"/>
      <c r="S22" s="139"/>
      <c r="T22" s="139"/>
      <c r="U22" s="1294"/>
      <c r="V22" s="1133"/>
      <c r="W22" s="1097"/>
      <c r="X22" s="976"/>
      <c r="Y22" s="976"/>
      <c r="Z22" s="978"/>
    </row>
    <row r="23" spans="1:26" x14ac:dyDescent="0.3">
      <c r="A23" s="994"/>
      <c r="B23" s="1182"/>
      <c r="C23" s="1162"/>
      <c r="D23" s="1162"/>
      <c r="E23" s="1162"/>
      <c r="F23" s="1193"/>
      <c r="G23" s="100" t="s">
        <v>225</v>
      </c>
      <c r="H23" s="101">
        <v>5</v>
      </c>
      <c r="I23" s="101">
        <v>6</v>
      </c>
      <c r="J23" s="102">
        <v>5</v>
      </c>
      <c r="K23" s="1294"/>
      <c r="L23" s="1133"/>
      <c r="M23" s="1097"/>
      <c r="N23" s="976"/>
      <c r="O23" s="976"/>
      <c r="P23" s="978"/>
      <c r="Q23" s="137" t="s">
        <v>225</v>
      </c>
      <c r="R23" s="138"/>
      <c r="S23" s="139"/>
      <c r="T23" s="139"/>
      <c r="U23" s="1294"/>
      <c r="V23" s="1133"/>
      <c r="W23" s="1097"/>
      <c r="X23" s="976"/>
      <c r="Y23" s="976"/>
      <c r="Z23" s="978"/>
    </row>
    <row r="24" spans="1:26" x14ac:dyDescent="0.3">
      <c r="A24" s="994"/>
      <c r="B24" s="1182"/>
      <c r="C24" s="1162"/>
      <c r="D24" s="1162"/>
      <c r="E24" s="1162"/>
      <c r="F24" s="1193"/>
      <c r="G24" s="100" t="s">
        <v>226</v>
      </c>
      <c r="H24" s="101">
        <v>10</v>
      </c>
      <c r="I24" s="101">
        <v>12</v>
      </c>
      <c r="J24" s="102">
        <v>19</v>
      </c>
      <c r="K24" s="1294"/>
      <c r="L24" s="1133"/>
      <c r="M24" s="1097"/>
      <c r="N24" s="976"/>
      <c r="O24" s="976"/>
      <c r="P24" s="978"/>
      <c r="Q24" s="137" t="s">
        <v>226</v>
      </c>
      <c r="R24" s="138"/>
      <c r="S24" s="139"/>
      <c r="T24" s="139"/>
      <c r="U24" s="1294"/>
      <c r="V24" s="1133"/>
      <c r="W24" s="1097"/>
      <c r="X24" s="976"/>
      <c r="Y24" s="976"/>
      <c r="Z24" s="978"/>
    </row>
    <row r="25" spans="1:26" x14ac:dyDescent="0.3">
      <c r="A25" s="994"/>
      <c r="B25" s="1182"/>
      <c r="C25" s="1162"/>
      <c r="D25" s="1162"/>
      <c r="E25" s="1162"/>
      <c r="F25" s="1193"/>
      <c r="G25" s="100" t="s">
        <v>227</v>
      </c>
      <c r="H25" s="101">
        <v>5</v>
      </c>
      <c r="I25" s="101">
        <v>7</v>
      </c>
      <c r="J25" s="102">
        <v>7</v>
      </c>
      <c r="K25" s="1294"/>
      <c r="L25" s="1133"/>
      <c r="M25" s="1097"/>
      <c r="N25" s="976"/>
      <c r="O25" s="976"/>
      <c r="P25" s="978"/>
      <c r="Q25" s="137" t="s">
        <v>227</v>
      </c>
      <c r="R25" s="138"/>
      <c r="S25" s="139"/>
      <c r="T25" s="139"/>
      <c r="U25" s="1294"/>
      <c r="V25" s="1133"/>
      <c r="W25" s="1097"/>
      <c r="X25" s="976"/>
      <c r="Y25" s="976"/>
      <c r="Z25" s="978"/>
    </row>
    <row r="26" spans="1:26" x14ac:dyDescent="0.3">
      <c r="A26" s="994"/>
      <c r="B26" s="1182"/>
      <c r="C26" s="1162"/>
      <c r="D26" s="1162"/>
      <c r="E26" s="1162"/>
      <c r="F26" s="1193"/>
      <c r="G26" s="100" t="s">
        <v>228</v>
      </c>
      <c r="H26" s="101">
        <v>5</v>
      </c>
      <c r="I26" s="101">
        <v>17</v>
      </c>
      <c r="J26" s="102">
        <v>14</v>
      </c>
      <c r="K26" s="1294"/>
      <c r="L26" s="1133"/>
      <c r="M26" s="1097"/>
      <c r="N26" s="976"/>
      <c r="O26" s="976"/>
      <c r="P26" s="978"/>
      <c r="Q26" s="137" t="s">
        <v>228</v>
      </c>
      <c r="R26" s="138"/>
      <c r="S26" s="139"/>
      <c r="T26" s="139"/>
      <c r="U26" s="1294"/>
      <c r="V26" s="1133"/>
      <c r="W26" s="1097"/>
      <c r="X26" s="976"/>
      <c r="Y26" s="976"/>
      <c r="Z26" s="978"/>
    </row>
    <row r="27" spans="1:26" x14ac:dyDescent="0.3">
      <c r="A27" s="994"/>
      <c r="B27" s="1182"/>
      <c r="C27" s="1162"/>
      <c r="D27" s="1162"/>
      <c r="E27" s="1162"/>
      <c r="F27" s="1193"/>
      <c r="G27" s="100" t="s">
        <v>229</v>
      </c>
      <c r="H27" s="101">
        <v>3</v>
      </c>
      <c r="I27" s="101">
        <v>2</v>
      </c>
      <c r="J27" s="102">
        <v>3</v>
      </c>
      <c r="K27" s="1294"/>
      <c r="L27" s="1133"/>
      <c r="M27" s="1097"/>
      <c r="N27" s="976"/>
      <c r="O27" s="976"/>
      <c r="P27" s="978"/>
      <c r="Q27" s="137" t="s">
        <v>229</v>
      </c>
      <c r="R27" s="138"/>
      <c r="S27" s="139"/>
      <c r="T27" s="139"/>
      <c r="U27" s="1294"/>
      <c r="V27" s="1133"/>
      <c r="W27" s="1097"/>
      <c r="X27" s="976"/>
      <c r="Y27" s="976"/>
      <c r="Z27" s="978"/>
    </row>
    <row r="28" spans="1:26" x14ac:dyDescent="0.3">
      <c r="A28" s="994"/>
      <c r="B28" s="1182"/>
      <c r="C28" s="1163"/>
      <c r="D28" s="1163"/>
      <c r="E28" s="1163"/>
      <c r="F28" s="1171"/>
      <c r="G28" s="100" t="s">
        <v>230</v>
      </c>
      <c r="H28" s="101">
        <v>7</v>
      </c>
      <c r="I28" s="101">
        <v>12</v>
      </c>
      <c r="J28" s="102">
        <v>5</v>
      </c>
      <c r="K28" s="1294"/>
      <c r="L28" s="1133"/>
      <c r="M28" s="1097"/>
      <c r="N28" s="976"/>
      <c r="O28" s="976"/>
      <c r="P28" s="978"/>
      <c r="Q28" s="137" t="s">
        <v>230</v>
      </c>
      <c r="R28" s="138"/>
      <c r="S28" s="139"/>
      <c r="T28" s="139"/>
      <c r="U28" s="1294"/>
      <c r="V28" s="1133"/>
      <c r="W28" s="1097"/>
      <c r="X28" s="976"/>
      <c r="Y28" s="976"/>
      <c r="Z28" s="978"/>
    </row>
    <row r="29" spans="1:26" ht="28.8" customHeight="1" x14ac:dyDescent="0.3">
      <c r="A29" s="994"/>
      <c r="B29" s="1182"/>
      <c r="C29" s="986" t="s">
        <v>19</v>
      </c>
      <c r="D29" s="986" t="s">
        <v>20</v>
      </c>
      <c r="E29" s="986" t="s">
        <v>21</v>
      </c>
      <c r="F29" s="987" t="s">
        <v>22</v>
      </c>
      <c r="G29" s="91" t="s">
        <v>160</v>
      </c>
      <c r="H29" s="89" t="s">
        <v>159</v>
      </c>
      <c r="I29" s="98">
        <v>6</v>
      </c>
      <c r="J29" s="90"/>
      <c r="K29" s="1148">
        <f>SUM(I29:I31)</f>
        <v>8</v>
      </c>
      <c r="L29" s="1090" t="s">
        <v>198</v>
      </c>
      <c r="M29" s="1097">
        <v>1</v>
      </c>
      <c r="N29" s="976"/>
      <c r="O29" s="976"/>
      <c r="P29" s="978"/>
      <c r="Q29" s="91" t="s">
        <v>249</v>
      </c>
      <c r="R29" s="89" t="s">
        <v>159</v>
      </c>
      <c r="S29" s="98">
        <v>1</v>
      </c>
      <c r="T29" s="90"/>
      <c r="U29" s="1148">
        <v>6</v>
      </c>
      <c r="V29" s="1090" t="s">
        <v>288</v>
      </c>
      <c r="W29" s="1097">
        <v>1</v>
      </c>
      <c r="X29" s="976"/>
      <c r="Y29" s="976"/>
      <c r="Z29" s="978"/>
    </row>
    <row r="30" spans="1:26" x14ac:dyDescent="0.3">
      <c r="A30" s="994"/>
      <c r="B30" s="1182"/>
      <c r="C30" s="986"/>
      <c r="D30" s="986"/>
      <c r="E30" s="986"/>
      <c r="F30" s="987"/>
      <c r="G30" s="91" t="s">
        <v>162</v>
      </c>
      <c r="H30" s="88" t="s">
        <v>161</v>
      </c>
      <c r="I30" s="98">
        <v>2</v>
      </c>
      <c r="J30" s="90"/>
      <c r="K30" s="1148"/>
      <c r="L30" s="1090"/>
      <c r="M30" s="1097"/>
      <c r="N30" s="976"/>
      <c r="O30" s="976"/>
      <c r="P30" s="978"/>
      <c r="Q30" s="91" t="s">
        <v>162</v>
      </c>
      <c r="R30" s="88" t="s">
        <v>161</v>
      </c>
      <c r="S30" s="98">
        <v>0</v>
      </c>
      <c r="T30" s="90"/>
      <c r="U30" s="1148"/>
      <c r="V30" s="1090"/>
      <c r="W30" s="1097"/>
      <c r="X30" s="976"/>
      <c r="Y30" s="976"/>
      <c r="Z30" s="978"/>
    </row>
    <row r="31" spans="1:26" ht="15" thickBot="1" x14ac:dyDescent="0.35">
      <c r="A31" s="995"/>
      <c r="B31" s="1183"/>
      <c r="C31" s="1024"/>
      <c r="D31" s="1024"/>
      <c r="E31" s="1024"/>
      <c r="F31" s="1026"/>
      <c r="G31" s="103" t="s">
        <v>163</v>
      </c>
      <c r="H31" s="104" t="s">
        <v>159</v>
      </c>
      <c r="I31" s="105">
        <v>0</v>
      </c>
      <c r="J31" s="106"/>
      <c r="K31" s="1149"/>
      <c r="L31" s="1140"/>
      <c r="M31" s="1098"/>
      <c r="N31" s="1039"/>
      <c r="O31" s="1039"/>
      <c r="P31" s="992"/>
      <c r="Q31" s="103" t="s">
        <v>250</v>
      </c>
      <c r="R31" s="104" t="s">
        <v>159</v>
      </c>
      <c r="S31" s="105">
        <v>5</v>
      </c>
      <c r="T31" s="106"/>
      <c r="U31" s="1149"/>
      <c r="V31" s="1140"/>
      <c r="W31" s="1098"/>
      <c r="X31" s="1039"/>
      <c r="Y31" s="1039"/>
      <c r="Z31" s="992"/>
    </row>
    <row r="32" spans="1:26" ht="28.8" customHeight="1" x14ac:dyDescent="0.3">
      <c r="A32" s="970">
        <v>0.3</v>
      </c>
      <c r="B32" s="973" t="s">
        <v>23</v>
      </c>
      <c r="C32" s="1162" t="s">
        <v>24</v>
      </c>
      <c r="D32" s="1162" t="s">
        <v>25</v>
      </c>
      <c r="E32" s="1162" t="s">
        <v>26</v>
      </c>
      <c r="F32" s="1193" t="s">
        <v>27</v>
      </c>
      <c r="G32" s="107" t="s">
        <v>206</v>
      </c>
      <c r="H32" s="108" t="s">
        <v>203</v>
      </c>
      <c r="I32" s="108" t="s">
        <v>207</v>
      </c>
      <c r="J32" s="109" t="s">
        <v>208</v>
      </c>
      <c r="K32" s="1291">
        <f>+(J33+J34+J35)/3</f>
        <v>0.52380952380952372</v>
      </c>
      <c r="L32" s="1292" t="s">
        <v>200</v>
      </c>
      <c r="M32" s="1093">
        <v>0.52</v>
      </c>
      <c r="N32" s="1056">
        <v>0.3</v>
      </c>
      <c r="O32" s="1056">
        <f>+(M32+M36+M38)/3</f>
        <v>0.84</v>
      </c>
      <c r="P32" s="1059">
        <f>+N32*O32</f>
        <v>0.252</v>
      </c>
      <c r="Q32" s="107" t="s">
        <v>206</v>
      </c>
      <c r="R32" s="108" t="s">
        <v>203</v>
      </c>
      <c r="S32" s="108" t="s">
        <v>207</v>
      </c>
      <c r="T32" s="109" t="s">
        <v>208</v>
      </c>
      <c r="U32" s="1310">
        <f>SUM(T32:T35)/3</f>
        <v>0.95238095238095222</v>
      </c>
      <c r="V32" s="1292" t="s">
        <v>200</v>
      </c>
      <c r="W32" s="1093">
        <f>+U32</f>
        <v>0.95238095238095222</v>
      </c>
      <c r="X32" s="1056">
        <v>0.3</v>
      </c>
      <c r="Y32" s="1056">
        <f>SUM(W32:W42)/3</f>
        <v>0.81746031746031733</v>
      </c>
      <c r="Z32" s="1059">
        <f>+X32*Y32</f>
        <v>0.2452380952380952</v>
      </c>
    </row>
    <row r="33" spans="1:26" x14ac:dyDescent="0.3">
      <c r="A33" s="970"/>
      <c r="B33" s="973"/>
      <c r="C33" s="1162"/>
      <c r="D33" s="1162"/>
      <c r="E33" s="1162"/>
      <c r="F33" s="1193"/>
      <c r="G33" s="91" t="s">
        <v>164</v>
      </c>
      <c r="H33" s="98">
        <v>3</v>
      </c>
      <c r="I33" s="110">
        <v>7</v>
      </c>
      <c r="J33" s="111">
        <f>+H33/I33</f>
        <v>0.42857142857142855</v>
      </c>
      <c r="K33" s="1291"/>
      <c r="L33" s="1292"/>
      <c r="M33" s="1097"/>
      <c r="N33" s="1057"/>
      <c r="O33" s="1057"/>
      <c r="P33" s="1060"/>
      <c r="Q33" s="91" t="s">
        <v>164</v>
      </c>
      <c r="R33" s="98">
        <v>9</v>
      </c>
      <c r="S33" s="110">
        <v>7</v>
      </c>
      <c r="T33" s="111">
        <v>1.2857142857142858</v>
      </c>
      <c r="U33" s="1310"/>
      <c r="V33" s="1292"/>
      <c r="W33" s="1097"/>
      <c r="X33" s="1057"/>
      <c r="Y33" s="1057"/>
      <c r="Z33" s="1060"/>
    </row>
    <row r="34" spans="1:26" x14ac:dyDescent="0.3">
      <c r="A34" s="970"/>
      <c r="B34" s="973"/>
      <c r="C34" s="1162"/>
      <c r="D34" s="1162"/>
      <c r="E34" s="1162"/>
      <c r="F34" s="1193"/>
      <c r="G34" s="91" t="s">
        <v>165</v>
      </c>
      <c r="H34" s="98">
        <v>6</v>
      </c>
      <c r="I34" s="98">
        <v>7</v>
      </c>
      <c r="J34" s="111">
        <f t="shared" ref="J34:J35" si="2">+H34/I34</f>
        <v>0.8571428571428571</v>
      </c>
      <c r="K34" s="1291"/>
      <c r="L34" s="1292"/>
      <c r="M34" s="1097"/>
      <c r="N34" s="1057"/>
      <c r="O34" s="1057"/>
      <c r="P34" s="1060"/>
      <c r="Q34" s="91" t="s">
        <v>165</v>
      </c>
      <c r="R34" s="98">
        <v>7</v>
      </c>
      <c r="S34" s="98">
        <v>7</v>
      </c>
      <c r="T34" s="111">
        <v>1</v>
      </c>
      <c r="U34" s="1310"/>
      <c r="V34" s="1292"/>
      <c r="W34" s="1097"/>
      <c r="X34" s="1057"/>
      <c r="Y34" s="1057"/>
      <c r="Z34" s="1060"/>
    </row>
    <row r="35" spans="1:26" x14ac:dyDescent="0.3">
      <c r="A35" s="970"/>
      <c r="B35" s="973"/>
      <c r="C35" s="1163"/>
      <c r="D35" s="1163"/>
      <c r="E35" s="1163"/>
      <c r="F35" s="1171"/>
      <c r="G35" s="91" t="s">
        <v>166</v>
      </c>
      <c r="H35" s="98">
        <v>2</v>
      </c>
      <c r="I35" s="98">
        <v>7</v>
      </c>
      <c r="J35" s="111">
        <f t="shared" si="2"/>
        <v>0.2857142857142857</v>
      </c>
      <c r="K35" s="1200"/>
      <c r="L35" s="1293"/>
      <c r="M35" s="1097"/>
      <c r="N35" s="1057"/>
      <c r="O35" s="1057"/>
      <c r="P35" s="1060"/>
      <c r="Q35" s="91" t="s">
        <v>166</v>
      </c>
      <c r="R35" s="98">
        <v>4</v>
      </c>
      <c r="S35" s="98">
        <v>7</v>
      </c>
      <c r="T35" s="111">
        <v>0.5714285714285714</v>
      </c>
      <c r="U35" s="1123"/>
      <c r="V35" s="1293"/>
      <c r="W35" s="1097"/>
      <c r="X35" s="1057"/>
      <c r="Y35" s="1057"/>
      <c r="Z35" s="1060"/>
    </row>
    <row r="36" spans="1:26" ht="28.8" x14ac:dyDescent="0.3">
      <c r="A36" s="970"/>
      <c r="B36" s="973"/>
      <c r="C36" s="2" t="s">
        <v>28</v>
      </c>
      <c r="D36" s="2" t="s">
        <v>29</v>
      </c>
      <c r="E36" s="2" t="s">
        <v>30</v>
      </c>
      <c r="F36" s="55" t="s">
        <v>31</v>
      </c>
      <c r="G36" s="988" t="s">
        <v>167</v>
      </c>
      <c r="H36" s="1196"/>
      <c r="I36" s="1196"/>
      <c r="J36" s="1197"/>
      <c r="K36" s="77">
        <v>0</v>
      </c>
      <c r="L36" s="67" t="s">
        <v>199</v>
      </c>
      <c r="M36" s="71">
        <v>1</v>
      </c>
      <c r="N36" s="1057"/>
      <c r="O36" s="1057"/>
      <c r="P36" s="1060"/>
      <c r="Q36" s="988" t="s">
        <v>251</v>
      </c>
      <c r="R36" s="1196"/>
      <c r="S36" s="1196"/>
      <c r="T36" s="1197"/>
      <c r="U36" s="77">
        <v>0</v>
      </c>
      <c r="V36" s="67" t="s">
        <v>199</v>
      </c>
      <c r="W36" s="71">
        <v>1</v>
      </c>
      <c r="X36" s="1057"/>
      <c r="Y36" s="1057"/>
      <c r="Z36" s="1060"/>
    </row>
    <row r="37" spans="1:26" ht="28.8" x14ac:dyDescent="0.3">
      <c r="A37" s="970"/>
      <c r="B37" s="973"/>
      <c r="C37" s="2" t="s">
        <v>32</v>
      </c>
      <c r="D37" s="2" t="s">
        <v>33</v>
      </c>
      <c r="E37" s="2" t="s">
        <v>34</v>
      </c>
      <c r="F37" s="55" t="s">
        <v>35</v>
      </c>
      <c r="G37" s="988" t="s">
        <v>169</v>
      </c>
      <c r="H37" s="1196"/>
      <c r="I37" s="1196"/>
      <c r="J37" s="1197"/>
      <c r="K37" s="65" t="s">
        <v>201</v>
      </c>
      <c r="L37" s="67" t="s">
        <v>201</v>
      </c>
      <c r="M37" s="71" t="s">
        <v>201</v>
      </c>
      <c r="N37" s="1057"/>
      <c r="O37" s="1057"/>
      <c r="P37" s="1060"/>
      <c r="Q37" s="988" t="s">
        <v>289</v>
      </c>
      <c r="R37" s="1196"/>
      <c r="S37" s="1196"/>
      <c r="T37" s="1197"/>
      <c r="U37" s="65" t="s">
        <v>201</v>
      </c>
      <c r="V37" s="67" t="s">
        <v>201</v>
      </c>
      <c r="W37" s="71" t="s">
        <v>201</v>
      </c>
      <c r="X37" s="1057"/>
      <c r="Y37" s="1057"/>
      <c r="Z37" s="1060"/>
    </row>
    <row r="38" spans="1:26" ht="28.8" customHeight="1" x14ac:dyDescent="0.3">
      <c r="A38" s="970"/>
      <c r="B38" s="973"/>
      <c r="C38" s="1161" t="s">
        <v>36</v>
      </c>
      <c r="D38" s="1161" t="s">
        <v>37</v>
      </c>
      <c r="E38" s="1161" t="s">
        <v>237</v>
      </c>
      <c r="F38" s="1170" t="s">
        <v>38</v>
      </c>
      <c r="G38" s="91"/>
      <c r="H38" s="89" t="s">
        <v>203</v>
      </c>
      <c r="I38" s="89" t="s">
        <v>205</v>
      </c>
      <c r="J38" s="112" t="s">
        <v>209</v>
      </c>
      <c r="K38" s="1131">
        <f>+(J39+J40+J42)/3</f>
        <v>2.0453134698944758E-2</v>
      </c>
      <c r="L38" s="1084" t="s">
        <v>202</v>
      </c>
      <c r="M38" s="1097">
        <v>1</v>
      </c>
      <c r="N38" s="1057"/>
      <c r="O38" s="1057"/>
      <c r="P38" s="1060"/>
      <c r="Q38" s="91"/>
      <c r="R38" s="89" t="s">
        <v>252</v>
      </c>
      <c r="S38" s="89" t="s">
        <v>205</v>
      </c>
      <c r="T38" s="112" t="s">
        <v>209</v>
      </c>
      <c r="U38" s="1082">
        <f>SUM(T39:T42)/4</f>
        <v>1.2178999367994738E-2</v>
      </c>
      <c r="V38" s="1090" t="s">
        <v>290</v>
      </c>
      <c r="W38" s="1097">
        <v>0.5</v>
      </c>
      <c r="X38" s="1057"/>
      <c r="Y38" s="1057"/>
      <c r="Z38" s="1060"/>
    </row>
    <row r="39" spans="1:26" x14ac:dyDescent="0.3">
      <c r="A39" s="970"/>
      <c r="B39" s="973"/>
      <c r="C39" s="1162"/>
      <c r="D39" s="1162"/>
      <c r="E39" s="1162"/>
      <c r="F39" s="1193"/>
      <c r="G39" s="91" t="s">
        <v>164</v>
      </c>
      <c r="H39" s="88">
        <v>3</v>
      </c>
      <c r="I39" s="89">
        <v>180</v>
      </c>
      <c r="J39" s="113">
        <f>+H39/I39</f>
        <v>1.6666666666666666E-2</v>
      </c>
      <c r="K39" s="1131"/>
      <c r="L39" s="1084"/>
      <c r="M39" s="1097"/>
      <c r="N39" s="1057"/>
      <c r="O39" s="1057"/>
      <c r="P39" s="1060"/>
      <c r="Q39" s="91" t="s">
        <v>164</v>
      </c>
      <c r="R39" s="98">
        <v>2</v>
      </c>
      <c r="S39" s="89">
        <v>123</v>
      </c>
      <c r="T39" s="113">
        <v>2.4390243902439025E-2</v>
      </c>
      <c r="U39" s="1082"/>
      <c r="V39" s="1090"/>
      <c r="W39" s="1097"/>
      <c r="X39" s="1057"/>
      <c r="Y39" s="1057"/>
      <c r="Z39" s="1060"/>
    </row>
    <row r="40" spans="1:26" x14ac:dyDescent="0.3">
      <c r="A40" s="970"/>
      <c r="B40" s="973"/>
      <c r="C40" s="1162"/>
      <c r="D40" s="1162"/>
      <c r="E40" s="1162"/>
      <c r="F40" s="1193"/>
      <c r="G40" s="91" t="s">
        <v>165</v>
      </c>
      <c r="H40" s="88">
        <v>6</v>
      </c>
      <c r="I40" s="88">
        <v>179</v>
      </c>
      <c r="J40" s="113">
        <f t="shared" ref="J40:J42" si="3">+H40/I40</f>
        <v>3.3519553072625698E-2</v>
      </c>
      <c r="K40" s="1131"/>
      <c r="L40" s="1084"/>
      <c r="M40" s="1097"/>
      <c r="N40" s="1057"/>
      <c r="O40" s="1057"/>
      <c r="P40" s="1060"/>
      <c r="Q40" s="91" t="s">
        <v>165</v>
      </c>
      <c r="R40" s="98">
        <v>1</v>
      </c>
      <c r="S40" s="88">
        <v>122</v>
      </c>
      <c r="T40" s="113">
        <v>8.1967213114754103E-3</v>
      </c>
      <c r="U40" s="1082"/>
      <c r="V40" s="1090"/>
      <c r="W40" s="1097"/>
      <c r="X40" s="1057"/>
      <c r="Y40" s="1057"/>
      <c r="Z40" s="1060"/>
    </row>
    <row r="41" spans="1:26" x14ac:dyDescent="0.3">
      <c r="A41" s="970"/>
      <c r="B41" s="973"/>
      <c r="C41" s="1162"/>
      <c r="D41" s="1162"/>
      <c r="E41" s="1162"/>
      <c r="F41" s="1193"/>
      <c r="G41" s="128"/>
      <c r="H41" s="129"/>
      <c r="I41" s="129"/>
      <c r="J41" s="130"/>
      <c r="K41" s="1122"/>
      <c r="L41" s="1199"/>
      <c r="M41" s="1091"/>
      <c r="N41" s="1101"/>
      <c r="O41" s="1101"/>
      <c r="P41" s="1102"/>
      <c r="Q41" s="128" t="s">
        <v>166</v>
      </c>
      <c r="R41" s="132">
        <v>1</v>
      </c>
      <c r="S41" s="129">
        <v>124</v>
      </c>
      <c r="T41" s="130">
        <v>8.0645161290322578E-3</v>
      </c>
      <c r="U41" s="1312"/>
      <c r="V41" s="1316"/>
      <c r="W41" s="1091"/>
      <c r="X41" s="1101"/>
      <c r="Y41" s="1101"/>
      <c r="Z41" s="1102"/>
    </row>
    <row r="42" spans="1:26" ht="15" thickBot="1" x14ac:dyDescent="0.35">
      <c r="A42" s="970"/>
      <c r="B42" s="973"/>
      <c r="C42" s="1162"/>
      <c r="D42" s="1162"/>
      <c r="E42" s="1162"/>
      <c r="F42" s="1193"/>
      <c r="G42" s="128" t="s">
        <v>166</v>
      </c>
      <c r="H42" s="129">
        <v>2</v>
      </c>
      <c r="I42" s="129">
        <v>179</v>
      </c>
      <c r="J42" s="130">
        <f t="shared" si="3"/>
        <v>1.11731843575419E-2</v>
      </c>
      <c r="K42" s="1150"/>
      <c r="L42" s="1096"/>
      <c r="M42" s="1091"/>
      <c r="N42" s="1101"/>
      <c r="O42" s="1101"/>
      <c r="P42" s="1102"/>
      <c r="Q42" s="128" t="s">
        <v>282</v>
      </c>
      <c r="R42" s="132">
        <v>0</v>
      </c>
      <c r="S42" s="129">
        <v>107</v>
      </c>
      <c r="T42" s="130">
        <v>8.0645161290322578E-3</v>
      </c>
      <c r="U42" s="1238"/>
      <c r="V42" s="1140"/>
      <c r="W42" s="1098"/>
      <c r="X42" s="1058"/>
      <c r="Y42" s="1058"/>
      <c r="Z42" s="1061"/>
    </row>
    <row r="43" spans="1:26" ht="28.8" customHeight="1" x14ac:dyDescent="0.3">
      <c r="A43" s="993">
        <v>0.3</v>
      </c>
      <c r="B43" s="1180" t="s">
        <v>39</v>
      </c>
      <c r="C43" s="1023" t="s">
        <v>40</v>
      </c>
      <c r="D43" s="1023" t="s">
        <v>41</v>
      </c>
      <c r="E43" s="1023" t="s">
        <v>42</v>
      </c>
      <c r="F43" s="1023" t="s">
        <v>43</v>
      </c>
      <c r="G43" s="84"/>
      <c r="H43" s="84" t="s">
        <v>203</v>
      </c>
      <c r="I43" s="84" t="s">
        <v>204</v>
      </c>
      <c r="J43" s="126" t="s">
        <v>208</v>
      </c>
      <c r="K43" s="1081">
        <f>(J44+J45+J46+J47+J48+J49+J50+J51+J52)/9</f>
        <v>0.88013815372372939</v>
      </c>
      <c r="L43" s="1323" t="s">
        <v>200</v>
      </c>
      <c r="M43" s="1302">
        <v>0</v>
      </c>
      <c r="N43" s="1118">
        <v>0.3</v>
      </c>
      <c r="O43" s="1118">
        <f>(M43+M53+M74)/3</f>
        <v>0.58518518518518514</v>
      </c>
      <c r="P43" s="1119">
        <f>+N43*O43</f>
        <v>0.17555555555555555</v>
      </c>
      <c r="Q43" s="125"/>
      <c r="R43" s="146" t="s">
        <v>203</v>
      </c>
      <c r="S43" s="146" t="s">
        <v>204</v>
      </c>
      <c r="T43" s="147" t="s">
        <v>208</v>
      </c>
      <c r="U43" s="1311">
        <v>1.1186722418892519</v>
      </c>
      <c r="V43" s="1309" t="s">
        <v>200</v>
      </c>
      <c r="W43" s="1313">
        <v>1</v>
      </c>
      <c r="X43" s="1087">
        <v>0.3</v>
      </c>
      <c r="Y43" s="1087">
        <f>SUM(W43:W77)/3</f>
        <v>0.92129629629629628</v>
      </c>
      <c r="Z43" s="1088">
        <f>+X43*Y43</f>
        <v>0.27638888888888885</v>
      </c>
    </row>
    <row r="44" spans="1:26" x14ac:dyDescent="0.3">
      <c r="A44" s="994"/>
      <c r="B44" s="1182"/>
      <c r="C44" s="986"/>
      <c r="D44" s="986"/>
      <c r="E44" s="986"/>
      <c r="F44" s="986"/>
      <c r="G44" s="88" t="s">
        <v>170</v>
      </c>
      <c r="H44" s="88">
        <v>138</v>
      </c>
      <c r="I44" s="88">
        <v>71</v>
      </c>
      <c r="J44" s="113">
        <f t="shared" ref="J44:J52" si="4">+I44/H44</f>
        <v>0.51449275362318836</v>
      </c>
      <c r="K44" s="1082"/>
      <c r="L44" s="1300"/>
      <c r="M44" s="990"/>
      <c r="N44" s="976"/>
      <c r="O44" s="976"/>
      <c r="P44" s="979"/>
      <c r="Q44" s="91" t="s">
        <v>170</v>
      </c>
      <c r="R44" s="88">
        <v>138</v>
      </c>
      <c r="S44" s="88">
        <v>174</v>
      </c>
      <c r="T44" s="113">
        <v>1.2608695652173914</v>
      </c>
      <c r="U44" s="1160"/>
      <c r="V44" s="1084"/>
      <c r="W44" s="1097"/>
      <c r="X44" s="1057"/>
      <c r="Y44" s="1057"/>
      <c r="Z44" s="1060"/>
    </row>
    <row r="45" spans="1:26" x14ac:dyDescent="0.3">
      <c r="A45" s="994"/>
      <c r="B45" s="1182"/>
      <c r="C45" s="986"/>
      <c r="D45" s="986"/>
      <c r="E45" s="986"/>
      <c r="F45" s="986"/>
      <c r="G45" s="88" t="s">
        <v>171</v>
      </c>
      <c r="H45" s="88">
        <v>87</v>
      </c>
      <c r="I45" s="88">
        <v>66</v>
      </c>
      <c r="J45" s="113">
        <f t="shared" si="4"/>
        <v>0.75862068965517238</v>
      </c>
      <c r="K45" s="1082"/>
      <c r="L45" s="1300"/>
      <c r="M45" s="990"/>
      <c r="N45" s="976"/>
      <c r="O45" s="976"/>
      <c r="P45" s="979"/>
      <c r="Q45" s="91" t="s">
        <v>171</v>
      </c>
      <c r="R45" s="88">
        <v>108</v>
      </c>
      <c r="S45" s="88">
        <v>138</v>
      </c>
      <c r="T45" s="113">
        <v>1.2777777777777777</v>
      </c>
      <c r="U45" s="1160"/>
      <c r="V45" s="1084"/>
      <c r="W45" s="1097"/>
      <c r="X45" s="1057"/>
      <c r="Y45" s="1057"/>
      <c r="Z45" s="1060"/>
    </row>
    <row r="46" spans="1:26" x14ac:dyDescent="0.3">
      <c r="A46" s="994"/>
      <c r="B46" s="1182"/>
      <c r="C46" s="986"/>
      <c r="D46" s="986"/>
      <c r="E46" s="986"/>
      <c r="F46" s="986"/>
      <c r="G46" s="88" t="s">
        <v>172</v>
      </c>
      <c r="H46" s="88">
        <v>76</v>
      </c>
      <c r="I46" s="88">
        <v>128</v>
      </c>
      <c r="J46" s="113">
        <f t="shared" si="4"/>
        <v>1.6842105263157894</v>
      </c>
      <c r="K46" s="1082"/>
      <c r="L46" s="1300"/>
      <c r="M46" s="990"/>
      <c r="N46" s="976"/>
      <c r="O46" s="976"/>
      <c r="P46" s="979"/>
      <c r="Q46" s="91" t="s">
        <v>172</v>
      </c>
      <c r="R46" s="88">
        <v>76</v>
      </c>
      <c r="S46" s="88">
        <v>128</v>
      </c>
      <c r="T46" s="113">
        <v>1.6842105263157894</v>
      </c>
      <c r="U46" s="1160"/>
      <c r="V46" s="1084"/>
      <c r="W46" s="1097"/>
      <c r="X46" s="1057"/>
      <c r="Y46" s="1057"/>
      <c r="Z46" s="1060"/>
    </row>
    <row r="47" spans="1:26" x14ac:dyDescent="0.3">
      <c r="A47" s="994"/>
      <c r="B47" s="1182"/>
      <c r="C47" s="986"/>
      <c r="D47" s="986"/>
      <c r="E47" s="986"/>
      <c r="F47" s="986"/>
      <c r="G47" s="88" t="s">
        <v>173</v>
      </c>
      <c r="H47" s="88">
        <v>80</v>
      </c>
      <c r="I47" s="88">
        <v>64</v>
      </c>
      <c r="J47" s="113">
        <f t="shared" si="4"/>
        <v>0.8</v>
      </c>
      <c r="K47" s="1082"/>
      <c r="L47" s="1300"/>
      <c r="M47" s="990"/>
      <c r="N47" s="976"/>
      <c r="O47" s="976"/>
      <c r="P47" s="979"/>
      <c r="Q47" s="91" t="s">
        <v>173</v>
      </c>
      <c r="R47" s="88">
        <v>79</v>
      </c>
      <c r="S47" s="88">
        <v>79</v>
      </c>
      <c r="T47" s="113">
        <v>1</v>
      </c>
      <c r="U47" s="1160"/>
      <c r="V47" s="1084"/>
      <c r="W47" s="1097"/>
      <c r="X47" s="1057"/>
      <c r="Y47" s="1057"/>
      <c r="Z47" s="1060"/>
    </row>
    <row r="48" spans="1:26" x14ac:dyDescent="0.3">
      <c r="A48" s="994"/>
      <c r="B48" s="1182"/>
      <c r="C48" s="986"/>
      <c r="D48" s="986"/>
      <c r="E48" s="986"/>
      <c r="F48" s="986"/>
      <c r="G48" s="88" t="s">
        <v>174</v>
      </c>
      <c r="H48" s="88">
        <v>36</v>
      </c>
      <c r="I48" s="88">
        <v>36</v>
      </c>
      <c r="J48" s="113">
        <f t="shared" si="4"/>
        <v>1</v>
      </c>
      <c r="K48" s="1082"/>
      <c r="L48" s="1300"/>
      <c r="M48" s="990"/>
      <c r="N48" s="976"/>
      <c r="O48" s="976"/>
      <c r="P48" s="979"/>
      <c r="Q48" s="91" t="s">
        <v>174</v>
      </c>
      <c r="R48" s="88">
        <v>39</v>
      </c>
      <c r="S48" s="88">
        <v>38</v>
      </c>
      <c r="T48" s="113">
        <v>0.97435897435897434</v>
      </c>
      <c r="U48" s="1160"/>
      <c r="V48" s="1084"/>
      <c r="W48" s="1097"/>
      <c r="X48" s="1057"/>
      <c r="Y48" s="1057"/>
      <c r="Z48" s="1060"/>
    </row>
    <row r="49" spans="1:26" x14ac:dyDescent="0.3">
      <c r="A49" s="994"/>
      <c r="B49" s="1182"/>
      <c r="C49" s="986"/>
      <c r="D49" s="986"/>
      <c r="E49" s="986"/>
      <c r="F49" s="986"/>
      <c r="G49" s="88" t="s">
        <v>175</v>
      </c>
      <c r="H49" s="88">
        <v>48</v>
      </c>
      <c r="I49" s="88">
        <v>44</v>
      </c>
      <c r="J49" s="113">
        <f t="shared" si="4"/>
        <v>0.91666666666666663</v>
      </c>
      <c r="K49" s="1082"/>
      <c r="L49" s="1300"/>
      <c r="M49" s="990"/>
      <c r="N49" s="976"/>
      <c r="O49" s="976"/>
      <c r="P49" s="979"/>
      <c r="Q49" s="91" t="s">
        <v>175</v>
      </c>
      <c r="R49" s="88">
        <v>48</v>
      </c>
      <c r="S49" s="88">
        <v>45</v>
      </c>
      <c r="T49" s="113">
        <v>0.9375</v>
      </c>
      <c r="U49" s="1160"/>
      <c r="V49" s="1084"/>
      <c r="W49" s="1097"/>
      <c r="X49" s="1057"/>
      <c r="Y49" s="1057"/>
      <c r="Z49" s="1060"/>
    </row>
    <row r="50" spans="1:26" x14ac:dyDescent="0.3">
      <c r="A50" s="994"/>
      <c r="B50" s="1182"/>
      <c r="C50" s="986"/>
      <c r="D50" s="986"/>
      <c r="E50" s="986"/>
      <c r="F50" s="986"/>
      <c r="G50" s="88" t="s">
        <v>176</v>
      </c>
      <c r="H50" s="88">
        <v>1</v>
      </c>
      <c r="I50" s="88">
        <v>1</v>
      </c>
      <c r="J50" s="113">
        <f t="shared" si="4"/>
        <v>1</v>
      </c>
      <c r="K50" s="1082"/>
      <c r="L50" s="1300"/>
      <c r="M50" s="990"/>
      <c r="N50" s="976"/>
      <c r="O50" s="976"/>
      <c r="P50" s="979"/>
      <c r="Q50" s="91" t="s">
        <v>176</v>
      </c>
      <c r="R50" s="88">
        <v>1</v>
      </c>
      <c r="S50" s="88">
        <v>1</v>
      </c>
      <c r="T50" s="113">
        <v>1</v>
      </c>
      <c r="U50" s="1160"/>
      <c r="V50" s="1084"/>
      <c r="W50" s="1097"/>
      <c r="X50" s="1057"/>
      <c r="Y50" s="1057"/>
      <c r="Z50" s="1060"/>
    </row>
    <row r="51" spans="1:26" x14ac:dyDescent="0.3">
      <c r="A51" s="994"/>
      <c r="B51" s="1182"/>
      <c r="C51" s="986"/>
      <c r="D51" s="986"/>
      <c r="E51" s="986"/>
      <c r="F51" s="986"/>
      <c r="G51" s="88" t="s">
        <v>177</v>
      </c>
      <c r="H51" s="88">
        <v>26</v>
      </c>
      <c r="I51" s="88">
        <v>25</v>
      </c>
      <c r="J51" s="113">
        <f t="shared" si="4"/>
        <v>0.96153846153846156</v>
      </c>
      <c r="K51" s="1082"/>
      <c r="L51" s="1300"/>
      <c r="M51" s="990"/>
      <c r="N51" s="976"/>
      <c r="O51" s="976"/>
      <c r="P51" s="979"/>
      <c r="Q51" s="91" t="s">
        <v>177</v>
      </c>
      <c r="R51" s="88">
        <v>30</v>
      </c>
      <c r="S51" s="88">
        <v>30</v>
      </c>
      <c r="T51" s="113">
        <v>1</v>
      </c>
      <c r="U51" s="1160"/>
      <c r="V51" s="1084"/>
      <c r="W51" s="1097"/>
      <c r="X51" s="1057"/>
      <c r="Y51" s="1057"/>
      <c r="Z51" s="1060"/>
    </row>
    <row r="52" spans="1:26" x14ac:dyDescent="0.3">
      <c r="A52" s="994"/>
      <c r="B52" s="1182"/>
      <c r="C52" s="986"/>
      <c r="D52" s="986"/>
      <c r="E52" s="986"/>
      <c r="F52" s="986"/>
      <c r="G52" s="88" t="s">
        <v>178</v>
      </c>
      <c r="H52" s="88">
        <v>7</v>
      </c>
      <c r="I52" s="88">
        <v>2</v>
      </c>
      <c r="J52" s="113">
        <f t="shared" si="4"/>
        <v>0.2857142857142857</v>
      </c>
      <c r="K52" s="1082"/>
      <c r="L52" s="1300"/>
      <c r="M52" s="990"/>
      <c r="N52" s="976"/>
      <c r="O52" s="976"/>
      <c r="P52" s="979"/>
      <c r="Q52" s="91" t="s">
        <v>178</v>
      </c>
      <c r="R52" s="88">
        <v>15</v>
      </c>
      <c r="S52" s="88">
        <v>14</v>
      </c>
      <c r="T52" s="113">
        <v>0.93333333333333335</v>
      </c>
      <c r="U52" s="1160"/>
      <c r="V52" s="1084"/>
      <c r="W52" s="1097"/>
      <c r="X52" s="1057"/>
      <c r="Y52" s="1057"/>
      <c r="Z52" s="1060"/>
    </row>
    <row r="53" spans="1:26" ht="15" customHeight="1" x14ac:dyDescent="0.3">
      <c r="A53" s="994"/>
      <c r="B53" s="1182"/>
      <c r="C53" s="1000" t="s">
        <v>44</v>
      </c>
      <c r="D53" s="1000" t="s">
        <v>45</v>
      </c>
      <c r="E53" s="1000" t="s">
        <v>46</v>
      </c>
      <c r="F53" s="1000" t="s">
        <v>47</v>
      </c>
      <c r="G53" s="88"/>
      <c r="H53" s="88" t="s">
        <v>210</v>
      </c>
      <c r="I53" s="88" t="s">
        <v>211</v>
      </c>
      <c r="J53" s="113" t="s">
        <v>212</v>
      </c>
      <c r="K53" s="1320">
        <f>(J54+J55+J56+J57+J58+J59+J60+J61+J62+J63+J64)/11</f>
        <v>14</v>
      </c>
      <c r="L53" s="1317" t="s">
        <v>213</v>
      </c>
      <c r="M53" s="990">
        <v>1</v>
      </c>
      <c r="N53" s="976"/>
      <c r="O53" s="976"/>
      <c r="P53" s="979"/>
      <c r="Q53" s="91"/>
      <c r="R53" s="144" t="s">
        <v>210</v>
      </c>
      <c r="S53" s="144" t="s">
        <v>211</v>
      </c>
      <c r="T53" s="145" t="s">
        <v>212</v>
      </c>
      <c r="U53" s="1306">
        <v>7.9090909090909101</v>
      </c>
      <c r="V53" s="1090" t="s">
        <v>213</v>
      </c>
      <c r="W53" s="1091">
        <v>1</v>
      </c>
      <c r="X53" s="1057"/>
      <c r="Y53" s="1057"/>
      <c r="Z53" s="1060"/>
    </row>
    <row r="54" spans="1:26" ht="14.4" customHeight="1" x14ac:dyDescent="0.3">
      <c r="A54" s="994"/>
      <c r="B54" s="1182"/>
      <c r="C54" s="1000"/>
      <c r="D54" s="1000"/>
      <c r="E54" s="1000"/>
      <c r="F54" s="1000"/>
      <c r="G54" s="88" t="s">
        <v>179</v>
      </c>
      <c r="H54" s="114">
        <v>45870</v>
      </c>
      <c r="I54" s="114">
        <v>45884</v>
      </c>
      <c r="J54" s="112">
        <f>_xlfn.DAYS(I54,H54)</f>
        <v>14</v>
      </c>
      <c r="K54" s="1321"/>
      <c r="L54" s="1318"/>
      <c r="M54" s="990"/>
      <c r="N54" s="976"/>
      <c r="O54" s="976"/>
      <c r="P54" s="979"/>
      <c r="Q54" s="91" t="s">
        <v>179</v>
      </c>
      <c r="R54" s="142">
        <v>45903</v>
      </c>
      <c r="S54" s="142">
        <v>45911</v>
      </c>
      <c r="T54" s="118">
        <f>_xlfn.DAYS(S54,R54)</f>
        <v>8</v>
      </c>
      <c r="U54" s="1306"/>
      <c r="V54" s="1090"/>
      <c r="W54" s="1092"/>
      <c r="X54" s="1057"/>
      <c r="Y54" s="1057"/>
      <c r="Z54" s="1060"/>
    </row>
    <row r="55" spans="1:26" x14ac:dyDescent="0.3">
      <c r="A55" s="994"/>
      <c r="B55" s="1182"/>
      <c r="C55" s="1000"/>
      <c r="D55" s="1000"/>
      <c r="E55" s="1000"/>
      <c r="F55" s="1000"/>
      <c r="G55" s="88" t="s">
        <v>180</v>
      </c>
      <c r="H55" s="114">
        <v>45870</v>
      </c>
      <c r="I55" s="114">
        <v>45884</v>
      </c>
      <c r="J55" s="112">
        <f t="shared" ref="J55:J64" si="5">_xlfn.DAYS(I55,H55)</f>
        <v>14</v>
      </c>
      <c r="K55" s="1321"/>
      <c r="L55" s="1318"/>
      <c r="M55" s="990"/>
      <c r="N55" s="976"/>
      <c r="O55" s="976"/>
      <c r="P55" s="979"/>
      <c r="Q55" s="91" t="s">
        <v>180</v>
      </c>
      <c r="R55" s="142">
        <v>45894</v>
      </c>
      <c r="S55" s="142">
        <v>45901</v>
      </c>
      <c r="T55" s="118">
        <f t="shared" ref="T55:T73" si="6">_xlfn.DAYS(S55,R55)</f>
        <v>7</v>
      </c>
      <c r="U55" s="1306"/>
      <c r="V55" s="1090"/>
      <c r="W55" s="1092"/>
      <c r="X55" s="1057"/>
      <c r="Y55" s="1057"/>
      <c r="Z55" s="1060"/>
    </row>
    <row r="56" spans="1:26" x14ac:dyDescent="0.3">
      <c r="A56" s="994"/>
      <c r="B56" s="1182"/>
      <c r="C56" s="1000"/>
      <c r="D56" s="1000"/>
      <c r="E56" s="1000"/>
      <c r="F56" s="1000"/>
      <c r="G56" s="88" t="s">
        <v>181</v>
      </c>
      <c r="H56" s="114">
        <v>45870</v>
      </c>
      <c r="I56" s="114">
        <v>45884</v>
      </c>
      <c r="J56" s="112">
        <f t="shared" si="5"/>
        <v>14</v>
      </c>
      <c r="K56" s="1321"/>
      <c r="L56" s="1318"/>
      <c r="M56" s="990"/>
      <c r="N56" s="976"/>
      <c r="O56" s="976"/>
      <c r="P56" s="979"/>
      <c r="Q56" s="91" t="s">
        <v>181</v>
      </c>
      <c r="R56" s="142">
        <v>45910</v>
      </c>
      <c r="S56" s="142">
        <v>45919</v>
      </c>
      <c r="T56" s="118">
        <f t="shared" si="6"/>
        <v>9</v>
      </c>
      <c r="U56" s="1306"/>
      <c r="V56" s="1090"/>
      <c r="W56" s="1092"/>
      <c r="X56" s="1057"/>
      <c r="Y56" s="1057"/>
      <c r="Z56" s="1060"/>
    </row>
    <row r="57" spans="1:26" x14ac:dyDescent="0.3">
      <c r="A57" s="994"/>
      <c r="B57" s="1182"/>
      <c r="C57" s="1000"/>
      <c r="D57" s="1000"/>
      <c r="E57" s="1000"/>
      <c r="F57" s="1000"/>
      <c r="G57" s="88" t="s">
        <v>182</v>
      </c>
      <c r="H57" s="114">
        <v>45870</v>
      </c>
      <c r="I57" s="114">
        <v>45884</v>
      </c>
      <c r="J57" s="112">
        <f t="shared" si="5"/>
        <v>14</v>
      </c>
      <c r="K57" s="1321"/>
      <c r="L57" s="1318"/>
      <c r="M57" s="990"/>
      <c r="N57" s="976"/>
      <c r="O57" s="976"/>
      <c r="P57" s="979"/>
      <c r="Q57" s="91" t="s">
        <v>182</v>
      </c>
      <c r="R57" s="142">
        <v>45909</v>
      </c>
      <c r="S57" s="142">
        <v>45912</v>
      </c>
      <c r="T57" s="118">
        <f t="shared" si="6"/>
        <v>3</v>
      </c>
      <c r="U57" s="1306"/>
      <c r="V57" s="1090"/>
      <c r="W57" s="1092"/>
      <c r="X57" s="1057"/>
      <c r="Y57" s="1057"/>
      <c r="Z57" s="1060"/>
    </row>
    <row r="58" spans="1:26" x14ac:dyDescent="0.3">
      <c r="A58" s="994"/>
      <c r="B58" s="1182"/>
      <c r="C58" s="1000"/>
      <c r="D58" s="1000"/>
      <c r="E58" s="1000"/>
      <c r="F58" s="1000"/>
      <c r="G58" s="88" t="s">
        <v>183</v>
      </c>
      <c r="H58" s="114">
        <v>45870</v>
      </c>
      <c r="I58" s="114">
        <v>45884</v>
      </c>
      <c r="J58" s="112">
        <f t="shared" si="5"/>
        <v>14</v>
      </c>
      <c r="K58" s="1321"/>
      <c r="L58" s="1318"/>
      <c r="M58" s="990"/>
      <c r="N58" s="976"/>
      <c r="O58" s="976"/>
      <c r="P58" s="979"/>
      <c r="Q58" s="91" t="s">
        <v>183</v>
      </c>
      <c r="R58" s="142">
        <v>45909</v>
      </c>
      <c r="S58" s="142">
        <v>45912</v>
      </c>
      <c r="T58" s="118">
        <f t="shared" si="6"/>
        <v>3</v>
      </c>
      <c r="U58" s="1306"/>
      <c r="V58" s="1090"/>
      <c r="W58" s="1092"/>
      <c r="X58" s="1057"/>
      <c r="Y58" s="1057"/>
      <c r="Z58" s="1060"/>
    </row>
    <row r="59" spans="1:26" x14ac:dyDescent="0.3">
      <c r="A59" s="994"/>
      <c r="B59" s="1182"/>
      <c r="C59" s="1000"/>
      <c r="D59" s="1000"/>
      <c r="E59" s="1000"/>
      <c r="F59" s="1000"/>
      <c r="G59" s="88" t="s">
        <v>184</v>
      </c>
      <c r="H59" s="114">
        <v>45870</v>
      </c>
      <c r="I59" s="114">
        <v>45884</v>
      </c>
      <c r="J59" s="112">
        <f t="shared" si="5"/>
        <v>14</v>
      </c>
      <c r="K59" s="1321"/>
      <c r="L59" s="1318"/>
      <c r="M59" s="990"/>
      <c r="N59" s="976"/>
      <c r="O59" s="976"/>
      <c r="P59" s="979"/>
      <c r="Q59" s="91" t="s">
        <v>184</v>
      </c>
      <c r="R59" s="142">
        <v>45909</v>
      </c>
      <c r="S59" s="142">
        <v>45911</v>
      </c>
      <c r="T59" s="118">
        <f t="shared" si="6"/>
        <v>2</v>
      </c>
      <c r="U59" s="1306"/>
      <c r="V59" s="1090"/>
      <c r="W59" s="1092"/>
      <c r="X59" s="1057"/>
      <c r="Y59" s="1057"/>
      <c r="Z59" s="1060"/>
    </row>
    <row r="60" spans="1:26" x14ac:dyDescent="0.3">
      <c r="A60" s="994"/>
      <c r="B60" s="1182"/>
      <c r="C60" s="1000"/>
      <c r="D60" s="1000"/>
      <c r="E60" s="1000"/>
      <c r="F60" s="1000"/>
      <c r="G60" s="88" t="s">
        <v>185</v>
      </c>
      <c r="H60" s="114">
        <v>45870</v>
      </c>
      <c r="I60" s="114">
        <v>45884</v>
      </c>
      <c r="J60" s="112">
        <f t="shared" si="5"/>
        <v>14</v>
      </c>
      <c r="K60" s="1321"/>
      <c r="L60" s="1318"/>
      <c r="M60" s="990"/>
      <c r="N60" s="976"/>
      <c r="O60" s="976"/>
      <c r="P60" s="979"/>
      <c r="Q60" s="91" t="s">
        <v>185</v>
      </c>
      <c r="R60" s="142">
        <v>45909</v>
      </c>
      <c r="S60" s="142">
        <v>45911</v>
      </c>
      <c r="T60" s="118">
        <f t="shared" si="6"/>
        <v>2</v>
      </c>
      <c r="U60" s="1306"/>
      <c r="V60" s="1090"/>
      <c r="W60" s="1092"/>
      <c r="X60" s="1057"/>
      <c r="Y60" s="1057"/>
      <c r="Z60" s="1060"/>
    </row>
    <row r="61" spans="1:26" x14ac:dyDescent="0.3">
      <c r="A61" s="994"/>
      <c r="B61" s="1182"/>
      <c r="C61" s="1000"/>
      <c r="D61" s="1000"/>
      <c r="E61" s="1000"/>
      <c r="F61" s="1000"/>
      <c r="G61" s="88" t="s">
        <v>186</v>
      </c>
      <c r="H61" s="114">
        <v>45870</v>
      </c>
      <c r="I61" s="114">
        <v>45884</v>
      </c>
      <c r="J61" s="112">
        <f t="shared" si="5"/>
        <v>14</v>
      </c>
      <c r="K61" s="1321"/>
      <c r="L61" s="1318"/>
      <c r="M61" s="990"/>
      <c r="N61" s="976"/>
      <c r="O61" s="976"/>
      <c r="P61" s="979"/>
      <c r="Q61" s="91" t="s">
        <v>186</v>
      </c>
      <c r="R61" s="142">
        <v>45909</v>
      </c>
      <c r="S61" s="142">
        <v>45911</v>
      </c>
      <c r="T61" s="118">
        <f t="shared" si="6"/>
        <v>2</v>
      </c>
      <c r="U61" s="1306"/>
      <c r="V61" s="1090"/>
      <c r="W61" s="1092"/>
      <c r="X61" s="1057"/>
      <c r="Y61" s="1057"/>
      <c r="Z61" s="1060"/>
    </row>
    <row r="62" spans="1:26" x14ac:dyDescent="0.3">
      <c r="A62" s="994"/>
      <c r="B62" s="1182"/>
      <c r="C62" s="1000"/>
      <c r="D62" s="1000"/>
      <c r="E62" s="1000"/>
      <c r="F62" s="1000"/>
      <c r="G62" s="88" t="s">
        <v>187</v>
      </c>
      <c r="H62" s="114">
        <v>45870</v>
      </c>
      <c r="I62" s="114">
        <v>45884</v>
      </c>
      <c r="J62" s="112">
        <f t="shared" si="5"/>
        <v>14</v>
      </c>
      <c r="K62" s="1321"/>
      <c r="L62" s="1318"/>
      <c r="M62" s="990"/>
      <c r="N62" s="976"/>
      <c r="O62" s="976"/>
      <c r="P62" s="979"/>
      <c r="Q62" s="91" t="s">
        <v>187</v>
      </c>
      <c r="R62" s="142">
        <v>45914</v>
      </c>
      <c r="S62" s="142">
        <v>45918</v>
      </c>
      <c r="T62" s="118">
        <f t="shared" si="6"/>
        <v>4</v>
      </c>
      <c r="U62" s="1306"/>
      <c r="V62" s="1090"/>
      <c r="W62" s="1092"/>
      <c r="X62" s="1057"/>
      <c r="Y62" s="1057"/>
      <c r="Z62" s="1060"/>
    </row>
    <row r="63" spans="1:26" x14ac:dyDescent="0.3">
      <c r="A63" s="994"/>
      <c r="B63" s="1182"/>
      <c r="C63" s="1000"/>
      <c r="D63" s="1000"/>
      <c r="E63" s="1000"/>
      <c r="F63" s="1000"/>
      <c r="G63" s="88" t="s">
        <v>188</v>
      </c>
      <c r="H63" s="114">
        <v>45870</v>
      </c>
      <c r="I63" s="114">
        <v>45884</v>
      </c>
      <c r="J63" s="112">
        <f t="shared" si="5"/>
        <v>14</v>
      </c>
      <c r="K63" s="1321"/>
      <c r="L63" s="1318"/>
      <c r="M63" s="990"/>
      <c r="N63" s="976"/>
      <c r="O63" s="976"/>
      <c r="P63" s="979"/>
      <c r="Q63" s="91" t="s">
        <v>188</v>
      </c>
      <c r="R63" s="142">
        <v>45916</v>
      </c>
      <c r="S63" s="142">
        <v>45916</v>
      </c>
      <c r="T63" s="118">
        <f t="shared" si="6"/>
        <v>0</v>
      </c>
      <c r="U63" s="1306"/>
      <c r="V63" s="1090"/>
      <c r="W63" s="1092"/>
      <c r="X63" s="1057"/>
      <c r="Y63" s="1057"/>
      <c r="Z63" s="1060"/>
    </row>
    <row r="64" spans="1:26" x14ac:dyDescent="0.3">
      <c r="A64" s="994"/>
      <c r="B64" s="1182"/>
      <c r="C64" s="1000"/>
      <c r="D64" s="1000"/>
      <c r="E64" s="1000"/>
      <c r="F64" s="1000"/>
      <c r="G64" s="88" t="s">
        <v>189</v>
      </c>
      <c r="H64" s="114">
        <v>45870</v>
      </c>
      <c r="I64" s="114">
        <v>45884</v>
      </c>
      <c r="J64" s="112">
        <f t="shared" si="5"/>
        <v>14</v>
      </c>
      <c r="K64" s="1321"/>
      <c r="L64" s="1318"/>
      <c r="M64" s="990"/>
      <c r="N64" s="976"/>
      <c r="O64" s="976"/>
      <c r="P64" s="979"/>
      <c r="Q64" s="91" t="s">
        <v>189</v>
      </c>
      <c r="R64" s="142">
        <v>45911</v>
      </c>
      <c r="S64" s="142">
        <v>45922</v>
      </c>
      <c r="T64" s="118">
        <f t="shared" si="6"/>
        <v>11</v>
      </c>
      <c r="U64" s="1306"/>
      <c r="V64" s="1090"/>
      <c r="W64" s="1092"/>
      <c r="X64" s="1057"/>
      <c r="Y64" s="1057"/>
      <c r="Z64" s="1060"/>
    </row>
    <row r="65" spans="1:26" ht="28.8" customHeight="1" x14ac:dyDescent="0.3">
      <c r="A65" s="994"/>
      <c r="B65" s="1182"/>
      <c r="C65" s="1000"/>
      <c r="D65" s="1000"/>
      <c r="E65" s="1000"/>
      <c r="F65" s="1000"/>
      <c r="G65" s="956"/>
      <c r="H65" s="956"/>
      <c r="I65" s="956"/>
      <c r="J65" s="1295"/>
      <c r="K65" s="1321"/>
      <c r="L65" s="1318"/>
      <c r="M65" s="990"/>
      <c r="N65" s="976"/>
      <c r="O65" s="976"/>
      <c r="P65" s="979"/>
      <c r="Q65" s="91" t="s">
        <v>253</v>
      </c>
      <c r="R65" s="142">
        <v>45916</v>
      </c>
      <c r="S65" s="142">
        <v>45922</v>
      </c>
      <c r="T65" s="118">
        <f t="shared" si="6"/>
        <v>6</v>
      </c>
      <c r="U65" s="1306"/>
      <c r="V65" s="1090"/>
      <c r="W65" s="1092"/>
      <c r="X65" s="1057"/>
      <c r="Y65" s="1057"/>
      <c r="Z65" s="1060"/>
    </row>
    <row r="66" spans="1:26" x14ac:dyDescent="0.3">
      <c r="A66" s="994"/>
      <c r="B66" s="1182"/>
      <c r="C66" s="1000"/>
      <c r="D66" s="1000"/>
      <c r="E66" s="1000"/>
      <c r="F66" s="1000"/>
      <c r="G66" s="956"/>
      <c r="H66" s="956"/>
      <c r="I66" s="956"/>
      <c r="J66" s="1295"/>
      <c r="K66" s="1321"/>
      <c r="L66" s="1318"/>
      <c r="M66" s="990"/>
      <c r="N66" s="976"/>
      <c r="O66" s="976"/>
      <c r="P66" s="979"/>
      <c r="Q66" s="91" t="s">
        <v>254</v>
      </c>
      <c r="R66" s="142">
        <v>45919</v>
      </c>
      <c r="S66" s="142">
        <v>45922</v>
      </c>
      <c r="T66" s="118">
        <f t="shared" si="6"/>
        <v>3</v>
      </c>
      <c r="U66" s="1306"/>
      <c r="V66" s="1090"/>
      <c r="W66" s="1092"/>
      <c r="X66" s="1057"/>
      <c r="Y66" s="1057"/>
      <c r="Z66" s="1060"/>
    </row>
    <row r="67" spans="1:26" x14ac:dyDescent="0.3">
      <c r="A67" s="994"/>
      <c r="B67" s="1182"/>
      <c r="C67" s="1000"/>
      <c r="D67" s="1000"/>
      <c r="E67" s="1000"/>
      <c r="F67" s="1000"/>
      <c r="G67" s="956"/>
      <c r="H67" s="956"/>
      <c r="I67" s="956"/>
      <c r="J67" s="1295"/>
      <c r="K67" s="1321"/>
      <c r="L67" s="1318"/>
      <c r="M67" s="990"/>
      <c r="N67" s="976"/>
      <c r="O67" s="976"/>
      <c r="P67" s="979"/>
      <c r="Q67" s="91" t="s">
        <v>255</v>
      </c>
      <c r="R67" s="142">
        <v>45919</v>
      </c>
      <c r="S67" s="142">
        <v>45926</v>
      </c>
      <c r="T67" s="118">
        <f t="shared" si="6"/>
        <v>7</v>
      </c>
      <c r="U67" s="1306"/>
      <c r="V67" s="1090"/>
      <c r="W67" s="1092"/>
      <c r="X67" s="1057"/>
      <c r="Y67" s="1057"/>
      <c r="Z67" s="1060"/>
    </row>
    <row r="68" spans="1:26" x14ac:dyDescent="0.3">
      <c r="A68" s="994"/>
      <c r="B68" s="1182"/>
      <c r="C68" s="1000"/>
      <c r="D68" s="1000"/>
      <c r="E68" s="1000"/>
      <c r="F68" s="1000"/>
      <c r="G68" s="956"/>
      <c r="H68" s="956"/>
      <c r="I68" s="956"/>
      <c r="J68" s="1295"/>
      <c r="K68" s="1321"/>
      <c r="L68" s="1318"/>
      <c r="M68" s="990"/>
      <c r="N68" s="976"/>
      <c r="O68" s="976"/>
      <c r="P68" s="979"/>
      <c r="Q68" s="91" t="s">
        <v>256</v>
      </c>
      <c r="R68" s="142">
        <v>45921</v>
      </c>
      <c r="S68" s="142">
        <v>45925</v>
      </c>
      <c r="T68" s="118">
        <f t="shared" si="6"/>
        <v>4</v>
      </c>
      <c r="U68" s="1306"/>
      <c r="V68" s="1090"/>
      <c r="W68" s="1092"/>
      <c r="X68" s="1057"/>
      <c r="Y68" s="1057"/>
      <c r="Z68" s="1060"/>
    </row>
    <row r="69" spans="1:26" x14ac:dyDescent="0.3">
      <c r="A69" s="994"/>
      <c r="B69" s="1182"/>
      <c r="C69" s="1000"/>
      <c r="D69" s="1000"/>
      <c r="E69" s="1000"/>
      <c r="F69" s="1000"/>
      <c r="G69" s="956"/>
      <c r="H69" s="956"/>
      <c r="I69" s="956"/>
      <c r="J69" s="1295"/>
      <c r="K69" s="1321"/>
      <c r="L69" s="1318"/>
      <c r="M69" s="990"/>
      <c r="N69" s="976"/>
      <c r="O69" s="976"/>
      <c r="P69" s="979"/>
      <c r="Q69" s="91" t="s">
        <v>257</v>
      </c>
      <c r="R69" s="142">
        <v>45833</v>
      </c>
      <c r="S69" s="142">
        <v>45918</v>
      </c>
      <c r="T69" s="118">
        <f t="shared" si="6"/>
        <v>85</v>
      </c>
      <c r="U69" s="1306"/>
      <c r="V69" s="1090"/>
      <c r="W69" s="1092"/>
      <c r="X69" s="1057"/>
      <c r="Y69" s="1057"/>
      <c r="Z69" s="1060"/>
    </row>
    <row r="70" spans="1:26" x14ac:dyDescent="0.3">
      <c r="A70" s="994"/>
      <c r="B70" s="1182"/>
      <c r="C70" s="1000"/>
      <c r="D70" s="1000"/>
      <c r="E70" s="1000"/>
      <c r="F70" s="1000"/>
      <c r="G70" s="956"/>
      <c r="H70" s="956"/>
      <c r="I70" s="956"/>
      <c r="J70" s="1295"/>
      <c r="K70" s="1321"/>
      <c r="L70" s="1318"/>
      <c r="M70" s="990"/>
      <c r="N70" s="976"/>
      <c r="O70" s="976"/>
      <c r="P70" s="979"/>
      <c r="Q70" s="91" t="s">
        <v>258</v>
      </c>
      <c r="R70" s="142">
        <v>45929</v>
      </c>
      <c r="S70" s="142">
        <v>45929</v>
      </c>
      <c r="T70" s="118">
        <f t="shared" si="6"/>
        <v>0</v>
      </c>
      <c r="U70" s="1306"/>
      <c r="V70" s="1090"/>
      <c r="W70" s="1092"/>
      <c r="X70" s="1057"/>
      <c r="Y70" s="1057"/>
      <c r="Z70" s="1060"/>
    </row>
    <row r="71" spans="1:26" x14ac:dyDescent="0.3">
      <c r="A71" s="994"/>
      <c r="B71" s="1182"/>
      <c r="C71" s="1000"/>
      <c r="D71" s="1000"/>
      <c r="E71" s="1000"/>
      <c r="F71" s="1000"/>
      <c r="G71" s="956"/>
      <c r="H71" s="956"/>
      <c r="I71" s="956"/>
      <c r="J71" s="1295"/>
      <c r="K71" s="1321"/>
      <c r="L71" s="1318"/>
      <c r="M71" s="990"/>
      <c r="N71" s="976"/>
      <c r="O71" s="976"/>
      <c r="P71" s="979"/>
      <c r="Q71" s="91" t="s">
        <v>259</v>
      </c>
      <c r="R71" s="142">
        <v>45920</v>
      </c>
      <c r="S71" s="142">
        <v>45927</v>
      </c>
      <c r="T71" s="118">
        <f t="shared" si="6"/>
        <v>7</v>
      </c>
      <c r="U71" s="1306"/>
      <c r="V71" s="1090"/>
      <c r="W71" s="1092"/>
      <c r="X71" s="1057"/>
      <c r="Y71" s="1057"/>
      <c r="Z71" s="1060"/>
    </row>
    <row r="72" spans="1:26" x14ac:dyDescent="0.3">
      <c r="A72" s="994"/>
      <c r="B72" s="1182"/>
      <c r="C72" s="1000"/>
      <c r="D72" s="1000"/>
      <c r="E72" s="1000"/>
      <c r="F72" s="1000"/>
      <c r="G72" s="956"/>
      <c r="H72" s="956"/>
      <c r="I72" s="956"/>
      <c r="J72" s="1295"/>
      <c r="K72" s="1321"/>
      <c r="L72" s="1318"/>
      <c r="M72" s="990"/>
      <c r="N72" s="976"/>
      <c r="O72" s="976"/>
      <c r="P72" s="979"/>
      <c r="Q72" s="91" t="s">
        <v>260</v>
      </c>
      <c r="R72" s="142">
        <v>45928</v>
      </c>
      <c r="S72" s="142">
        <v>45929</v>
      </c>
      <c r="T72" s="118">
        <f t="shared" si="6"/>
        <v>1</v>
      </c>
      <c r="U72" s="1306"/>
      <c r="V72" s="1090"/>
      <c r="W72" s="1092"/>
      <c r="X72" s="1057"/>
      <c r="Y72" s="1057"/>
      <c r="Z72" s="1060"/>
    </row>
    <row r="73" spans="1:26" x14ac:dyDescent="0.3">
      <c r="A73" s="994"/>
      <c r="B73" s="1182"/>
      <c r="C73" s="1000"/>
      <c r="D73" s="1000"/>
      <c r="E73" s="1000"/>
      <c r="F73" s="1000"/>
      <c r="G73" s="956"/>
      <c r="H73" s="956"/>
      <c r="I73" s="956"/>
      <c r="J73" s="1295"/>
      <c r="K73" s="1322"/>
      <c r="L73" s="1319"/>
      <c r="M73" s="990"/>
      <c r="N73" s="976"/>
      <c r="O73" s="976"/>
      <c r="P73" s="979"/>
      <c r="Q73" s="91" t="s">
        <v>261</v>
      </c>
      <c r="R73" s="143">
        <v>45894</v>
      </c>
      <c r="S73" s="143">
        <v>45930</v>
      </c>
      <c r="T73" s="118">
        <f t="shared" si="6"/>
        <v>36</v>
      </c>
      <c r="U73" s="1306"/>
      <c r="V73" s="1090"/>
      <c r="W73" s="1093"/>
      <c r="X73" s="1057"/>
      <c r="Y73" s="1057"/>
      <c r="Z73" s="1060"/>
    </row>
    <row r="74" spans="1:26" x14ac:dyDescent="0.3">
      <c r="A74" s="994"/>
      <c r="B74" s="1182"/>
      <c r="C74" s="986" t="s">
        <v>48</v>
      </c>
      <c r="D74" s="986" t="s">
        <v>49</v>
      </c>
      <c r="E74" s="986" t="s">
        <v>50</v>
      </c>
      <c r="F74" s="986" t="s">
        <v>51</v>
      </c>
      <c r="G74" s="88"/>
      <c r="H74" s="88" t="s">
        <v>207</v>
      </c>
      <c r="I74" s="88" t="s">
        <v>214</v>
      </c>
      <c r="J74" s="112" t="s">
        <v>208</v>
      </c>
      <c r="K74" s="1131">
        <f>(J75+J76+J77)/3</f>
        <v>0.75555555555555554</v>
      </c>
      <c r="L74" s="1300" t="s">
        <v>200</v>
      </c>
      <c r="M74" s="990">
        <f>+K74</f>
        <v>0.75555555555555554</v>
      </c>
      <c r="N74" s="976"/>
      <c r="O74" s="976"/>
      <c r="P74" s="979"/>
      <c r="Q74" s="91"/>
      <c r="R74" s="144" t="s">
        <v>207</v>
      </c>
      <c r="S74" s="144" t="s">
        <v>214</v>
      </c>
      <c r="T74" s="148" t="s">
        <v>208</v>
      </c>
      <c r="U74" s="1307">
        <f>SUM(T75:T77)/3</f>
        <v>0.76388888888888895</v>
      </c>
      <c r="V74" s="1084" t="s">
        <v>200</v>
      </c>
      <c r="W74" s="1097">
        <f>+U74</f>
        <v>0.76388888888888895</v>
      </c>
      <c r="X74" s="1057"/>
      <c r="Y74" s="1057"/>
      <c r="Z74" s="1060"/>
    </row>
    <row r="75" spans="1:26" x14ac:dyDescent="0.3">
      <c r="A75" s="994"/>
      <c r="B75" s="1182"/>
      <c r="C75" s="986"/>
      <c r="D75" s="986"/>
      <c r="E75" s="986"/>
      <c r="F75" s="986"/>
      <c r="G75" s="88" t="s">
        <v>190</v>
      </c>
      <c r="H75" s="88">
        <f>+H3*0.5</f>
        <v>10</v>
      </c>
      <c r="I75" s="88">
        <v>1</v>
      </c>
      <c r="J75" s="113">
        <f>+I75/H75</f>
        <v>0.1</v>
      </c>
      <c r="K75" s="1131"/>
      <c r="L75" s="1300"/>
      <c r="M75" s="990"/>
      <c r="N75" s="976"/>
      <c r="O75" s="976"/>
      <c r="P75" s="979"/>
      <c r="Q75" s="91" t="s">
        <v>190</v>
      </c>
      <c r="R75" s="88">
        <v>24</v>
      </c>
      <c r="S75" s="88">
        <v>4</v>
      </c>
      <c r="T75" s="113">
        <f>+S75/R75</f>
        <v>0.16666666666666666</v>
      </c>
      <c r="U75" s="1307"/>
      <c r="V75" s="1084"/>
      <c r="W75" s="1097"/>
      <c r="X75" s="1057"/>
      <c r="Y75" s="1057"/>
      <c r="Z75" s="1060"/>
    </row>
    <row r="76" spans="1:26" x14ac:dyDescent="0.3">
      <c r="A76" s="994"/>
      <c r="B76" s="1182"/>
      <c r="C76" s="986"/>
      <c r="D76" s="986"/>
      <c r="E76" s="986"/>
      <c r="F76" s="986"/>
      <c r="G76" s="88" t="s">
        <v>191</v>
      </c>
      <c r="H76" s="88">
        <f>+H3*0.3</f>
        <v>6</v>
      </c>
      <c r="I76" s="88">
        <v>4</v>
      </c>
      <c r="J76" s="113">
        <f t="shared" ref="J76:J77" si="7">+I76/H76</f>
        <v>0.66666666666666663</v>
      </c>
      <c r="K76" s="1131"/>
      <c r="L76" s="1300"/>
      <c r="M76" s="990"/>
      <c r="N76" s="976"/>
      <c r="O76" s="976"/>
      <c r="P76" s="979"/>
      <c r="Q76" s="91" t="s">
        <v>191</v>
      </c>
      <c r="R76" s="88">
        <v>8</v>
      </c>
      <c r="S76" s="88">
        <v>13</v>
      </c>
      <c r="T76" s="113">
        <f t="shared" ref="T76:T77" si="8">+S76/R76</f>
        <v>1.625</v>
      </c>
      <c r="U76" s="1307"/>
      <c r="V76" s="1084"/>
      <c r="W76" s="1097"/>
      <c r="X76" s="1057"/>
      <c r="Y76" s="1057"/>
      <c r="Z76" s="1060"/>
    </row>
    <row r="77" spans="1:26" ht="15" thickBot="1" x14ac:dyDescent="0.35">
      <c r="A77" s="995"/>
      <c r="B77" s="1183"/>
      <c r="C77" s="1024"/>
      <c r="D77" s="1024"/>
      <c r="E77" s="1024"/>
      <c r="F77" s="1024"/>
      <c r="G77" s="104" t="s">
        <v>192</v>
      </c>
      <c r="H77" s="104">
        <f>+H3*0.2</f>
        <v>4</v>
      </c>
      <c r="I77" s="104">
        <v>6</v>
      </c>
      <c r="J77" s="124">
        <f t="shared" si="7"/>
        <v>1.5</v>
      </c>
      <c r="K77" s="1150"/>
      <c r="L77" s="1301"/>
      <c r="M77" s="1299"/>
      <c r="N77" s="1039"/>
      <c r="O77" s="1039"/>
      <c r="P77" s="1223"/>
      <c r="Q77" s="103" t="s">
        <v>192</v>
      </c>
      <c r="R77" s="104">
        <v>6</v>
      </c>
      <c r="S77" s="104">
        <v>3</v>
      </c>
      <c r="T77" s="113">
        <f t="shared" si="8"/>
        <v>0.5</v>
      </c>
      <c r="U77" s="1308"/>
      <c r="V77" s="1096"/>
      <c r="W77" s="1098"/>
      <c r="X77" s="1058"/>
      <c r="Y77" s="1058"/>
      <c r="Z77" s="1061"/>
    </row>
    <row r="78" spans="1:26" ht="28.8" x14ac:dyDescent="0.3">
      <c r="A78" s="970">
        <v>0.1</v>
      </c>
      <c r="B78" s="973" t="s">
        <v>52</v>
      </c>
      <c r="C78" s="127" t="s">
        <v>53</v>
      </c>
      <c r="D78" s="127" t="s">
        <v>54</v>
      </c>
      <c r="E78" s="127" t="s">
        <v>55</v>
      </c>
      <c r="F78" s="131" t="s">
        <v>56</v>
      </c>
      <c r="G78" s="1204" t="s">
        <v>215</v>
      </c>
      <c r="H78" s="1205"/>
      <c r="I78" s="1205"/>
      <c r="J78" s="1206"/>
      <c r="K78" s="123">
        <f>+K43</f>
        <v>0.88013815372372939</v>
      </c>
      <c r="L78" s="117" t="str">
        <f>+L43</f>
        <v>Cumplimiento de la meta</v>
      </c>
      <c r="M78" s="119">
        <v>0</v>
      </c>
      <c r="N78" s="1056">
        <v>0.1</v>
      </c>
      <c r="O78" s="1056">
        <f>(M78+M79)/2</f>
        <v>0.5</v>
      </c>
      <c r="P78" s="1059">
        <f>+N78*O78</f>
        <v>0.05</v>
      </c>
      <c r="Q78" s="1204" t="s">
        <v>215</v>
      </c>
      <c r="R78" s="1205"/>
      <c r="S78" s="1205"/>
      <c r="T78" s="1206"/>
      <c r="U78" s="141">
        <v>1.1186722418892519</v>
      </c>
      <c r="V78" s="117" t="s">
        <v>200</v>
      </c>
      <c r="W78" s="120">
        <v>0</v>
      </c>
      <c r="X78" s="1087">
        <v>0.1</v>
      </c>
      <c r="Y78" s="1087">
        <f>SUM(W78:W80)/3</f>
        <v>0.33333333333333331</v>
      </c>
      <c r="Z78" s="1088">
        <f>+X78*Y78</f>
        <v>3.3333333333333333E-2</v>
      </c>
    </row>
    <row r="79" spans="1:26" ht="28.8" x14ac:dyDescent="0.3">
      <c r="A79" s="970"/>
      <c r="B79" s="973"/>
      <c r="C79" s="2" t="s">
        <v>57</v>
      </c>
      <c r="D79" s="2" t="s">
        <v>58</v>
      </c>
      <c r="E79" s="2" t="s">
        <v>59</v>
      </c>
      <c r="F79" s="55" t="s">
        <v>60</v>
      </c>
      <c r="G79" s="87" t="s">
        <v>216</v>
      </c>
      <c r="H79" s="956" t="s">
        <v>217</v>
      </c>
      <c r="I79" s="956"/>
      <c r="J79" s="1295"/>
      <c r="K79" s="74">
        <v>1</v>
      </c>
      <c r="L79" s="58">
        <f>+L44</f>
        <v>0</v>
      </c>
      <c r="M79" s="71">
        <v>1</v>
      </c>
      <c r="N79" s="1057"/>
      <c r="O79" s="1057"/>
      <c r="P79" s="1060"/>
      <c r="Q79" s="87" t="s">
        <v>216</v>
      </c>
      <c r="R79" s="956" t="s">
        <v>217</v>
      </c>
      <c r="S79" s="956"/>
      <c r="T79" s="1295"/>
      <c r="U79" s="140">
        <v>1</v>
      </c>
      <c r="V79" s="58">
        <v>0</v>
      </c>
      <c r="W79" s="71">
        <v>1</v>
      </c>
      <c r="X79" s="1057"/>
      <c r="Y79" s="1057"/>
      <c r="Z79" s="1060"/>
    </row>
    <row r="80" spans="1:26" ht="29.4" thickBot="1" x14ac:dyDescent="0.35">
      <c r="A80" s="971"/>
      <c r="B80" s="1209"/>
      <c r="C80" s="59" t="s">
        <v>61</v>
      </c>
      <c r="D80" s="59" t="s">
        <v>62</v>
      </c>
      <c r="E80" s="59" t="s">
        <v>63</v>
      </c>
      <c r="F80" s="64" t="s">
        <v>64</v>
      </c>
      <c r="G80" s="1296" t="s">
        <v>218</v>
      </c>
      <c r="H80" s="1297"/>
      <c r="I80" s="1297"/>
      <c r="J80" s="1298"/>
      <c r="K80" s="122" t="s">
        <v>201</v>
      </c>
      <c r="L80" s="121" t="s">
        <v>201</v>
      </c>
      <c r="M80" s="72"/>
      <c r="N80" s="1058"/>
      <c r="O80" s="1058"/>
      <c r="P80" s="1061"/>
      <c r="Q80" s="1296" t="s">
        <v>218</v>
      </c>
      <c r="R80" s="1297"/>
      <c r="S80" s="1297"/>
      <c r="T80" s="1298"/>
      <c r="U80" s="122" t="s">
        <v>201</v>
      </c>
      <c r="V80" s="121" t="s">
        <v>291</v>
      </c>
      <c r="W80" s="72"/>
      <c r="X80" s="1058"/>
      <c r="Y80" s="1058"/>
      <c r="Z80" s="1061"/>
    </row>
    <row r="81" spans="1:26" x14ac:dyDescent="0.3">
      <c r="H81" s="56"/>
      <c r="P81" s="78">
        <f>SUM(P3:P80)</f>
        <v>0.69244444444444453</v>
      </c>
      <c r="Z81" s="78">
        <f>SUM(Z3:Z80)</f>
        <v>0.74346031746031727</v>
      </c>
    </row>
    <row r="96" spans="1:26" ht="28.8" x14ac:dyDescent="0.3">
      <c r="A96" s="51"/>
      <c r="B96" s="5"/>
      <c r="C96" s="2" t="s">
        <v>65</v>
      </c>
      <c r="D96" s="2" t="s">
        <v>66</v>
      </c>
      <c r="E96" s="2" t="s">
        <v>67</v>
      </c>
      <c r="F96" s="2" t="s">
        <v>68</v>
      </c>
      <c r="G96" s="53" t="s">
        <v>193</v>
      </c>
      <c r="H96" s="52">
        <v>21</v>
      </c>
      <c r="I96" s="52">
        <v>15</v>
      </c>
      <c r="J96" s="54" t="s">
        <v>194</v>
      </c>
      <c r="K96" s="12">
        <v>6</v>
      </c>
      <c r="L96" s="52" t="s">
        <v>195</v>
      </c>
    </row>
    <row r="97" spans="1:7" ht="28.8" x14ac:dyDescent="0.3">
      <c r="A97" s="51"/>
      <c r="B97" s="5"/>
      <c r="C97" s="2" t="s">
        <v>69</v>
      </c>
      <c r="D97" s="2" t="s">
        <v>70</v>
      </c>
      <c r="E97" s="2" t="s">
        <v>71</v>
      </c>
      <c r="F97" s="2" t="s">
        <v>72</v>
      </c>
      <c r="G97" s="53" t="s">
        <v>168</v>
      </c>
    </row>
    <row r="106" spans="1:7" x14ac:dyDescent="0.3">
      <c r="C106" s="162" t="s">
        <v>307</v>
      </c>
      <c r="D106" s="162"/>
      <c r="E106" s="162" t="s">
        <v>308</v>
      </c>
    </row>
    <row r="107" spans="1:7" ht="75" x14ac:dyDescent="0.3">
      <c r="C107" s="161" t="s">
        <v>292</v>
      </c>
      <c r="D107" s="161" t="s">
        <v>293</v>
      </c>
      <c r="E107" s="161" t="s">
        <v>294</v>
      </c>
    </row>
    <row r="108" spans="1:7" ht="75" x14ac:dyDescent="0.3">
      <c r="C108" s="163" t="s">
        <v>295</v>
      </c>
      <c r="D108" s="163" t="s">
        <v>296</v>
      </c>
      <c r="E108" s="163" t="s">
        <v>297</v>
      </c>
    </row>
    <row r="109" spans="1:7" ht="75" x14ac:dyDescent="0.3">
      <c r="C109" s="164" t="s">
        <v>298</v>
      </c>
      <c r="D109" s="164" t="s">
        <v>299</v>
      </c>
      <c r="E109" s="164" t="s">
        <v>300</v>
      </c>
    </row>
    <row r="110" spans="1:7" ht="60" x14ac:dyDescent="0.3">
      <c r="C110" s="158" t="s">
        <v>301</v>
      </c>
      <c r="D110" s="158" t="s">
        <v>302</v>
      </c>
      <c r="E110" s="158" t="s">
        <v>303</v>
      </c>
    </row>
    <row r="111" spans="1:7" ht="15" x14ac:dyDescent="0.3">
      <c r="C111" s="161" t="s">
        <v>304</v>
      </c>
      <c r="D111" s="161" t="s">
        <v>305</v>
      </c>
      <c r="E111" s="161" t="s">
        <v>306</v>
      </c>
    </row>
  </sheetData>
  <mergeCells count="154">
    <mergeCell ref="U15:U16"/>
    <mergeCell ref="U17:U18"/>
    <mergeCell ref="V15:V16"/>
    <mergeCell ref="V17:V18"/>
    <mergeCell ref="N43:N77"/>
    <mergeCell ref="O43:O77"/>
    <mergeCell ref="P43:P77"/>
    <mergeCell ref="E15:E16"/>
    <mergeCell ref="F15:F16"/>
    <mergeCell ref="E17:E18"/>
    <mergeCell ref="F17:F18"/>
    <mergeCell ref="V38:V42"/>
    <mergeCell ref="V29:V31"/>
    <mergeCell ref="F19:F28"/>
    <mergeCell ref="E19:E28"/>
    <mergeCell ref="L53:L73"/>
    <mergeCell ref="K53:K73"/>
    <mergeCell ref="G65:J73"/>
    <mergeCell ref="F53:F73"/>
    <mergeCell ref="E53:E73"/>
    <mergeCell ref="L43:L52"/>
    <mergeCell ref="F32:F35"/>
    <mergeCell ref="K43:K52"/>
    <mergeCell ref="F38:F42"/>
    <mergeCell ref="Y78:Y80"/>
    <mergeCell ref="Z78:Z80"/>
    <mergeCell ref="W53:W73"/>
    <mergeCell ref="Y3:Y31"/>
    <mergeCell ref="Z3:Z31"/>
    <mergeCell ref="Y32:Y42"/>
    <mergeCell ref="Z32:Z42"/>
    <mergeCell ref="Y43:Y77"/>
    <mergeCell ref="Z43:Z77"/>
    <mergeCell ref="X78:X80"/>
    <mergeCell ref="W11:W12"/>
    <mergeCell ref="W9:W10"/>
    <mergeCell ref="W13:W14"/>
    <mergeCell ref="X3:X31"/>
    <mergeCell ref="X43:X77"/>
    <mergeCell ref="W43:W52"/>
    <mergeCell ref="X32:X42"/>
    <mergeCell ref="W29:W31"/>
    <mergeCell ref="W32:W35"/>
    <mergeCell ref="W38:W42"/>
    <mergeCell ref="W15:W16"/>
    <mergeCell ref="W17:W18"/>
    <mergeCell ref="Q78:T78"/>
    <mergeCell ref="R79:T79"/>
    <mergeCell ref="Q80:T80"/>
    <mergeCell ref="V19:V28"/>
    <mergeCell ref="W19:W28"/>
    <mergeCell ref="U29:U31"/>
    <mergeCell ref="U19:U28"/>
    <mergeCell ref="U53:U73"/>
    <mergeCell ref="V53:V73"/>
    <mergeCell ref="W74:W77"/>
    <mergeCell ref="U74:U77"/>
    <mergeCell ref="V74:V77"/>
    <mergeCell ref="Q36:T36"/>
    <mergeCell ref="V43:V52"/>
    <mergeCell ref="U32:U35"/>
    <mergeCell ref="V32:V35"/>
    <mergeCell ref="Q37:T37"/>
    <mergeCell ref="U43:U52"/>
    <mergeCell ref="U38:U42"/>
    <mergeCell ref="Q1:Z1"/>
    <mergeCell ref="V9:V10"/>
    <mergeCell ref="V11:V12"/>
    <mergeCell ref="V13:V14"/>
    <mergeCell ref="U9:U10"/>
    <mergeCell ref="U11:U12"/>
    <mergeCell ref="U13:U14"/>
    <mergeCell ref="U2:V2"/>
    <mergeCell ref="Q2:T2"/>
    <mergeCell ref="O78:O80"/>
    <mergeCell ref="P78:P80"/>
    <mergeCell ref="O3:O31"/>
    <mergeCell ref="P3:P31"/>
    <mergeCell ref="O32:O42"/>
    <mergeCell ref="P32:P42"/>
    <mergeCell ref="N78:N80"/>
    <mergeCell ref="M11:M12"/>
    <mergeCell ref="M9:M10"/>
    <mergeCell ref="M13:M14"/>
    <mergeCell ref="N3:N31"/>
    <mergeCell ref="M43:M52"/>
    <mergeCell ref="M53:M73"/>
    <mergeCell ref="M19:M28"/>
    <mergeCell ref="N32:N42"/>
    <mergeCell ref="M29:M31"/>
    <mergeCell ref="M32:M35"/>
    <mergeCell ref="M38:M42"/>
    <mergeCell ref="H79:J79"/>
    <mergeCell ref="B78:B80"/>
    <mergeCell ref="A78:A80"/>
    <mergeCell ref="G80:J80"/>
    <mergeCell ref="M74:M77"/>
    <mergeCell ref="K74:K77"/>
    <mergeCell ref="L74:L77"/>
    <mergeCell ref="F74:F77"/>
    <mergeCell ref="E74:E77"/>
    <mergeCell ref="D74:D77"/>
    <mergeCell ref="C74:C77"/>
    <mergeCell ref="G78:J78"/>
    <mergeCell ref="B43:B77"/>
    <mergeCell ref="A43:A77"/>
    <mergeCell ref="D43:D52"/>
    <mergeCell ref="C43:C52"/>
    <mergeCell ref="D53:D73"/>
    <mergeCell ref="C53:C73"/>
    <mergeCell ref="F43:F52"/>
    <mergeCell ref="E43:E52"/>
    <mergeCell ref="C38:C42"/>
    <mergeCell ref="B32:B42"/>
    <mergeCell ref="D32:D35"/>
    <mergeCell ref="C32:C35"/>
    <mergeCell ref="A32:A42"/>
    <mergeCell ref="C29:C31"/>
    <mergeCell ref="D29:D31"/>
    <mergeCell ref="K2:L2"/>
    <mergeCell ref="G2:J2"/>
    <mergeCell ref="E29:E31"/>
    <mergeCell ref="D19:D28"/>
    <mergeCell ref="C19:C28"/>
    <mergeCell ref="L38:L42"/>
    <mergeCell ref="K29:K31"/>
    <mergeCell ref="L29:L31"/>
    <mergeCell ref="G36:J36"/>
    <mergeCell ref="K32:K35"/>
    <mergeCell ref="L32:L35"/>
    <mergeCell ref="G37:J37"/>
    <mergeCell ref="K38:K42"/>
    <mergeCell ref="K19:K28"/>
    <mergeCell ref="L19:L28"/>
    <mergeCell ref="E38:E42"/>
    <mergeCell ref="D38:D42"/>
    <mergeCell ref="E32:E35"/>
    <mergeCell ref="A1:F1"/>
    <mergeCell ref="G1:P1"/>
    <mergeCell ref="E13:E14"/>
    <mergeCell ref="F13:F14"/>
    <mergeCell ref="L9:L10"/>
    <mergeCell ref="L11:L12"/>
    <mergeCell ref="L13:L14"/>
    <mergeCell ref="K9:K10"/>
    <mergeCell ref="K11:K12"/>
    <mergeCell ref="K13:K14"/>
    <mergeCell ref="E9:E10"/>
    <mergeCell ref="F9:F10"/>
    <mergeCell ref="E11:E12"/>
    <mergeCell ref="F11:F12"/>
    <mergeCell ref="A3:A31"/>
    <mergeCell ref="F29:F31"/>
    <mergeCell ref="B3:B31"/>
  </mergeCells>
  <phoneticPr fontId="8"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833F-FA2D-4D99-8523-35403F139B3C}">
  <dimension ref="A1:BO84"/>
  <sheetViews>
    <sheetView topLeftCell="A21" zoomScale="70" zoomScaleNormal="70" workbookViewId="0">
      <selection activeCell="BF23" sqref="BF23"/>
    </sheetView>
  </sheetViews>
  <sheetFormatPr baseColWidth="10" defaultRowHeight="14.4" outlineLevelCol="3" x14ac:dyDescent="0.3"/>
  <cols>
    <col min="1" max="1" width="16.33203125" customWidth="1"/>
    <col min="2" max="2" width="26.44140625" customWidth="1"/>
    <col min="3" max="3" width="24" customWidth="1"/>
    <col min="4" max="4" width="31.21875" customWidth="1"/>
    <col min="5" max="5" width="33.44140625" style="4" customWidth="1"/>
    <col min="6" max="6" width="45.33203125" customWidth="1"/>
    <col min="7" max="7" width="18.6640625" hidden="1" customWidth="1" outlineLevel="1"/>
    <col min="8" max="8" width="13.88671875" hidden="1" customWidth="1" outlineLevel="1"/>
    <col min="9" max="9" width="21.33203125" hidden="1" customWidth="1" outlineLevel="1"/>
    <col min="10" max="11" width="11.5546875" hidden="1" customWidth="1" outlineLevel="1"/>
    <col min="12" max="12" width="73.88671875" hidden="1" customWidth="1" outlineLevel="1"/>
    <col min="13" max="13" width="13.88671875" style="12" hidden="1" customWidth="1" outlineLevel="1"/>
    <col min="14" max="15" width="11.5546875" hidden="1" customWidth="1" outlineLevel="1"/>
    <col min="16" max="16" width="18.21875" hidden="1" customWidth="1" collapsed="1"/>
    <col min="17" max="17" width="18.6640625" hidden="1" customWidth="1" outlineLevel="3"/>
    <col min="18" max="18" width="13.88671875" hidden="1" customWidth="1" outlineLevel="3"/>
    <col min="19" max="19" width="21.33203125" hidden="1" customWidth="1" outlineLevel="3"/>
    <col min="20" max="21" width="0" hidden="1" customWidth="1" outlineLevel="3"/>
    <col min="22" max="22" width="73.88671875" hidden="1" customWidth="1" outlineLevel="3"/>
    <col min="23" max="23" width="13.88671875" style="12" hidden="1" customWidth="1" outlineLevel="3"/>
    <col min="24" max="25" width="0" hidden="1" customWidth="1" outlineLevel="3"/>
    <col min="26" max="26" width="17.88671875" hidden="1" customWidth="1" collapsed="1"/>
    <col min="27" max="27" width="18.6640625" hidden="1" customWidth="1" outlineLevel="1"/>
    <col min="28" max="28" width="13.88671875" hidden="1" customWidth="1" outlineLevel="1"/>
    <col min="29" max="29" width="21.33203125" hidden="1" customWidth="1" outlineLevel="1"/>
    <col min="30" max="31" width="11.5546875" hidden="1" customWidth="1" outlineLevel="1"/>
    <col min="32" max="32" width="73.88671875" hidden="1" customWidth="1" outlineLevel="1"/>
    <col min="33" max="33" width="24.21875" style="12" hidden="1" customWidth="1" outlineLevel="1"/>
    <col min="34" max="35" width="11.5546875" hidden="1" customWidth="1" outlineLevel="1"/>
    <col min="36" max="36" width="21.5546875" hidden="1" customWidth="1" collapsed="1"/>
    <col min="37" max="37" width="18.6640625" hidden="1" customWidth="1" outlineLevel="1"/>
    <col min="38" max="38" width="13.88671875" hidden="1" customWidth="1" outlineLevel="1"/>
    <col min="39" max="39" width="21.33203125" hidden="1" customWidth="1" outlineLevel="1"/>
    <col min="40" max="41" width="0" hidden="1" customWidth="1" outlineLevel="1"/>
    <col min="42" max="42" width="73.88671875" hidden="1" customWidth="1" outlineLevel="1"/>
    <col min="43" max="43" width="24.21875" style="12" hidden="1" customWidth="1" outlineLevel="1"/>
    <col min="44" max="45" width="0" hidden="1" customWidth="1" outlineLevel="1"/>
    <col min="46" max="46" width="17.109375" hidden="1" customWidth="1" collapsed="1"/>
    <col min="47" max="50" width="22.6640625" hidden="1" customWidth="1"/>
    <col min="51" max="51" width="0" hidden="1" customWidth="1"/>
    <col min="52" max="52" width="61.6640625" hidden="1" customWidth="1"/>
    <col min="53" max="53" width="16.6640625" hidden="1" customWidth="1"/>
    <col min="54" max="54" width="16.5546875" hidden="1" customWidth="1"/>
    <col min="55" max="55" width="0" hidden="1" customWidth="1"/>
    <col min="56" max="56" width="19.77734375" hidden="1" customWidth="1"/>
    <col min="63" max="63" width="47.77734375" customWidth="1"/>
    <col min="64" max="64" width="17.5546875" customWidth="1"/>
    <col min="65" max="65" width="17" customWidth="1"/>
    <col min="67" max="67" width="20.33203125" customWidth="1"/>
  </cols>
  <sheetData>
    <row r="1" spans="1:67" s="172" customFormat="1" ht="18.600000000000001" thickBot="1" x14ac:dyDescent="0.4">
      <c r="A1" s="960" t="s">
        <v>242</v>
      </c>
      <c r="B1" s="961"/>
      <c r="C1" s="961"/>
      <c r="D1" s="961"/>
      <c r="E1" s="961"/>
      <c r="F1" s="961"/>
      <c r="G1" s="962">
        <v>45931</v>
      </c>
      <c r="H1" s="962"/>
      <c r="I1" s="962"/>
      <c r="J1" s="962"/>
      <c r="K1" s="962"/>
      <c r="L1" s="962"/>
      <c r="M1" s="962"/>
      <c r="N1" s="962"/>
      <c r="O1" s="962"/>
      <c r="P1" s="963"/>
      <c r="Q1" s="1410">
        <v>45962</v>
      </c>
      <c r="R1" s="1410"/>
      <c r="S1" s="1410"/>
      <c r="T1" s="1410"/>
      <c r="U1" s="1410"/>
      <c r="V1" s="1410"/>
      <c r="W1" s="1410"/>
      <c r="X1" s="1410"/>
      <c r="Y1" s="1410"/>
      <c r="Z1" s="1411"/>
      <c r="AA1" s="1396" t="s">
        <v>724</v>
      </c>
      <c r="AB1" s="1396"/>
      <c r="AC1" s="1396"/>
      <c r="AD1" s="1396"/>
      <c r="AE1" s="1396"/>
      <c r="AF1" s="1396"/>
      <c r="AG1" s="1396"/>
      <c r="AH1" s="1396"/>
      <c r="AI1" s="1396"/>
      <c r="AJ1" s="1397"/>
      <c r="AK1" s="1355">
        <v>46054</v>
      </c>
      <c r="AL1" s="1355"/>
      <c r="AM1" s="1355"/>
      <c r="AN1" s="1355"/>
      <c r="AO1" s="1355"/>
      <c r="AP1" s="1355"/>
      <c r="AQ1" s="1355"/>
      <c r="AR1" s="1355"/>
      <c r="AS1" s="1355"/>
      <c r="AT1" s="1356"/>
      <c r="AU1" s="1432">
        <v>46082</v>
      </c>
      <c r="AV1" s="1432"/>
      <c r="AW1" s="1432"/>
      <c r="AX1" s="1432"/>
      <c r="AY1" s="1432"/>
      <c r="AZ1" s="1432"/>
      <c r="BA1" s="1432"/>
      <c r="BB1" s="1432"/>
      <c r="BC1" s="1432"/>
      <c r="BD1" s="1433"/>
      <c r="BE1" s="1432">
        <v>46113</v>
      </c>
      <c r="BF1" s="1432"/>
      <c r="BG1" s="1432"/>
      <c r="BH1" s="1432"/>
      <c r="BI1" s="1432"/>
      <c r="BJ1" s="1432"/>
      <c r="BK1" s="1432"/>
      <c r="BL1" s="1432"/>
      <c r="BM1" s="1432"/>
      <c r="BN1" s="1432"/>
      <c r="BO1" s="1433"/>
    </row>
    <row r="2" spans="1:67" ht="29.4" thickBot="1" x14ac:dyDescent="0.35">
      <c r="A2" s="573" t="s">
        <v>92</v>
      </c>
      <c r="B2" s="60" t="s">
        <v>0</v>
      </c>
      <c r="C2" s="60" t="s">
        <v>1</v>
      </c>
      <c r="D2" s="60" t="s">
        <v>73</v>
      </c>
      <c r="E2" s="249" t="s">
        <v>3</v>
      </c>
      <c r="F2" s="68" t="s">
        <v>4</v>
      </c>
      <c r="G2" s="1040" t="s">
        <v>132</v>
      </c>
      <c r="H2" s="965"/>
      <c r="I2" s="965"/>
      <c r="J2" s="966"/>
      <c r="K2" s="1287" t="s">
        <v>317</v>
      </c>
      <c r="L2" s="968"/>
      <c r="M2" s="268" t="s">
        <v>88</v>
      </c>
      <c r="N2" s="60" t="s">
        <v>92</v>
      </c>
      <c r="O2" s="60" t="s">
        <v>220</v>
      </c>
      <c r="P2" s="68" t="s">
        <v>318</v>
      </c>
      <c r="Q2" s="1412" t="s">
        <v>132</v>
      </c>
      <c r="R2" s="1413"/>
      <c r="S2" s="1413"/>
      <c r="T2" s="1414"/>
      <c r="U2" s="1287" t="s">
        <v>594</v>
      </c>
      <c r="V2" s="968"/>
      <c r="W2" s="268" t="s">
        <v>88</v>
      </c>
      <c r="X2" s="60" t="s">
        <v>92</v>
      </c>
      <c r="Y2" s="633" t="s">
        <v>220</v>
      </c>
      <c r="Z2" s="711" t="s">
        <v>595</v>
      </c>
      <c r="AA2" s="1398" t="s">
        <v>132</v>
      </c>
      <c r="AB2" s="1399"/>
      <c r="AC2" s="1399"/>
      <c r="AD2" s="1400"/>
      <c r="AE2" s="1116" t="s">
        <v>728</v>
      </c>
      <c r="AF2" s="1360"/>
      <c r="AG2" s="583" t="s">
        <v>88</v>
      </c>
      <c r="AH2" s="175" t="s">
        <v>92</v>
      </c>
      <c r="AI2" s="175" t="s">
        <v>220</v>
      </c>
      <c r="AJ2" s="236" t="s">
        <v>729</v>
      </c>
      <c r="AK2" s="1357" t="s">
        <v>132</v>
      </c>
      <c r="AL2" s="1358"/>
      <c r="AM2" s="1358"/>
      <c r="AN2" s="1359"/>
      <c r="AO2" s="1116" t="s">
        <v>809</v>
      </c>
      <c r="AP2" s="1360"/>
      <c r="AQ2" s="583" t="s">
        <v>88</v>
      </c>
      <c r="AR2" s="175" t="s">
        <v>92</v>
      </c>
      <c r="AS2" s="175" t="s">
        <v>220</v>
      </c>
      <c r="AT2" s="236" t="s">
        <v>799</v>
      </c>
      <c r="AU2" s="1434" t="s">
        <v>132</v>
      </c>
      <c r="AV2" s="1435"/>
      <c r="AW2" s="1435"/>
      <c r="AX2" s="1436"/>
      <c r="AY2" s="1116" t="s">
        <v>890</v>
      </c>
      <c r="AZ2" s="1360"/>
      <c r="BA2" s="583" t="s">
        <v>88</v>
      </c>
      <c r="BB2" s="175" t="s">
        <v>92</v>
      </c>
      <c r="BC2" s="175" t="s">
        <v>220</v>
      </c>
      <c r="BD2" s="236" t="s">
        <v>876</v>
      </c>
      <c r="BE2" s="1434" t="s">
        <v>132</v>
      </c>
      <c r="BF2" s="1459"/>
      <c r="BG2" s="1435"/>
      <c r="BH2" s="1435"/>
      <c r="BI2" s="1436"/>
      <c r="BJ2" s="1116" t="s">
        <v>969</v>
      </c>
      <c r="BK2" s="1360"/>
      <c r="BL2" s="583" t="s">
        <v>88</v>
      </c>
      <c r="BM2" s="175" t="s">
        <v>92</v>
      </c>
      <c r="BN2" s="175" t="s">
        <v>220</v>
      </c>
      <c r="BO2" s="236" t="s">
        <v>970</v>
      </c>
    </row>
    <row r="3" spans="1:67" ht="97.2" customHeight="1" x14ac:dyDescent="0.3">
      <c r="A3" s="994">
        <v>0.7</v>
      </c>
      <c r="B3" s="1182" t="s">
        <v>74</v>
      </c>
      <c r="C3" s="1002" t="s">
        <v>362</v>
      </c>
      <c r="D3" s="986" t="s">
        <v>501</v>
      </c>
      <c r="E3" s="1402" t="s">
        <v>503</v>
      </c>
      <c r="F3" s="1100" t="s">
        <v>502</v>
      </c>
      <c r="G3" s="350" t="s">
        <v>360</v>
      </c>
      <c r="H3" s="110">
        <f>+B38</f>
        <v>270</v>
      </c>
      <c r="I3" s="88" t="s">
        <v>361</v>
      </c>
      <c r="J3" s="196">
        <f>+B42</f>
        <v>230</v>
      </c>
      <c r="K3" s="1425">
        <f>+J3/H3</f>
        <v>0.85185185185185186</v>
      </c>
      <c r="L3" s="1124" t="s">
        <v>504</v>
      </c>
      <c r="M3" s="1421">
        <f>+K3</f>
        <v>0.85185185185185186</v>
      </c>
      <c r="N3" s="976">
        <v>0.6</v>
      </c>
      <c r="O3" s="976">
        <f>SUM(M3:M22)/9</f>
        <v>0.59792698007257394</v>
      </c>
      <c r="P3" s="978">
        <f>+N3*O3</f>
        <v>0.35875618804354437</v>
      </c>
      <c r="Q3" s="295" t="s">
        <v>601</v>
      </c>
      <c r="R3" s="322">
        <f>+B45</f>
        <v>78</v>
      </c>
      <c r="S3" s="297" t="s">
        <v>600</v>
      </c>
      <c r="T3" s="339">
        <f>+B49</f>
        <v>77</v>
      </c>
      <c r="U3" s="1122">
        <f>+(T3+T4)/R3</f>
        <v>1.9487179487179487</v>
      </c>
      <c r="V3" s="1124" t="s">
        <v>611</v>
      </c>
      <c r="W3" s="1421">
        <v>1</v>
      </c>
      <c r="X3" s="976">
        <v>0.7</v>
      </c>
      <c r="Y3" s="979">
        <f>SUM(W3:W22)/9</f>
        <v>0.71701587301587311</v>
      </c>
      <c r="Z3" s="1416">
        <f>+X3*Y3</f>
        <v>0.5019111111111112</v>
      </c>
      <c r="AA3" s="521" t="s">
        <v>601</v>
      </c>
      <c r="AB3" s="474">
        <f>+B52+B59</f>
        <v>188</v>
      </c>
      <c r="AC3" s="423" t="s">
        <v>600</v>
      </c>
      <c r="AD3" s="576">
        <f>+B56+B63</f>
        <v>160</v>
      </c>
      <c r="AE3" s="1401">
        <f>+(AD3+AD4)/AB3</f>
        <v>0.85106382978723405</v>
      </c>
      <c r="AF3" s="1025" t="s">
        <v>753</v>
      </c>
      <c r="AG3" s="1361">
        <f>+AE3</f>
        <v>0.85106382978723405</v>
      </c>
      <c r="AH3" s="1363">
        <v>0.7</v>
      </c>
      <c r="AI3" s="1363">
        <f>SUM(AG3:AG22)/9</f>
        <v>0.67022508006455128</v>
      </c>
      <c r="AJ3" s="1366">
        <f>+AH3*AI3</f>
        <v>0.46915755604518589</v>
      </c>
      <c r="AK3" s="676" t="s">
        <v>601</v>
      </c>
      <c r="AL3" s="677">
        <f>+B66</f>
        <v>266</v>
      </c>
      <c r="AM3" s="678" t="s">
        <v>600</v>
      </c>
      <c r="AN3" s="679">
        <f>+B70</f>
        <v>263</v>
      </c>
      <c r="AO3" s="1253">
        <f>+(AN3+AN4)/AL3</f>
        <v>0.98872180451127822</v>
      </c>
      <c r="AP3" s="1025" t="s">
        <v>852</v>
      </c>
      <c r="AQ3" s="1361">
        <f>+AO3</f>
        <v>0.98872180451127822</v>
      </c>
      <c r="AR3" s="1363">
        <v>0.7</v>
      </c>
      <c r="AS3" s="1363">
        <f>SUM(AQ3:AQ22)/9</f>
        <v>0.91747661837520633</v>
      </c>
      <c r="AT3" s="1366">
        <f>+AR3*AS3</f>
        <v>0.64223363286264434</v>
      </c>
      <c r="AU3" s="790" t="s">
        <v>601</v>
      </c>
      <c r="AV3" s="736">
        <f>+B73</f>
        <v>308</v>
      </c>
      <c r="AW3" s="768" t="s">
        <v>600</v>
      </c>
      <c r="AX3" s="738">
        <f>+B77</f>
        <v>308</v>
      </c>
      <c r="AY3" s="1253">
        <f>+(AX3+AX4)/AV3</f>
        <v>1</v>
      </c>
      <c r="AZ3" s="1025" t="s">
        <v>918</v>
      </c>
      <c r="BA3" s="1361">
        <f>+AY3</f>
        <v>1</v>
      </c>
      <c r="BB3" s="1363">
        <v>0.7</v>
      </c>
      <c r="BC3" s="1363">
        <f>SUM(BA3:BA24)/11</f>
        <v>0.9258949232585596</v>
      </c>
      <c r="BD3" s="1366">
        <f>+BB3*BC3</f>
        <v>0.6481264462809917</v>
      </c>
      <c r="BE3" s="790" t="s">
        <v>601</v>
      </c>
      <c r="BF3" s="945"/>
      <c r="BG3" s="736">
        <f>+B80</f>
        <v>400</v>
      </c>
      <c r="BH3" s="768" t="s">
        <v>600</v>
      </c>
      <c r="BI3" s="738">
        <f>+B84</f>
        <v>400</v>
      </c>
      <c r="BJ3" s="1253">
        <f>+(BI3+BI4)/BG3</f>
        <v>1</v>
      </c>
      <c r="BK3" s="1025" t="s">
        <v>918</v>
      </c>
      <c r="BL3" s="1361">
        <f>+BJ3</f>
        <v>1</v>
      </c>
      <c r="BM3" s="1363">
        <v>0.7</v>
      </c>
      <c r="BN3" s="1363">
        <f>SUM(BL3:BL24)/11</f>
        <v>0.9387727272727272</v>
      </c>
      <c r="BO3" s="1366">
        <f>+BM3*BN3</f>
        <v>0.65714090909090905</v>
      </c>
    </row>
    <row r="4" spans="1:67" ht="97.2" customHeight="1" x14ac:dyDescent="0.3">
      <c r="A4" s="994"/>
      <c r="B4" s="1182"/>
      <c r="C4" s="1002"/>
      <c r="D4" s="986"/>
      <c r="E4" s="1402"/>
      <c r="F4" s="1100"/>
      <c r="G4" s="350"/>
      <c r="H4" s="110"/>
      <c r="I4" s="89" t="s">
        <v>602</v>
      </c>
      <c r="J4" s="196"/>
      <c r="K4" s="1426"/>
      <c r="L4" s="1125"/>
      <c r="M4" s="1362"/>
      <c r="N4" s="976"/>
      <c r="O4" s="976"/>
      <c r="P4" s="978"/>
      <c r="Q4" s="295"/>
      <c r="R4" s="322"/>
      <c r="S4" s="297" t="s">
        <v>602</v>
      </c>
      <c r="T4" s="339">
        <v>75</v>
      </c>
      <c r="U4" s="1123"/>
      <c r="V4" s="1125"/>
      <c r="W4" s="1362"/>
      <c r="X4" s="976"/>
      <c r="Y4" s="979"/>
      <c r="Z4" s="1416"/>
      <c r="AA4" s="521"/>
      <c r="AB4" s="474"/>
      <c r="AC4" s="423" t="s">
        <v>602</v>
      </c>
      <c r="AD4" s="576">
        <v>0</v>
      </c>
      <c r="AE4" s="1094"/>
      <c r="AF4" s="987"/>
      <c r="AG4" s="1362"/>
      <c r="AH4" s="1364"/>
      <c r="AI4" s="1364"/>
      <c r="AJ4" s="1367"/>
      <c r="AK4" s="676"/>
      <c r="AL4" s="677"/>
      <c r="AM4" s="678" t="s">
        <v>602</v>
      </c>
      <c r="AN4" s="679">
        <v>0</v>
      </c>
      <c r="AO4" s="1131"/>
      <c r="AP4" s="987"/>
      <c r="AQ4" s="1362"/>
      <c r="AR4" s="1364"/>
      <c r="AS4" s="1364"/>
      <c r="AT4" s="1367"/>
      <c r="AU4" s="790"/>
      <c r="AV4" s="736"/>
      <c r="AW4" s="768" t="s">
        <v>602</v>
      </c>
      <c r="AX4" s="738">
        <v>0</v>
      </c>
      <c r="AY4" s="1131"/>
      <c r="AZ4" s="987"/>
      <c r="BA4" s="1362"/>
      <c r="BB4" s="1364"/>
      <c r="BC4" s="1364"/>
      <c r="BD4" s="1367"/>
      <c r="BE4" s="790"/>
      <c r="BF4" s="945"/>
      <c r="BG4" s="736"/>
      <c r="BH4" s="768" t="s">
        <v>602</v>
      </c>
      <c r="BI4" s="738">
        <v>0</v>
      </c>
      <c r="BJ4" s="1131"/>
      <c r="BK4" s="987"/>
      <c r="BL4" s="1362"/>
      <c r="BM4" s="1364"/>
      <c r="BN4" s="1364"/>
      <c r="BO4" s="1367"/>
    </row>
    <row r="5" spans="1:67" ht="73.2" customHeight="1" x14ac:dyDescent="0.3">
      <c r="A5" s="994"/>
      <c r="B5" s="1182"/>
      <c r="C5" s="6" t="s">
        <v>139</v>
      </c>
      <c r="D5" s="985" t="s">
        <v>505</v>
      </c>
      <c r="E5" s="986" t="s">
        <v>506</v>
      </c>
      <c r="F5" s="1100" t="s">
        <v>507</v>
      </c>
      <c r="G5" s="1431" t="s">
        <v>366</v>
      </c>
      <c r="H5" s="955">
        <f>+F38</f>
        <v>13</v>
      </c>
      <c r="I5" s="956" t="s">
        <v>365</v>
      </c>
      <c r="J5" s="957">
        <f>+H5/J3</f>
        <v>5.6521739130434782E-2</v>
      </c>
      <c r="K5" s="1107">
        <f>+J5</f>
        <v>5.6521739130434782E-2</v>
      </c>
      <c r="L5" s="959" t="s">
        <v>508</v>
      </c>
      <c r="M5" s="984">
        <v>0.56499999999999995</v>
      </c>
      <c r="N5" s="976"/>
      <c r="O5" s="976"/>
      <c r="P5" s="978"/>
      <c r="Q5" s="1418" t="s">
        <v>366</v>
      </c>
      <c r="R5" s="1419">
        <v>9</v>
      </c>
      <c r="S5" s="1062" t="s">
        <v>365</v>
      </c>
      <c r="T5" s="1157">
        <f>+R5/(T3+T4)</f>
        <v>5.921052631578947E-2</v>
      </c>
      <c r="U5" s="1107">
        <f>+T5</f>
        <v>5.921052631578947E-2</v>
      </c>
      <c r="V5" s="959" t="s">
        <v>646</v>
      </c>
      <c r="W5" s="984">
        <v>0.59199999999999997</v>
      </c>
      <c r="X5" s="976"/>
      <c r="Y5" s="979"/>
      <c r="Z5" s="1416"/>
      <c r="AA5" s="1377" t="s">
        <v>366</v>
      </c>
      <c r="AB5" s="1378">
        <f>+F51+F58</f>
        <v>19</v>
      </c>
      <c r="AC5" s="1076" t="s">
        <v>365</v>
      </c>
      <c r="AD5" s="1380">
        <f>+AB5/(AD3+AD4)</f>
        <v>0.11874999999999999</v>
      </c>
      <c r="AE5" s="1153">
        <f>+AD5</f>
        <v>0.11874999999999999</v>
      </c>
      <c r="AF5" s="959" t="s">
        <v>754</v>
      </c>
      <c r="AG5" s="984">
        <v>1</v>
      </c>
      <c r="AH5" s="1364"/>
      <c r="AI5" s="1364"/>
      <c r="AJ5" s="1367"/>
      <c r="AK5" s="1349" t="s">
        <v>366</v>
      </c>
      <c r="AL5" s="1350">
        <f>+F65</f>
        <v>98</v>
      </c>
      <c r="AM5" s="1369" t="s">
        <v>365</v>
      </c>
      <c r="AN5" s="1352">
        <f>+AL5/(AN3+AN4)</f>
        <v>0.37262357414448671</v>
      </c>
      <c r="AO5" s="1153">
        <f>+AN5</f>
        <v>0.37262357414448671</v>
      </c>
      <c r="AP5" s="959" t="s">
        <v>854</v>
      </c>
      <c r="AQ5" s="984">
        <v>1</v>
      </c>
      <c r="AR5" s="1364"/>
      <c r="AS5" s="1364"/>
      <c r="AT5" s="1367"/>
      <c r="AU5" s="1437" t="s">
        <v>366</v>
      </c>
      <c r="AV5" s="1438">
        <f>+F72</f>
        <v>24</v>
      </c>
      <c r="AW5" s="1263" t="s">
        <v>365</v>
      </c>
      <c r="AX5" s="1439">
        <f>+AV5/(AX3+AX4)</f>
        <v>7.792207792207792E-2</v>
      </c>
      <c r="AY5" s="1440">
        <f>+AX5</f>
        <v>7.792207792207792E-2</v>
      </c>
      <c r="AZ5" s="1441" t="s">
        <v>919</v>
      </c>
      <c r="BA5" s="984">
        <v>0.77900000000000003</v>
      </c>
      <c r="BB5" s="1364"/>
      <c r="BC5" s="1364"/>
      <c r="BD5" s="1367"/>
      <c r="BE5" s="1437" t="s">
        <v>366</v>
      </c>
      <c r="BF5" s="946"/>
      <c r="BG5" s="1438">
        <f>+F79</f>
        <v>53</v>
      </c>
      <c r="BH5" s="1263" t="s">
        <v>365</v>
      </c>
      <c r="BI5" s="1439">
        <f>+BG5/(BI3+BI4)</f>
        <v>0.13250000000000001</v>
      </c>
      <c r="BJ5" s="1153">
        <f>+BI5</f>
        <v>0.13250000000000001</v>
      </c>
      <c r="BK5" s="1441" t="s">
        <v>919</v>
      </c>
      <c r="BL5" s="984">
        <v>0.77900000000000003</v>
      </c>
      <c r="BM5" s="1364"/>
      <c r="BN5" s="1364"/>
      <c r="BO5" s="1367"/>
    </row>
    <row r="6" spans="1:67" ht="115.8" customHeight="1" x14ac:dyDescent="0.3">
      <c r="A6" s="994"/>
      <c r="B6" s="1182"/>
      <c r="C6" s="6" t="s">
        <v>143</v>
      </c>
      <c r="D6" s="985"/>
      <c r="E6" s="986"/>
      <c r="F6" s="1100"/>
      <c r="G6" s="1431"/>
      <c r="H6" s="955"/>
      <c r="I6" s="956"/>
      <c r="J6" s="957"/>
      <c r="K6" s="1107"/>
      <c r="L6" s="959"/>
      <c r="M6" s="984"/>
      <c r="N6" s="976"/>
      <c r="O6" s="976"/>
      <c r="P6" s="978"/>
      <c r="Q6" s="1418"/>
      <c r="R6" s="1419"/>
      <c r="S6" s="1062"/>
      <c r="T6" s="1157"/>
      <c r="U6" s="1107"/>
      <c r="V6" s="959"/>
      <c r="W6" s="984"/>
      <c r="X6" s="976"/>
      <c r="Y6" s="979"/>
      <c r="Z6" s="1416"/>
      <c r="AA6" s="1377"/>
      <c r="AB6" s="1378"/>
      <c r="AC6" s="1076"/>
      <c r="AD6" s="1380"/>
      <c r="AE6" s="1153"/>
      <c r="AF6" s="959"/>
      <c r="AG6" s="984"/>
      <c r="AH6" s="1364"/>
      <c r="AI6" s="1364"/>
      <c r="AJ6" s="1367"/>
      <c r="AK6" s="1349"/>
      <c r="AL6" s="1350"/>
      <c r="AM6" s="1369"/>
      <c r="AN6" s="1352"/>
      <c r="AO6" s="1153"/>
      <c r="AP6" s="959"/>
      <c r="AQ6" s="984"/>
      <c r="AR6" s="1364"/>
      <c r="AS6" s="1364"/>
      <c r="AT6" s="1367"/>
      <c r="AU6" s="1437"/>
      <c r="AV6" s="1438"/>
      <c r="AW6" s="1263"/>
      <c r="AX6" s="1439"/>
      <c r="AY6" s="1440"/>
      <c r="AZ6" s="1441"/>
      <c r="BA6" s="984"/>
      <c r="BB6" s="1364"/>
      <c r="BC6" s="1364"/>
      <c r="BD6" s="1367"/>
      <c r="BE6" s="1437"/>
      <c r="BF6" s="946"/>
      <c r="BG6" s="1438"/>
      <c r="BH6" s="1263"/>
      <c r="BI6" s="1439"/>
      <c r="BJ6" s="1153"/>
      <c r="BK6" s="1441"/>
      <c r="BL6" s="984"/>
      <c r="BM6" s="1364"/>
      <c r="BN6" s="1364"/>
      <c r="BO6" s="1367"/>
    </row>
    <row r="7" spans="1:67" ht="73.8" customHeight="1" x14ac:dyDescent="0.3">
      <c r="A7" s="994"/>
      <c r="B7" s="1182"/>
      <c r="C7" s="6" t="s">
        <v>145</v>
      </c>
      <c r="D7" s="986" t="s">
        <v>509</v>
      </c>
      <c r="E7" s="986" t="s">
        <v>511</v>
      </c>
      <c r="F7" s="1100" t="s">
        <v>510</v>
      </c>
      <c r="G7" s="1431" t="s">
        <v>367</v>
      </c>
      <c r="H7" s="955">
        <f>+F37+F39</f>
        <v>10</v>
      </c>
      <c r="I7" s="956" t="s">
        <v>368</v>
      </c>
      <c r="J7" s="957">
        <f>+H7/H5</f>
        <v>0.76923076923076927</v>
      </c>
      <c r="K7" s="1427">
        <f>+J7</f>
        <v>0.76923076923076927</v>
      </c>
      <c r="L7" s="959" t="s">
        <v>512</v>
      </c>
      <c r="M7" s="990">
        <v>1</v>
      </c>
      <c r="N7" s="976"/>
      <c r="O7" s="976"/>
      <c r="P7" s="978"/>
      <c r="Q7" s="1418" t="s">
        <v>367</v>
      </c>
      <c r="R7" s="1419">
        <v>8</v>
      </c>
      <c r="S7" s="1420" t="s">
        <v>368</v>
      </c>
      <c r="T7" s="1157">
        <f>+R7/R5</f>
        <v>0.88888888888888884</v>
      </c>
      <c r="U7" s="1153">
        <f>+T7</f>
        <v>0.88888888888888884</v>
      </c>
      <c r="V7" s="959" t="s">
        <v>647</v>
      </c>
      <c r="W7" s="990">
        <v>1</v>
      </c>
      <c r="X7" s="976"/>
      <c r="Y7" s="979"/>
      <c r="Z7" s="1416"/>
      <c r="AA7" s="1377" t="s">
        <v>367</v>
      </c>
      <c r="AB7" s="1378">
        <f>+F52+F59</f>
        <v>19</v>
      </c>
      <c r="AC7" s="1379" t="s">
        <v>368</v>
      </c>
      <c r="AD7" s="1380">
        <f>+AB7/AB5</f>
        <v>1</v>
      </c>
      <c r="AE7" s="1153">
        <f>+AD7</f>
        <v>1</v>
      </c>
      <c r="AF7" s="959" t="s">
        <v>755</v>
      </c>
      <c r="AG7" s="990">
        <v>1</v>
      </c>
      <c r="AH7" s="1364"/>
      <c r="AI7" s="1364"/>
      <c r="AJ7" s="1367"/>
      <c r="AK7" s="1349" t="s">
        <v>367</v>
      </c>
      <c r="AL7" s="1350">
        <f>+F66</f>
        <v>111</v>
      </c>
      <c r="AM7" s="1351" t="s">
        <v>368</v>
      </c>
      <c r="AN7" s="1352">
        <f>+AL7/AL5</f>
        <v>1.1326530612244898</v>
      </c>
      <c r="AO7" s="1153">
        <f>+AN7</f>
        <v>1.1326530612244898</v>
      </c>
      <c r="AP7" s="959" t="s">
        <v>855</v>
      </c>
      <c r="AQ7" s="990">
        <v>1</v>
      </c>
      <c r="AR7" s="1364"/>
      <c r="AS7" s="1364"/>
      <c r="AT7" s="1367"/>
      <c r="AU7" s="1437" t="s">
        <v>367</v>
      </c>
      <c r="AV7" s="1438">
        <f>+F73</f>
        <v>12</v>
      </c>
      <c r="AW7" s="1442" t="s">
        <v>368</v>
      </c>
      <c r="AX7" s="1439">
        <f>+AV7/AV5</f>
        <v>0.5</v>
      </c>
      <c r="AY7" s="1153">
        <f>+AX7</f>
        <v>0.5</v>
      </c>
      <c r="AZ7" s="1443" t="s">
        <v>920</v>
      </c>
      <c r="BA7" s="990">
        <v>1</v>
      </c>
      <c r="BB7" s="1364"/>
      <c r="BC7" s="1364"/>
      <c r="BD7" s="1367"/>
      <c r="BE7" s="1437" t="s">
        <v>367</v>
      </c>
      <c r="BF7" s="946"/>
      <c r="BG7" s="1438">
        <f>+F80</f>
        <v>67</v>
      </c>
      <c r="BH7" s="1442" t="s">
        <v>368</v>
      </c>
      <c r="BI7" s="1439">
        <f>+BG7/BG5</f>
        <v>1.2641509433962264</v>
      </c>
      <c r="BJ7" s="1153">
        <f>+BI7</f>
        <v>1.2641509433962264</v>
      </c>
      <c r="BK7" s="1443" t="s">
        <v>920</v>
      </c>
      <c r="BL7" s="990">
        <v>1</v>
      </c>
      <c r="BM7" s="1364"/>
      <c r="BN7" s="1364"/>
      <c r="BO7" s="1367"/>
    </row>
    <row r="8" spans="1:67" ht="97.2" customHeight="1" x14ac:dyDescent="0.3">
      <c r="A8" s="994"/>
      <c r="B8" s="1182"/>
      <c r="C8" s="6" t="s">
        <v>148</v>
      </c>
      <c r="D8" s="986"/>
      <c r="E8" s="986"/>
      <c r="F8" s="1100"/>
      <c r="G8" s="1431"/>
      <c r="H8" s="955"/>
      <c r="I8" s="956"/>
      <c r="J8" s="957"/>
      <c r="K8" s="1427"/>
      <c r="L8" s="959"/>
      <c r="M8" s="990"/>
      <c r="N8" s="976"/>
      <c r="O8" s="976"/>
      <c r="P8" s="978"/>
      <c r="Q8" s="1418"/>
      <c r="R8" s="1419"/>
      <c r="S8" s="1420"/>
      <c r="T8" s="1157"/>
      <c r="U8" s="1153"/>
      <c r="V8" s="959"/>
      <c r="W8" s="990"/>
      <c r="X8" s="976"/>
      <c r="Y8" s="979"/>
      <c r="Z8" s="1416"/>
      <c r="AA8" s="1377"/>
      <c r="AB8" s="1378"/>
      <c r="AC8" s="1379"/>
      <c r="AD8" s="1380"/>
      <c r="AE8" s="1153"/>
      <c r="AF8" s="959"/>
      <c r="AG8" s="990"/>
      <c r="AH8" s="1364"/>
      <c r="AI8" s="1364"/>
      <c r="AJ8" s="1367"/>
      <c r="AK8" s="1349"/>
      <c r="AL8" s="1350"/>
      <c r="AM8" s="1351"/>
      <c r="AN8" s="1352"/>
      <c r="AO8" s="1153"/>
      <c r="AP8" s="959"/>
      <c r="AQ8" s="990"/>
      <c r="AR8" s="1364"/>
      <c r="AS8" s="1364"/>
      <c r="AT8" s="1367"/>
      <c r="AU8" s="1437"/>
      <c r="AV8" s="1438"/>
      <c r="AW8" s="1442"/>
      <c r="AX8" s="1439"/>
      <c r="AY8" s="1153"/>
      <c r="AZ8" s="1441"/>
      <c r="BA8" s="990"/>
      <c r="BB8" s="1364"/>
      <c r="BC8" s="1364"/>
      <c r="BD8" s="1367"/>
      <c r="BE8" s="1437"/>
      <c r="BF8" s="946"/>
      <c r="BG8" s="1438"/>
      <c r="BH8" s="1442"/>
      <c r="BI8" s="1439"/>
      <c r="BJ8" s="1153"/>
      <c r="BK8" s="1441"/>
      <c r="BL8" s="990"/>
      <c r="BM8" s="1364"/>
      <c r="BN8" s="1364"/>
      <c r="BO8" s="1367"/>
    </row>
    <row r="9" spans="1:67" ht="84" customHeight="1" x14ac:dyDescent="0.3">
      <c r="A9" s="994"/>
      <c r="B9" s="1182"/>
      <c r="C9" s="6" t="s">
        <v>150</v>
      </c>
      <c r="D9" s="986" t="s">
        <v>513</v>
      </c>
      <c r="E9" s="986" t="s">
        <v>515</v>
      </c>
      <c r="F9" s="1100" t="s">
        <v>514</v>
      </c>
      <c r="G9" s="1431" t="s">
        <v>369</v>
      </c>
      <c r="H9" s="955">
        <f>+F39</f>
        <v>6</v>
      </c>
      <c r="I9" s="956" t="s">
        <v>370</v>
      </c>
      <c r="J9" s="957">
        <f>+H9/H7</f>
        <v>0.6</v>
      </c>
      <c r="K9" s="1427">
        <f>+J9</f>
        <v>0.6</v>
      </c>
      <c r="L9" s="959" t="s">
        <v>516</v>
      </c>
      <c r="M9" s="990">
        <v>1</v>
      </c>
      <c r="N9" s="976"/>
      <c r="O9" s="976"/>
      <c r="P9" s="978"/>
      <c r="Q9" s="1418" t="s">
        <v>369</v>
      </c>
      <c r="R9" s="1419">
        <v>4</v>
      </c>
      <c r="S9" s="1420" t="s">
        <v>370</v>
      </c>
      <c r="T9" s="1157">
        <f>+R9/R7</f>
        <v>0.5</v>
      </c>
      <c r="U9" s="1153">
        <f>+T9</f>
        <v>0.5</v>
      </c>
      <c r="V9" s="959" t="s">
        <v>612</v>
      </c>
      <c r="W9" s="990">
        <v>1</v>
      </c>
      <c r="X9" s="976"/>
      <c r="Y9" s="979"/>
      <c r="Z9" s="1416"/>
      <c r="AA9" s="1377" t="s">
        <v>369</v>
      </c>
      <c r="AB9" s="1378">
        <f>+F53+F60</f>
        <v>5</v>
      </c>
      <c r="AC9" s="1379" t="s">
        <v>370</v>
      </c>
      <c r="AD9" s="1380">
        <f>+AB9/AB7</f>
        <v>0.26315789473684209</v>
      </c>
      <c r="AE9" s="1153">
        <f>+AD9</f>
        <v>0.26315789473684209</v>
      </c>
      <c r="AF9" s="959" t="s">
        <v>756</v>
      </c>
      <c r="AG9" s="990">
        <v>1</v>
      </c>
      <c r="AH9" s="1364"/>
      <c r="AI9" s="1364"/>
      <c r="AJ9" s="1367"/>
      <c r="AK9" s="1349" t="s">
        <v>369</v>
      </c>
      <c r="AL9" s="1350">
        <f>+F67</f>
        <v>4</v>
      </c>
      <c r="AM9" s="1351" t="s">
        <v>370</v>
      </c>
      <c r="AN9" s="1352">
        <f>+AL9/AL7</f>
        <v>3.6036036036036036E-2</v>
      </c>
      <c r="AO9" s="1153">
        <f>+AN9</f>
        <v>3.6036036036036036E-2</v>
      </c>
      <c r="AP9" s="959" t="s">
        <v>856</v>
      </c>
      <c r="AQ9" s="990">
        <v>1</v>
      </c>
      <c r="AR9" s="1364"/>
      <c r="AS9" s="1364"/>
      <c r="AT9" s="1367"/>
      <c r="AU9" s="1437" t="s">
        <v>369</v>
      </c>
      <c r="AV9" s="1438">
        <f>+F74</f>
        <v>4</v>
      </c>
      <c r="AW9" s="1442" t="s">
        <v>370</v>
      </c>
      <c r="AX9" s="1439">
        <f>+AV9/AV7</f>
        <v>0.33333333333333331</v>
      </c>
      <c r="AY9" s="1153">
        <f>+AX9</f>
        <v>0.33333333333333331</v>
      </c>
      <c r="AZ9" s="1441" t="s">
        <v>921</v>
      </c>
      <c r="BA9" s="990">
        <v>1</v>
      </c>
      <c r="BB9" s="1364"/>
      <c r="BC9" s="1364"/>
      <c r="BD9" s="1367"/>
      <c r="BE9" s="1437" t="s">
        <v>369</v>
      </c>
      <c r="BF9" s="946"/>
      <c r="BG9" s="1438">
        <f>+F81</f>
        <v>7</v>
      </c>
      <c r="BH9" s="1442" t="s">
        <v>370</v>
      </c>
      <c r="BI9" s="1439">
        <f>+BG9/BG7</f>
        <v>0.1044776119402985</v>
      </c>
      <c r="BJ9" s="1153">
        <f>+BI9</f>
        <v>0.1044776119402985</v>
      </c>
      <c r="BK9" s="1441" t="s">
        <v>921</v>
      </c>
      <c r="BL9" s="990">
        <v>1</v>
      </c>
      <c r="BM9" s="1364"/>
      <c r="BN9" s="1364"/>
      <c r="BO9" s="1367"/>
    </row>
    <row r="10" spans="1:67" ht="93.6" customHeight="1" x14ac:dyDescent="0.3">
      <c r="A10" s="994"/>
      <c r="B10" s="1182"/>
      <c r="C10" s="6" t="s">
        <v>153</v>
      </c>
      <c r="D10" s="986"/>
      <c r="E10" s="1002"/>
      <c r="F10" s="1100"/>
      <c r="G10" s="1431"/>
      <c r="H10" s="955"/>
      <c r="I10" s="956"/>
      <c r="J10" s="957"/>
      <c r="K10" s="1427"/>
      <c r="L10" s="959"/>
      <c r="M10" s="990"/>
      <c r="N10" s="976"/>
      <c r="O10" s="976"/>
      <c r="P10" s="978"/>
      <c r="Q10" s="1418"/>
      <c r="R10" s="1419"/>
      <c r="S10" s="1420"/>
      <c r="T10" s="1157"/>
      <c r="U10" s="1153"/>
      <c r="V10" s="959"/>
      <c r="W10" s="990"/>
      <c r="X10" s="976"/>
      <c r="Y10" s="979"/>
      <c r="Z10" s="1416"/>
      <c r="AA10" s="1377"/>
      <c r="AB10" s="1378"/>
      <c r="AC10" s="1379"/>
      <c r="AD10" s="1380"/>
      <c r="AE10" s="1153"/>
      <c r="AF10" s="959"/>
      <c r="AG10" s="990"/>
      <c r="AH10" s="1364"/>
      <c r="AI10" s="1364"/>
      <c r="AJ10" s="1367"/>
      <c r="AK10" s="1349"/>
      <c r="AL10" s="1350"/>
      <c r="AM10" s="1351"/>
      <c r="AN10" s="1352"/>
      <c r="AO10" s="1153"/>
      <c r="AP10" s="959"/>
      <c r="AQ10" s="990"/>
      <c r="AR10" s="1364"/>
      <c r="AS10" s="1364"/>
      <c r="AT10" s="1367"/>
      <c r="AU10" s="1437"/>
      <c r="AV10" s="1438"/>
      <c r="AW10" s="1442"/>
      <c r="AX10" s="1439"/>
      <c r="AY10" s="1153"/>
      <c r="AZ10" s="1441"/>
      <c r="BA10" s="990"/>
      <c r="BB10" s="1364"/>
      <c r="BC10" s="1364"/>
      <c r="BD10" s="1367"/>
      <c r="BE10" s="1437"/>
      <c r="BF10" s="946"/>
      <c r="BG10" s="1438"/>
      <c r="BH10" s="1442"/>
      <c r="BI10" s="1439"/>
      <c r="BJ10" s="1153"/>
      <c r="BK10" s="1441"/>
      <c r="BL10" s="990"/>
      <c r="BM10" s="1364"/>
      <c r="BN10" s="1364"/>
      <c r="BO10" s="1367"/>
    </row>
    <row r="11" spans="1:67" ht="254.4" customHeight="1" x14ac:dyDescent="0.3">
      <c r="A11" s="994"/>
      <c r="B11" s="1182"/>
      <c r="C11" s="6" t="s">
        <v>371</v>
      </c>
      <c r="D11" s="6" t="s">
        <v>517</v>
      </c>
      <c r="E11" s="6" t="s">
        <v>569</v>
      </c>
      <c r="F11" s="190" t="s">
        <v>518</v>
      </c>
      <c r="G11" s="350" t="s">
        <v>360</v>
      </c>
      <c r="H11" s="191">
        <f>+H3</f>
        <v>270</v>
      </c>
      <c r="I11" s="88" t="s">
        <v>372</v>
      </c>
      <c r="J11" s="250">
        <f>+H3-J3</f>
        <v>40</v>
      </c>
      <c r="K11" s="178">
        <f>+J11/H11</f>
        <v>0.14814814814814814</v>
      </c>
      <c r="L11" s="173" t="s">
        <v>519</v>
      </c>
      <c r="M11" s="177">
        <v>0</v>
      </c>
      <c r="N11" s="976"/>
      <c r="O11" s="976"/>
      <c r="P11" s="978"/>
      <c r="Q11" s="299" t="s">
        <v>360</v>
      </c>
      <c r="R11" s="308">
        <f>+R3</f>
        <v>78</v>
      </c>
      <c r="S11" s="300" t="s">
        <v>372</v>
      </c>
      <c r="T11" s="340">
        <f>+R3-T3</f>
        <v>1</v>
      </c>
      <c r="U11" s="187">
        <f>+T11/R11</f>
        <v>1.282051282051282E-2</v>
      </c>
      <c r="V11" s="173" t="s">
        <v>613</v>
      </c>
      <c r="W11" s="290">
        <f>(100-(1.28*10))/100</f>
        <v>0.872</v>
      </c>
      <c r="X11" s="976"/>
      <c r="Y11" s="979"/>
      <c r="Z11" s="1416"/>
      <c r="AA11" s="425" t="s">
        <v>360</v>
      </c>
      <c r="AB11" s="440">
        <f>+AB3</f>
        <v>188</v>
      </c>
      <c r="AC11" s="426" t="s">
        <v>372</v>
      </c>
      <c r="AD11" s="577">
        <f>+AB3-AD3</f>
        <v>28</v>
      </c>
      <c r="AE11" s="178">
        <f>+AD11/AB11</f>
        <v>0.14893617021276595</v>
      </c>
      <c r="AF11" s="173" t="s">
        <v>757</v>
      </c>
      <c r="AG11" s="290">
        <f>+AE11</f>
        <v>0.14893617021276595</v>
      </c>
      <c r="AH11" s="1364"/>
      <c r="AI11" s="1364"/>
      <c r="AJ11" s="1367"/>
      <c r="AK11" s="680" t="s">
        <v>360</v>
      </c>
      <c r="AL11" s="682">
        <f>+AL3</f>
        <v>266</v>
      </c>
      <c r="AM11" s="683" t="s">
        <v>372</v>
      </c>
      <c r="AN11" s="684">
        <f>+B68</f>
        <v>3</v>
      </c>
      <c r="AO11" s="187">
        <f>+AN11/AL11</f>
        <v>1.1278195488721804E-2</v>
      </c>
      <c r="AP11" s="173" t="s">
        <v>857</v>
      </c>
      <c r="AQ11" s="290">
        <f>1-AO11</f>
        <v>0.98872180451127822</v>
      </c>
      <c r="AR11" s="1364"/>
      <c r="AS11" s="1364"/>
      <c r="AT11" s="1367"/>
      <c r="AU11" s="735" t="s">
        <v>360</v>
      </c>
      <c r="AV11" s="740">
        <f>+AV3</f>
        <v>308</v>
      </c>
      <c r="AW11" s="737" t="s">
        <v>372</v>
      </c>
      <c r="AX11" s="741">
        <f>+L68</f>
        <v>0</v>
      </c>
      <c r="AY11" s="187">
        <f>+AX11/AV11</f>
        <v>0</v>
      </c>
      <c r="AZ11" s="173" t="s">
        <v>922</v>
      </c>
      <c r="BA11" s="290">
        <f>1-AY11</f>
        <v>1</v>
      </c>
      <c r="BB11" s="1364"/>
      <c r="BC11" s="1364"/>
      <c r="BD11" s="1367"/>
      <c r="BE11" s="735" t="s">
        <v>360</v>
      </c>
      <c r="BF11" s="946"/>
      <c r="BG11" s="740">
        <f>+BG3</f>
        <v>400</v>
      </c>
      <c r="BH11" s="737" t="s">
        <v>372</v>
      </c>
      <c r="BI11" s="741">
        <f>+V68</f>
        <v>0</v>
      </c>
      <c r="BJ11" s="187">
        <f>+BI11/BG11</f>
        <v>0</v>
      </c>
      <c r="BK11" s="173" t="s">
        <v>922</v>
      </c>
      <c r="BL11" s="290">
        <f>1-BJ11</f>
        <v>1</v>
      </c>
      <c r="BM11" s="1364"/>
      <c r="BN11" s="1364"/>
      <c r="BO11" s="1367"/>
    </row>
    <row r="12" spans="1:67" ht="179.4" customHeight="1" x14ac:dyDescent="0.3">
      <c r="A12" s="994"/>
      <c r="B12" s="1182"/>
      <c r="C12" s="6" t="s">
        <v>520</v>
      </c>
      <c r="D12" s="6" t="s">
        <v>521</v>
      </c>
      <c r="E12" s="6" t="s">
        <v>523</v>
      </c>
      <c r="F12" s="190" t="s">
        <v>522</v>
      </c>
      <c r="G12" s="568" t="s">
        <v>3</v>
      </c>
      <c r="H12" s="98">
        <f>35*24</f>
        <v>840</v>
      </c>
      <c r="I12" s="88" t="s">
        <v>374</v>
      </c>
      <c r="J12" s="250">
        <v>235</v>
      </c>
      <c r="K12" s="178">
        <f>+J12/H12</f>
        <v>0.27976190476190477</v>
      </c>
      <c r="L12" s="173" t="s">
        <v>524</v>
      </c>
      <c r="M12" s="270">
        <f>+K12</f>
        <v>0.27976190476190477</v>
      </c>
      <c r="N12" s="976"/>
      <c r="O12" s="976"/>
      <c r="P12" s="978"/>
      <c r="Q12" s="341" t="s">
        <v>3</v>
      </c>
      <c r="R12" s="321">
        <f>35*24</f>
        <v>840</v>
      </c>
      <c r="S12" s="300" t="s">
        <v>374</v>
      </c>
      <c r="T12" s="340">
        <v>309</v>
      </c>
      <c r="U12" s="178">
        <f>+T12/R12</f>
        <v>0.36785714285714288</v>
      </c>
      <c r="V12" s="173" t="s">
        <v>524</v>
      </c>
      <c r="W12" s="270">
        <f>+U12</f>
        <v>0.36785714285714288</v>
      </c>
      <c r="X12" s="976"/>
      <c r="Y12" s="979"/>
      <c r="Z12" s="1416"/>
      <c r="AA12" s="524" t="s">
        <v>3</v>
      </c>
      <c r="AB12" s="473">
        <f>35*(18+27)</f>
        <v>1575</v>
      </c>
      <c r="AC12" s="426" t="s">
        <v>374</v>
      </c>
      <c r="AD12" s="577">
        <f>+C52+C59</f>
        <v>706</v>
      </c>
      <c r="AE12" s="178">
        <f>+AD12/AB12</f>
        <v>0.44825396825396824</v>
      </c>
      <c r="AF12" s="173" t="s">
        <v>758</v>
      </c>
      <c r="AG12" s="270">
        <f>+AE12</f>
        <v>0.44825396825396824</v>
      </c>
      <c r="AH12" s="1364"/>
      <c r="AI12" s="1364"/>
      <c r="AJ12" s="1367"/>
      <c r="AK12" s="685" t="s">
        <v>3</v>
      </c>
      <c r="AL12" s="681">
        <f>35*(22)</f>
        <v>770</v>
      </c>
      <c r="AM12" s="683" t="s">
        <v>374</v>
      </c>
      <c r="AN12" s="684">
        <f>+C66</f>
        <v>779</v>
      </c>
      <c r="AO12" s="187">
        <f>+AN12/AL12</f>
        <v>1.0116883116883117</v>
      </c>
      <c r="AP12" s="777" t="s">
        <v>858</v>
      </c>
      <c r="AQ12" s="270">
        <v>1</v>
      </c>
      <c r="AR12" s="1364"/>
      <c r="AS12" s="1364"/>
      <c r="AT12" s="1367"/>
      <c r="AU12" s="742" t="s">
        <v>3</v>
      </c>
      <c r="AV12" s="739">
        <f>35*(25)</f>
        <v>875</v>
      </c>
      <c r="AW12" s="737" t="s">
        <v>374</v>
      </c>
      <c r="AX12" s="741">
        <f>+C73</f>
        <v>1043</v>
      </c>
      <c r="AY12" s="187">
        <f>+AX12/AV12</f>
        <v>1.1919999999999999</v>
      </c>
      <c r="AZ12" s="871" t="s">
        <v>923</v>
      </c>
      <c r="BA12" s="270">
        <v>1</v>
      </c>
      <c r="BB12" s="1364"/>
      <c r="BC12" s="1364"/>
      <c r="BD12" s="1367"/>
      <c r="BE12" s="742" t="s">
        <v>3</v>
      </c>
      <c r="BF12" s="947"/>
      <c r="BG12" s="739">
        <f>35*(21)</f>
        <v>735</v>
      </c>
      <c r="BH12" s="737" t="s">
        <v>374</v>
      </c>
      <c r="BI12" s="741">
        <f>+C80</f>
        <v>806</v>
      </c>
      <c r="BJ12" s="187">
        <f>+BI12/BG12</f>
        <v>1.0965986394557823</v>
      </c>
      <c r="BK12" s="871" t="s">
        <v>923</v>
      </c>
      <c r="BL12" s="270">
        <v>1</v>
      </c>
      <c r="BM12" s="1364"/>
      <c r="BN12" s="1364"/>
      <c r="BO12" s="1367"/>
    </row>
    <row r="13" spans="1:67" ht="30" customHeight="1" x14ac:dyDescent="0.3">
      <c r="A13" s="994"/>
      <c r="B13" s="1182"/>
      <c r="C13" s="986" t="s">
        <v>75</v>
      </c>
      <c r="D13" s="986" t="s">
        <v>525</v>
      </c>
      <c r="E13" s="986" t="s">
        <v>526</v>
      </c>
      <c r="F13" s="1100" t="s">
        <v>528</v>
      </c>
      <c r="G13" s="569" t="s">
        <v>373</v>
      </c>
      <c r="H13" s="144" t="s">
        <v>210</v>
      </c>
      <c r="I13" s="213" t="s">
        <v>211</v>
      </c>
      <c r="J13" s="252" t="s">
        <v>212</v>
      </c>
      <c r="K13" s="1147">
        <f>SUM(J14:J20)/6</f>
        <v>17.666666666666668</v>
      </c>
      <c r="L13" s="1423" t="s">
        <v>527</v>
      </c>
      <c r="M13" s="990">
        <f>(100-((K13-J16)/(30-1))*30)/100</f>
        <v>0.82758620689655171</v>
      </c>
      <c r="N13" s="976"/>
      <c r="O13" s="976"/>
      <c r="P13" s="978"/>
      <c r="Q13" s="324" t="s">
        <v>373</v>
      </c>
      <c r="R13" s="332" t="s">
        <v>210</v>
      </c>
      <c r="S13" s="309" t="s">
        <v>211</v>
      </c>
      <c r="T13" s="342" t="s">
        <v>212</v>
      </c>
      <c r="U13" s="1147">
        <f>AVERAGE(T14:T19)</f>
        <v>10</v>
      </c>
      <c r="V13" s="1353" t="s">
        <v>614</v>
      </c>
      <c r="W13" s="984">
        <v>0.90700000000000003</v>
      </c>
      <c r="X13" s="976"/>
      <c r="Y13" s="979"/>
      <c r="Z13" s="1416"/>
      <c r="AA13" s="479" t="s">
        <v>373</v>
      </c>
      <c r="AB13" s="525" t="s">
        <v>210</v>
      </c>
      <c r="AC13" s="526" t="s">
        <v>211</v>
      </c>
      <c r="AD13" s="578" t="s">
        <v>212</v>
      </c>
      <c r="AE13" s="1147">
        <f>AVERAGE(AD14:AD19)</f>
        <v>5</v>
      </c>
      <c r="AF13" s="1353" t="s">
        <v>765</v>
      </c>
      <c r="AG13" s="984">
        <v>1</v>
      </c>
      <c r="AH13" s="1364"/>
      <c r="AI13" s="1364"/>
      <c r="AJ13" s="1367"/>
      <c r="AK13" s="686" t="s">
        <v>373</v>
      </c>
      <c r="AL13" s="687" t="s">
        <v>210</v>
      </c>
      <c r="AM13" s="688" t="s">
        <v>211</v>
      </c>
      <c r="AN13" s="689" t="s">
        <v>212</v>
      </c>
      <c r="AO13" s="1147">
        <f>AVERAGE(AN14:AN18)</f>
        <v>2</v>
      </c>
      <c r="AP13" s="1353" t="s">
        <v>859</v>
      </c>
      <c r="AQ13" s="984">
        <v>1</v>
      </c>
      <c r="AR13" s="1364"/>
      <c r="AS13" s="1364"/>
      <c r="AT13" s="1367"/>
      <c r="AU13" s="743" t="s">
        <v>373</v>
      </c>
      <c r="AV13" s="744" t="s">
        <v>210</v>
      </c>
      <c r="AW13" s="745" t="s">
        <v>211</v>
      </c>
      <c r="AX13" s="746" t="s">
        <v>212</v>
      </c>
      <c r="AY13" s="1147">
        <f>AVERAGE(AX14:AX18)</f>
        <v>4.5</v>
      </c>
      <c r="AZ13" s="1353" t="s">
        <v>924</v>
      </c>
      <c r="BA13" s="984">
        <v>1</v>
      </c>
      <c r="BB13" s="1364"/>
      <c r="BC13" s="1364"/>
      <c r="BD13" s="1367"/>
      <c r="BE13" s="743" t="s">
        <v>373</v>
      </c>
      <c r="BF13" s="948"/>
      <c r="BG13" s="744" t="s">
        <v>210</v>
      </c>
      <c r="BH13" s="745" t="s">
        <v>211</v>
      </c>
      <c r="BI13" s="746" t="s">
        <v>212</v>
      </c>
      <c r="BJ13" s="1147">
        <f>AVERAGE(BI14:BI20)</f>
        <v>1.1428571428571428</v>
      </c>
      <c r="BK13" s="1353" t="s">
        <v>924</v>
      </c>
      <c r="BL13" s="984">
        <v>1</v>
      </c>
      <c r="BM13" s="1364"/>
      <c r="BN13" s="1364"/>
      <c r="BO13" s="1367"/>
    </row>
    <row r="14" spans="1:67" ht="30" customHeight="1" x14ac:dyDescent="0.3">
      <c r="A14" s="994"/>
      <c r="B14" s="1182"/>
      <c r="C14" s="986"/>
      <c r="D14" s="986"/>
      <c r="E14" s="986"/>
      <c r="F14" s="1100"/>
      <c r="G14" s="570" t="s">
        <v>375</v>
      </c>
      <c r="H14" s="142">
        <v>45902</v>
      </c>
      <c r="I14" s="142">
        <v>45937</v>
      </c>
      <c r="J14" s="118">
        <f t="shared" ref="J14:J20" si="0">_xlfn.DAYS(I14,H14)</f>
        <v>35</v>
      </c>
      <c r="K14" s="1147"/>
      <c r="L14" s="1424"/>
      <c r="M14" s="990"/>
      <c r="N14" s="976"/>
      <c r="O14" s="976"/>
      <c r="P14" s="978"/>
      <c r="Q14" s="299" t="s">
        <v>164</v>
      </c>
      <c r="R14" s="356">
        <v>45948</v>
      </c>
      <c r="S14" s="356">
        <v>45965</v>
      </c>
      <c r="T14" s="338">
        <f t="shared" ref="T14:T20" si="1">_xlfn.DAYS(S14,R14)</f>
        <v>17</v>
      </c>
      <c r="U14" s="1147"/>
      <c r="V14" s="1354"/>
      <c r="W14" s="984"/>
      <c r="X14" s="976"/>
      <c r="Y14" s="979"/>
      <c r="Z14" s="1416"/>
      <c r="AA14" s="507" t="s">
        <v>709</v>
      </c>
      <c r="AB14" s="512">
        <v>45972</v>
      </c>
      <c r="AC14" s="512">
        <v>45973</v>
      </c>
      <c r="AD14" s="487">
        <f>_xlfn.DAYS(AC14,AB14)</f>
        <v>1</v>
      </c>
      <c r="AE14" s="1147"/>
      <c r="AF14" s="1354"/>
      <c r="AG14" s="984"/>
      <c r="AH14" s="1364"/>
      <c r="AI14" s="1364"/>
      <c r="AJ14" s="1367"/>
      <c r="AK14" s="680" t="s">
        <v>164</v>
      </c>
      <c r="AL14" s="692">
        <v>46061</v>
      </c>
      <c r="AM14" s="692">
        <v>46061</v>
      </c>
      <c r="AN14" s="691">
        <f>_xlfn.DAYS(AM14,AL14)</f>
        <v>0</v>
      </c>
      <c r="AO14" s="1147"/>
      <c r="AP14" s="1354"/>
      <c r="AQ14" s="984"/>
      <c r="AR14" s="1364"/>
      <c r="AS14" s="1364"/>
      <c r="AT14" s="1367"/>
      <c r="AU14" s="846" t="s">
        <v>885</v>
      </c>
      <c r="AV14" s="841">
        <v>46088</v>
      </c>
      <c r="AW14" s="841">
        <v>46093</v>
      </c>
      <c r="AX14" s="838">
        <v>5</v>
      </c>
      <c r="AY14" s="1147"/>
      <c r="AZ14" s="1354"/>
      <c r="BA14" s="984"/>
      <c r="BB14" s="1364"/>
      <c r="BC14" s="1364"/>
      <c r="BD14" s="1367"/>
      <c r="BE14" s="939" t="s">
        <v>887</v>
      </c>
      <c r="BF14" s="939"/>
      <c r="BG14" s="940">
        <v>46118</v>
      </c>
      <c r="BH14" s="940">
        <v>46120</v>
      </c>
      <c r="BI14" s="739">
        <f>_xlfn.DAYS(BH14,BG14)</f>
        <v>2</v>
      </c>
      <c r="BJ14" s="1147"/>
      <c r="BK14" s="1354"/>
      <c r="BL14" s="984"/>
      <c r="BM14" s="1364"/>
      <c r="BN14" s="1364"/>
      <c r="BO14" s="1367"/>
    </row>
    <row r="15" spans="1:67" ht="30" customHeight="1" x14ac:dyDescent="0.3">
      <c r="A15" s="994"/>
      <c r="B15" s="1182"/>
      <c r="C15" s="986"/>
      <c r="D15" s="986"/>
      <c r="E15" s="986"/>
      <c r="F15" s="1100"/>
      <c r="G15" s="570"/>
      <c r="H15" s="142"/>
      <c r="I15" s="142"/>
      <c r="J15" s="118"/>
      <c r="K15" s="1147"/>
      <c r="L15" s="1424"/>
      <c r="M15" s="990"/>
      <c r="N15" s="976"/>
      <c r="O15" s="976"/>
      <c r="P15" s="978"/>
      <c r="Q15" s="299"/>
      <c r="R15" s="356"/>
      <c r="S15" s="356"/>
      <c r="T15" s="338"/>
      <c r="U15" s="1147"/>
      <c r="V15" s="1354"/>
      <c r="W15" s="984"/>
      <c r="X15" s="976"/>
      <c r="Y15" s="979"/>
      <c r="Z15" s="1416"/>
      <c r="AA15" s="507"/>
      <c r="AB15" s="512"/>
      <c r="AC15" s="512"/>
      <c r="AD15" s="487"/>
      <c r="AE15" s="1147"/>
      <c r="AF15" s="1354"/>
      <c r="AG15" s="984"/>
      <c r="AH15" s="1364"/>
      <c r="AI15" s="1364"/>
      <c r="AJ15" s="1367"/>
      <c r="AK15" s="680"/>
      <c r="AL15" s="692"/>
      <c r="AM15" s="692"/>
      <c r="AN15" s="691"/>
      <c r="AO15" s="1147"/>
      <c r="AP15" s="1354"/>
      <c r="AQ15" s="984"/>
      <c r="AR15" s="1364"/>
      <c r="AS15" s="1364"/>
      <c r="AT15" s="1367"/>
      <c r="AU15" s="846"/>
      <c r="AV15" s="841"/>
      <c r="AW15" s="841"/>
      <c r="AX15" s="838"/>
      <c r="AY15" s="1147"/>
      <c r="AZ15" s="1354"/>
      <c r="BA15" s="984"/>
      <c r="BB15" s="1364"/>
      <c r="BC15" s="1364"/>
      <c r="BD15" s="1367"/>
      <c r="BE15" s="941" t="s">
        <v>887</v>
      </c>
      <c r="BF15" s="941"/>
      <c r="BG15" s="942">
        <v>46121</v>
      </c>
      <c r="BH15" s="942">
        <v>46121</v>
      </c>
      <c r="BI15" s="739">
        <f t="shared" ref="BI15:BI20" si="2">_xlfn.DAYS(BH15,BG15)</f>
        <v>0</v>
      </c>
      <c r="BJ15" s="1147"/>
      <c r="BK15" s="1354"/>
      <c r="BL15" s="984"/>
      <c r="BM15" s="1364"/>
      <c r="BN15" s="1364"/>
      <c r="BO15" s="1367"/>
    </row>
    <row r="16" spans="1:67" ht="30" customHeight="1" x14ac:dyDescent="0.3">
      <c r="A16" s="994"/>
      <c r="B16" s="1182"/>
      <c r="C16" s="986"/>
      <c r="D16" s="986"/>
      <c r="E16" s="986"/>
      <c r="F16" s="1100"/>
      <c r="G16" s="350" t="s">
        <v>349</v>
      </c>
      <c r="H16" s="142">
        <v>45902</v>
      </c>
      <c r="I16" s="142">
        <v>45903</v>
      </c>
      <c r="J16" s="118">
        <f t="shared" si="0"/>
        <v>1</v>
      </c>
      <c r="K16" s="1147"/>
      <c r="L16" s="1424"/>
      <c r="M16" s="990"/>
      <c r="N16" s="976"/>
      <c r="O16" s="976"/>
      <c r="P16" s="978"/>
      <c r="Q16" s="299" t="s">
        <v>164</v>
      </c>
      <c r="R16" s="356">
        <v>45965</v>
      </c>
      <c r="S16" s="356">
        <v>45975</v>
      </c>
      <c r="T16" s="338">
        <f t="shared" si="1"/>
        <v>10</v>
      </c>
      <c r="U16" s="1147"/>
      <c r="V16" s="1354"/>
      <c r="W16" s="984"/>
      <c r="X16" s="976"/>
      <c r="Y16" s="979"/>
      <c r="Z16" s="1416"/>
      <c r="AA16" s="507" t="s">
        <v>712</v>
      </c>
      <c r="AB16" s="512">
        <v>45965</v>
      </c>
      <c r="AC16" s="512">
        <v>45975</v>
      </c>
      <c r="AD16" s="487">
        <f t="shared" ref="AD16:AD20" si="3">_xlfn.DAYS(AC16,AB16)</f>
        <v>10</v>
      </c>
      <c r="AE16" s="1147"/>
      <c r="AF16" s="1354"/>
      <c r="AG16" s="984"/>
      <c r="AH16" s="1364"/>
      <c r="AI16" s="1364"/>
      <c r="AJ16" s="1367"/>
      <c r="AK16" s="680" t="s">
        <v>164</v>
      </c>
      <c r="AL16" s="692">
        <v>46059</v>
      </c>
      <c r="AM16" s="692">
        <v>46065</v>
      </c>
      <c r="AN16" s="691">
        <f t="shared" ref="AN16:AN18" si="4">_xlfn.DAYS(AM16,AL16)</f>
        <v>6</v>
      </c>
      <c r="AO16" s="1147"/>
      <c r="AP16" s="1354"/>
      <c r="AQ16" s="984"/>
      <c r="AR16" s="1364"/>
      <c r="AS16" s="1364"/>
      <c r="AT16" s="1367"/>
      <c r="AU16" s="846" t="s">
        <v>887</v>
      </c>
      <c r="AV16" s="841">
        <v>46106</v>
      </c>
      <c r="AW16" s="841">
        <v>46106</v>
      </c>
      <c r="AX16" s="838">
        <v>0</v>
      </c>
      <c r="AY16" s="1147"/>
      <c r="AZ16" s="1354"/>
      <c r="BA16" s="984"/>
      <c r="BB16" s="1364"/>
      <c r="BC16" s="1364"/>
      <c r="BD16" s="1367"/>
      <c r="BE16" s="941" t="s">
        <v>887</v>
      </c>
      <c r="BF16" s="941"/>
      <c r="BG16" s="942">
        <v>46126</v>
      </c>
      <c r="BH16" s="943">
        <v>46132</v>
      </c>
      <c r="BI16" s="739">
        <f t="shared" si="2"/>
        <v>6</v>
      </c>
      <c r="BJ16" s="1147"/>
      <c r="BK16" s="1354"/>
      <c r="BL16" s="984"/>
      <c r="BM16" s="1364"/>
      <c r="BN16" s="1364"/>
      <c r="BO16" s="1367"/>
    </row>
    <row r="17" spans="1:67" ht="30" customHeight="1" x14ac:dyDescent="0.3">
      <c r="A17" s="994"/>
      <c r="B17" s="1182"/>
      <c r="C17" s="986"/>
      <c r="D17" s="986"/>
      <c r="E17" s="986"/>
      <c r="F17" s="1100"/>
      <c r="G17" s="350" t="s">
        <v>350</v>
      </c>
      <c r="H17" s="142">
        <v>45930</v>
      </c>
      <c r="I17" s="142">
        <v>45945</v>
      </c>
      <c r="J17" s="118">
        <f t="shared" si="0"/>
        <v>15</v>
      </c>
      <c r="K17" s="1147"/>
      <c r="L17" s="1424"/>
      <c r="M17" s="990"/>
      <c r="N17" s="976"/>
      <c r="O17" s="976"/>
      <c r="P17" s="978"/>
      <c r="Q17" s="299" t="s">
        <v>164</v>
      </c>
      <c r="R17" s="356">
        <v>45977</v>
      </c>
      <c r="S17" s="356">
        <v>45978</v>
      </c>
      <c r="T17" s="338">
        <f t="shared" si="1"/>
        <v>1</v>
      </c>
      <c r="U17" s="1147"/>
      <c r="V17" s="1354"/>
      <c r="W17" s="984"/>
      <c r="X17" s="976"/>
      <c r="Y17" s="979"/>
      <c r="Z17" s="1416"/>
      <c r="AA17" s="507" t="s">
        <v>716</v>
      </c>
      <c r="AB17" s="512">
        <v>45969</v>
      </c>
      <c r="AC17" s="512">
        <v>45983</v>
      </c>
      <c r="AD17" s="487">
        <f t="shared" si="3"/>
        <v>14</v>
      </c>
      <c r="AE17" s="1147"/>
      <c r="AF17" s="1354"/>
      <c r="AG17" s="984"/>
      <c r="AH17" s="1364"/>
      <c r="AI17" s="1364"/>
      <c r="AJ17" s="1367"/>
      <c r="AK17" s="680" t="s">
        <v>164</v>
      </c>
      <c r="AL17" s="692">
        <v>46067</v>
      </c>
      <c r="AM17" s="692">
        <v>46068</v>
      </c>
      <c r="AN17" s="691">
        <f t="shared" si="4"/>
        <v>1</v>
      </c>
      <c r="AO17" s="1147"/>
      <c r="AP17" s="1354"/>
      <c r="AQ17" s="984"/>
      <c r="AR17" s="1364"/>
      <c r="AS17" s="1364"/>
      <c r="AT17" s="1367"/>
      <c r="AU17" s="847" t="s">
        <v>885</v>
      </c>
      <c r="AV17" s="842">
        <v>46098</v>
      </c>
      <c r="AW17" s="842">
        <v>46108</v>
      </c>
      <c r="AX17" s="838">
        <v>10</v>
      </c>
      <c r="AY17" s="1147"/>
      <c r="AZ17" s="1354"/>
      <c r="BA17" s="984"/>
      <c r="BB17" s="1364"/>
      <c r="BC17" s="1364"/>
      <c r="BD17" s="1367"/>
      <c r="BE17" s="939" t="s">
        <v>887</v>
      </c>
      <c r="BF17" s="939"/>
      <c r="BG17" s="944">
        <v>46127</v>
      </c>
      <c r="BH17" s="944">
        <v>46127</v>
      </c>
      <c r="BI17" s="739">
        <f t="shared" si="2"/>
        <v>0</v>
      </c>
      <c r="BJ17" s="1147"/>
      <c r="BK17" s="1354"/>
      <c r="BL17" s="984"/>
      <c r="BM17" s="1364"/>
      <c r="BN17" s="1364"/>
      <c r="BO17" s="1367"/>
    </row>
    <row r="18" spans="1:67" ht="30" customHeight="1" x14ac:dyDescent="0.3">
      <c r="A18" s="994"/>
      <c r="B18" s="1182"/>
      <c r="C18" s="986"/>
      <c r="D18" s="986"/>
      <c r="E18" s="986"/>
      <c r="F18" s="1100"/>
      <c r="G18" s="350" t="s">
        <v>351</v>
      </c>
      <c r="H18" s="142">
        <v>45910</v>
      </c>
      <c r="I18" s="142">
        <v>45947</v>
      </c>
      <c r="J18" s="118">
        <f t="shared" si="0"/>
        <v>37</v>
      </c>
      <c r="K18" s="1147"/>
      <c r="L18" s="1424"/>
      <c r="M18" s="990"/>
      <c r="N18" s="976"/>
      <c r="O18" s="976"/>
      <c r="P18" s="978"/>
      <c r="Q18" s="299" t="s">
        <v>164</v>
      </c>
      <c r="R18" s="356">
        <v>45977</v>
      </c>
      <c r="S18" s="356">
        <v>45978</v>
      </c>
      <c r="T18" s="338">
        <f t="shared" si="1"/>
        <v>1</v>
      </c>
      <c r="U18" s="1147"/>
      <c r="V18" s="1354"/>
      <c r="W18" s="984"/>
      <c r="X18" s="976"/>
      <c r="Y18" s="979"/>
      <c r="Z18" s="1416"/>
      <c r="AA18" s="425" t="s">
        <v>720</v>
      </c>
      <c r="AB18" s="509">
        <v>46020</v>
      </c>
      <c r="AC18" s="509">
        <v>46020</v>
      </c>
      <c r="AD18" s="487">
        <f t="shared" si="3"/>
        <v>0</v>
      </c>
      <c r="AE18" s="1147"/>
      <c r="AF18" s="1354"/>
      <c r="AG18" s="984"/>
      <c r="AH18" s="1364"/>
      <c r="AI18" s="1364"/>
      <c r="AJ18" s="1367"/>
      <c r="AK18" s="680" t="s">
        <v>164</v>
      </c>
      <c r="AL18" s="692">
        <v>46068</v>
      </c>
      <c r="AM18" s="692">
        <v>46069</v>
      </c>
      <c r="AN18" s="691">
        <f t="shared" si="4"/>
        <v>1</v>
      </c>
      <c r="AO18" s="1147"/>
      <c r="AP18" s="1354"/>
      <c r="AQ18" s="984"/>
      <c r="AR18" s="1364"/>
      <c r="AS18" s="1364"/>
      <c r="AT18" s="1367"/>
      <c r="AU18" s="846" t="s">
        <v>885</v>
      </c>
      <c r="AV18" s="841">
        <v>46108</v>
      </c>
      <c r="AW18" s="841">
        <v>46111</v>
      </c>
      <c r="AX18" s="838">
        <v>3</v>
      </c>
      <c r="AY18" s="1147"/>
      <c r="AZ18" s="1354"/>
      <c r="BA18" s="984"/>
      <c r="BB18" s="1364"/>
      <c r="BC18" s="1364"/>
      <c r="BD18" s="1367"/>
      <c r="BE18" s="941" t="s">
        <v>885</v>
      </c>
      <c r="BF18" s="941"/>
      <c r="BG18" s="942">
        <v>46132</v>
      </c>
      <c r="BH18" s="942">
        <v>46132</v>
      </c>
      <c r="BI18" s="739">
        <f t="shared" si="2"/>
        <v>0</v>
      </c>
      <c r="BJ18" s="1147"/>
      <c r="BK18" s="1354"/>
      <c r="BL18" s="984"/>
      <c r="BM18" s="1364"/>
      <c r="BN18" s="1364"/>
      <c r="BO18" s="1367"/>
    </row>
    <row r="19" spans="1:67" ht="30" customHeight="1" x14ac:dyDescent="0.3">
      <c r="A19" s="994"/>
      <c r="B19" s="1182"/>
      <c r="C19" s="986"/>
      <c r="D19" s="986"/>
      <c r="E19" s="986"/>
      <c r="F19" s="1100"/>
      <c r="G19" s="350" t="s">
        <v>352</v>
      </c>
      <c r="H19" s="142">
        <v>45945</v>
      </c>
      <c r="I19" s="142">
        <v>45960</v>
      </c>
      <c r="J19" s="118">
        <f t="shared" si="0"/>
        <v>15</v>
      </c>
      <c r="K19" s="1147"/>
      <c r="L19" s="1424"/>
      <c r="M19" s="990"/>
      <c r="N19" s="976"/>
      <c r="O19" s="976"/>
      <c r="P19" s="978"/>
      <c r="Q19" s="299" t="s">
        <v>164</v>
      </c>
      <c r="R19" s="356">
        <v>45969</v>
      </c>
      <c r="S19" s="356">
        <v>45990</v>
      </c>
      <c r="T19" s="338">
        <f t="shared" si="1"/>
        <v>21</v>
      </c>
      <c r="U19" s="1147"/>
      <c r="V19" s="1354"/>
      <c r="W19" s="984"/>
      <c r="X19" s="976"/>
      <c r="Y19" s="979"/>
      <c r="Z19" s="1416"/>
      <c r="AA19" s="425"/>
      <c r="AB19" s="528"/>
      <c r="AC19" s="528"/>
      <c r="AD19" s="487">
        <f t="shared" si="3"/>
        <v>0</v>
      </c>
      <c r="AE19" s="1147"/>
      <c r="AF19" s="1354"/>
      <c r="AG19" s="984"/>
      <c r="AH19" s="1364"/>
      <c r="AI19" s="1364"/>
      <c r="AJ19" s="1367"/>
      <c r="AK19" s="680"/>
      <c r="AL19" s="692"/>
      <c r="AM19" s="692"/>
      <c r="AN19" s="691"/>
      <c r="AO19" s="1147"/>
      <c r="AP19" s="1354"/>
      <c r="AQ19" s="984"/>
      <c r="AR19" s="1364"/>
      <c r="AS19" s="1364"/>
      <c r="AT19" s="1367"/>
      <c r="AU19" s="735"/>
      <c r="AV19" s="849"/>
      <c r="AW19" s="849"/>
      <c r="AX19" s="838"/>
      <c r="AY19" s="1147"/>
      <c r="AZ19" s="1354"/>
      <c r="BA19" s="984"/>
      <c r="BB19" s="1364"/>
      <c r="BC19" s="1364"/>
      <c r="BD19" s="1367"/>
      <c r="BE19" s="941" t="s">
        <v>887</v>
      </c>
      <c r="BF19" s="941"/>
      <c r="BG19" s="943">
        <v>46138</v>
      </c>
      <c r="BH19" s="943">
        <v>46138</v>
      </c>
      <c r="BI19" s="739">
        <f t="shared" si="2"/>
        <v>0</v>
      </c>
      <c r="BJ19" s="1147"/>
      <c r="BK19" s="1354"/>
      <c r="BL19" s="984"/>
      <c r="BM19" s="1364"/>
      <c r="BN19" s="1364"/>
      <c r="BO19" s="1367"/>
    </row>
    <row r="20" spans="1:67" ht="30" customHeight="1" x14ac:dyDescent="0.3">
      <c r="A20" s="994"/>
      <c r="B20" s="1182"/>
      <c r="C20" s="986"/>
      <c r="D20" s="986"/>
      <c r="E20" s="986"/>
      <c r="F20" s="1100"/>
      <c r="G20" s="350" t="s">
        <v>353</v>
      </c>
      <c r="H20" s="142">
        <v>45947</v>
      </c>
      <c r="I20" s="142">
        <v>45950</v>
      </c>
      <c r="J20" s="118">
        <f t="shared" si="0"/>
        <v>3</v>
      </c>
      <c r="K20" s="1147"/>
      <c r="L20" s="1424"/>
      <c r="M20" s="990"/>
      <c r="N20" s="976"/>
      <c r="O20" s="976"/>
      <c r="P20" s="978"/>
      <c r="Q20" s="299"/>
      <c r="R20" s="343"/>
      <c r="S20" s="343"/>
      <c r="T20" s="338">
        <f t="shared" si="1"/>
        <v>0</v>
      </c>
      <c r="U20" s="1147"/>
      <c r="V20" s="1354"/>
      <c r="W20" s="984"/>
      <c r="X20" s="976"/>
      <c r="Y20" s="979"/>
      <c r="Z20" s="1416"/>
      <c r="AA20" s="425"/>
      <c r="AB20" s="486"/>
      <c r="AC20" s="486"/>
      <c r="AD20" s="487">
        <f t="shared" si="3"/>
        <v>0</v>
      </c>
      <c r="AE20" s="1147"/>
      <c r="AF20" s="1354"/>
      <c r="AG20" s="984"/>
      <c r="AH20" s="1364"/>
      <c r="AI20" s="1364"/>
      <c r="AJ20" s="1367"/>
      <c r="AK20" s="680"/>
      <c r="AL20" s="693"/>
      <c r="AM20" s="693"/>
      <c r="AN20" s="691"/>
      <c r="AO20" s="1147"/>
      <c r="AP20" s="1354"/>
      <c r="AQ20" s="984"/>
      <c r="AR20" s="1364"/>
      <c r="AS20" s="1364"/>
      <c r="AT20" s="1367"/>
      <c r="AU20" s="735"/>
      <c r="AV20" s="819"/>
      <c r="AW20" s="819"/>
      <c r="AX20" s="838"/>
      <c r="AY20" s="1147"/>
      <c r="AZ20" s="1354"/>
      <c r="BA20" s="984"/>
      <c r="BB20" s="1364"/>
      <c r="BC20" s="1364"/>
      <c r="BD20" s="1367"/>
      <c r="BE20" s="939" t="s">
        <v>885</v>
      </c>
      <c r="BF20" s="939"/>
      <c r="BG20" s="944">
        <v>46141</v>
      </c>
      <c r="BH20" s="944">
        <v>46141</v>
      </c>
      <c r="BI20" s="739">
        <f t="shared" si="2"/>
        <v>0</v>
      </c>
      <c r="BJ20" s="1147"/>
      <c r="BK20" s="1354"/>
      <c r="BL20" s="984"/>
      <c r="BM20" s="1364"/>
      <c r="BN20" s="1364"/>
      <c r="BO20" s="1367"/>
    </row>
    <row r="21" spans="1:67" ht="245.4" thickBot="1" x14ac:dyDescent="0.35">
      <c r="A21" s="994"/>
      <c r="B21" s="1182"/>
      <c r="C21" s="2" t="s">
        <v>36</v>
      </c>
      <c r="D21" s="2" t="s">
        <v>529</v>
      </c>
      <c r="E21" s="2" t="s">
        <v>530</v>
      </c>
      <c r="F21" s="66" t="s">
        <v>532</v>
      </c>
      <c r="G21" s="350" t="s">
        <v>369</v>
      </c>
      <c r="H21" s="110">
        <v>6</v>
      </c>
      <c r="I21" s="110" t="s">
        <v>3</v>
      </c>
      <c r="J21" s="118">
        <v>7</v>
      </c>
      <c r="K21" s="182">
        <f>+H21/J21</f>
        <v>0.8571428571428571</v>
      </c>
      <c r="L21" s="55" t="s">
        <v>531</v>
      </c>
      <c r="M21" s="269">
        <f>+K21</f>
        <v>0.8571428571428571</v>
      </c>
      <c r="N21" s="976"/>
      <c r="O21" s="976"/>
      <c r="P21" s="978"/>
      <c r="Q21" s="299" t="s">
        <v>369</v>
      </c>
      <c r="R21" s="322">
        <v>5</v>
      </c>
      <c r="S21" s="322" t="s">
        <v>3</v>
      </c>
      <c r="T21" s="338">
        <v>7</v>
      </c>
      <c r="U21" s="116">
        <f>+R21/T21</f>
        <v>0.7142857142857143</v>
      </c>
      <c r="V21" s="55" t="s">
        <v>615</v>
      </c>
      <c r="W21" s="269">
        <f>+U21</f>
        <v>0.7142857142857143</v>
      </c>
      <c r="X21" s="976"/>
      <c r="Y21" s="979"/>
      <c r="Z21" s="1416"/>
      <c r="AA21" s="492" t="s">
        <v>369</v>
      </c>
      <c r="AB21" s="529">
        <f>+AB9</f>
        <v>5</v>
      </c>
      <c r="AC21" s="529" t="s">
        <v>3</v>
      </c>
      <c r="AD21" s="579">
        <f>7*2</f>
        <v>14</v>
      </c>
      <c r="AE21" s="116">
        <f>+AB21/AD21</f>
        <v>0.35714285714285715</v>
      </c>
      <c r="AF21" s="55" t="s">
        <v>759</v>
      </c>
      <c r="AG21" s="269">
        <f>+AE21</f>
        <v>0.35714285714285715</v>
      </c>
      <c r="AH21" s="1364"/>
      <c r="AI21" s="1364"/>
      <c r="AJ21" s="1367"/>
      <c r="AK21" s="694" t="s">
        <v>369</v>
      </c>
      <c r="AL21" s="695">
        <f>+AL9</f>
        <v>4</v>
      </c>
      <c r="AM21" s="695" t="s">
        <v>3</v>
      </c>
      <c r="AN21" s="696">
        <f>4</f>
        <v>4</v>
      </c>
      <c r="AO21" s="74">
        <f>+AL21/AN21</f>
        <v>1</v>
      </c>
      <c r="AP21" s="55" t="s">
        <v>860</v>
      </c>
      <c r="AQ21" s="269">
        <f>+AO21</f>
        <v>1</v>
      </c>
      <c r="AR21" s="1364"/>
      <c r="AS21" s="1364"/>
      <c r="AT21" s="1367"/>
      <c r="AU21" s="761" t="s">
        <v>369</v>
      </c>
      <c r="AV21" s="850">
        <f>+AV9</f>
        <v>4</v>
      </c>
      <c r="AW21" s="850" t="s">
        <v>3</v>
      </c>
      <c r="AX21" s="772">
        <f>4</f>
        <v>4</v>
      </c>
      <c r="AY21" s="74">
        <f>+AV21/AX21</f>
        <v>1</v>
      </c>
      <c r="AZ21" s="55" t="s">
        <v>925</v>
      </c>
      <c r="BA21" s="269">
        <f>+AY21</f>
        <v>1</v>
      </c>
      <c r="BB21" s="1364"/>
      <c r="BC21" s="1364"/>
      <c r="BD21" s="1367"/>
      <c r="BE21" s="761" t="s">
        <v>369</v>
      </c>
      <c r="BF21" s="949"/>
      <c r="BG21" s="850">
        <f>+BG9</f>
        <v>7</v>
      </c>
      <c r="BH21" s="850" t="s">
        <v>3</v>
      </c>
      <c r="BI21" s="772">
        <v>7</v>
      </c>
      <c r="BJ21" s="74">
        <f>+BG21/BI21</f>
        <v>1</v>
      </c>
      <c r="BK21" s="55" t="s">
        <v>925</v>
      </c>
      <c r="BL21" s="269">
        <f>+BJ21</f>
        <v>1</v>
      </c>
      <c r="BM21" s="1364"/>
      <c r="BN21" s="1364"/>
      <c r="BO21" s="1367"/>
    </row>
    <row r="22" spans="1:67" ht="200.4" customHeight="1" x14ac:dyDescent="0.3">
      <c r="A22" s="994"/>
      <c r="B22" s="1182"/>
      <c r="C22" s="2" t="s">
        <v>341</v>
      </c>
      <c r="D22" s="2" t="s">
        <v>603</v>
      </c>
      <c r="E22" s="6" t="s">
        <v>533</v>
      </c>
      <c r="F22" s="66" t="s">
        <v>342</v>
      </c>
      <c r="G22" s="571" t="s">
        <v>361</v>
      </c>
      <c r="H22" s="255">
        <f>+J3</f>
        <v>230</v>
      </c>
      <c r="I22" s="257" t="s">
        <v>376</v>
      </c>
      <c r="J22" s="258">
        <v>102</v>
      </c>
      <c r="K22" s="179">
        <f>+J22/H22</f>
        <v>0.44347826086956521</v>
      </c>
      <c r="L22" s="265" t="s">
        <v>534</v>
      </c>
      <c r="M22" s="180">
        <v>0</v>
      </c>
      <c r="N22" s="977"/>
      <c r="O22" s="977"/>
      <c r="P22" s="980"/>
      <c r="Q22" s="335" t="s">
        <v>361</v>
      </c>
      <c r="R22" s="344">
        <f>+T3+T4</f>
        <v>152</v>
      </c>
      <c r="S22" s="345" t="s">
        <v>376</v>
      </c>
      <c r="T22" s="346">
        <v>61</v>
      </c>
      <c r="U22" s="179">
        <f>+T22/R22</f>
        <v>0.40131578947368424</v>
      </c>
      <c r="V22" s="265" t="s">
        <v>616</v>
      </c>
      <c r="W22" s="180">
        <v>0</v>
      </c>
      <c r="X22" s="977"/>
      <c r="Y22" s="1415"/>
      <c r="Z22" s="1417"/>
      <c r="AA22" s="561" t="s">
        <v>361</v>
      </c>
      <c r="AB22" s="567">
        <f>+C52+C59</f>
        <v>706</v>
      </c>
      <c r="AC22" s="586" t="s">
        <v>376</v>
      </c>
      <c r="AD22" s="587">
        <f>24+136</f>
        <v>160</v>
      </c>
      <c r="AE22" s="116">
        <f>+AD22/AB22</f>
        <v>0.22662889518413598</v>
      </c>
      <c r="AF22" s="55" t="s">
        <v>779</v>
      </c>
      <c r="AG22" s="180">
        <f>+AE22</f>
        <v>0.22662889518413598</v>
      </c>
      <c r="AH22" s="1364"/>
      <c r="AI22" s="1364"/>
      <c r="AJ22" s="1367"/>
      <c r="AK22" s="697" t="s">
        <v>361</v>
      </c>
      <c r="AL22" s="698">
        <f>+C66</f>
        <v>779</v>
      </c>
      <c r="AM22" s="699" t="s">
        <v>376</v>
      </c>
      <c r="AN22" s="700">
        <v>218</v>
      </c>
      <c r="AO22" s="116">
        <f>+AN22/AL22</f>
        <v>0.27984595635430037</v>
      </c>
      <c r="AP22" s="55" t="s">
        <v>861</v>
      </c>
      <c r="AQ22" s="180">
        <f>+AO22</f>
        <v>0.27984595635430037</v>
      </c>
      <c r="AR22" s="1364"/>
      <c r="AS22" s="1364"/>
      <c r="AT22" s="1367"/>
      <c r="AU22" s="823" t="s">
        <v>361</v>
      </c>
      <c r="AV22" s="851">
        <f>+B73</f>
        <v>308</v>
      </c>
      <c r="AW22" s="852" t="s">
        <v>376</v>
      </c>
      <c r="AX22" s="789">
        <v>125</v>
      </c>
      <c r="AY22" s="116">
        <f>+AX22/AV22</f>
        <v>0.40584415584415584</v>
      </c>
      <c r="AZ22" s="55" t="s">
        <v>926</v>
      </c>
      <c r="BA22" s="180">
        <f>+AY22</f>
        <v>0.40584415584415584</v>
      </c>
      <c r="BB22" s="1364"/>
      <c r="BC22" s="1364"/>
      <c r="BD22" s="1367"/>
      <c r="BE22" s="823" t="s">
        <v>361</v>
      </c>
      <c r="BF22" s="950"/>
      <c r="BG22" s="851">
        <f>+BI3</f>
        <v>400</v>
      </c>
      <c r="BH22" s="852" t="s">
        <v>376</v>
      </c>
      <c r="BI22" s="789">
        <v>219</v>
      </c>
      <c r="BJ22" s="116">
        <f>+BI22/BG22</f>
        <v>0.54749999999999999</v>
      </c>
      <c r="BK22" s="55" t="s">
        <v>926</v>
      </c>
      <c r="BL22" s="180">
        <f>+BJ22</f>
        <v>0.54749999999999999</v>
      </c>
      <c r="BM22" s="1364"/>
      <c r="BN22" s="1364"/>
      <c r="BO22" s="1367"/>
    </row>
    <row r="23" spans="1:67" ht="37.799999999999997" customHeight="1" x14ac:dyDescent="0.3">
      <c r="A23" s="994"/>
      <c r="B23" s="1182"/>
      <c r="C23" s="2" t="s">
        <v>760</v>
      </c>
      <c r="D23" s="2" t="s">
        <v>762</v>
      </c>
      <c r="E23" s="6" t="s">
        <v>810</v>
      </c>
      <c r="F23" s="66" t="s">
        <v>763</v>
      </c>
      <c r="G23" s="572"/>
      <c r="H23" s="533"/>
      <c r="I23" s="534"/>
      <c r="J23" s="535"/>
      <c r="K23" s="536"/>
      <c r="L23" s="537"/>
      <c r="M23" s="538"/>
      <c r="N23" s="539"/>
      <c r="O23" s="539"/>
      <c r="P23" s="540"/>
      <c r="Q23" s="541"/>
      <c r="R23" s="542"/>
      <c r="S23" s="543"/>
      <c r="T23" s="544"/>
      <c r="U23" s="536"/>
      <c r="V23" s="537"/>
      <c r="W23" s="538"/>
      <c r="X23" s="539"/>
      <c r="Y23" s="547"/>
      <c r="Z23" s="712"/>
      <c r="AA23" s="425" t="s">
        <v>726</v>
      </c>
      <c r="AB23" s="474">
        <v>0</v>
      </c>
      <c r="AC23" s="548"/>
      <c r="AD23" s="552"/>
      <c r="AE23" s="584" t="s">
        <v>201</v>
      </c>
      <c r="AF23" s="55" t="s">
        <v>764</v>
      </c>
      <c r="AG23" s="177"/>
      <c r="AH23" s="1364"/>
      <c r="AI23" s="1364"/>
      <c r="AJ23" s="1367"/>
      <c r="AK23" s="680" t="s">
        <v>726</v>
      </c>
      <c r="AL23" s="677">
        <v>0</v>
      </c>
      <c r="AM23" s="701"/>
      <c r="AN23" s="702"/>
      <c r="AO23" s="584" t="s">
        <v>201</v>
      </c>
      <c r="AP23" s="55" t="s">
        <v>764</v>
      </c>
      <c r="AQ23" s="177" t="s">
        <v>201</v>
      </c>
      <c r="AR23" s="1364"/>
      <c r="AS23" s="1364"/>
      <c r="AT23" s="1367"/>
      <c r="AU23" s="735" t="s">
        <v>726</v>
      </c>
      <c r="AV23" s="736">
        <v>2</v>
      </c>
      <c r="AW23" s="750" t="s">
        <v>3</v>
      </c>
      <c r="AX23" s="748">
        <v>2</v>
      </c>
      <c r="AY23" s="74">
        <f>+AV23/AX23</f>
        <v>1</v>
      </c>
      <c r="AZ23" s="877" t="s">
        <v>927</v>
      </c>
      <c r="BA23" s="177">
        <v>1</v>
      </c>
      <c r="BB23" s="1364"/>
      <c r="BC23" s="1364"/>
      <c r="BD23" s="1367"/>
      <c r="BE23" s="735" t="s">
        <v>726</v>
      </c>
      <c r="BF23" s="946"/>
      <c r="BG23" s="736">
        <v>0</v>
      </c>
      <c r="BH23" s="750" t="s">
        <v>3</v>
      </c>
      <c r="BI23" s="748">
        <v>0</v>
      </c>
      <c r="BJ23" s="74" t="e">
        <f>+BG23/BI23</f>
        <v>#DIV/0!</v>
      </c>
      <c r="BK23" s="877" t="s">
        <v>927</v>
      </c>
      <c r="BL23" s="177">
        <v>1</v>
      </c>
      <c r="BM23" s="1364"/>
      <c r="BN23" s="1364"/>
      <c r="BO23" s="1367"/>
    </row>
    <row r="24" spans="1:67" ht="37.799999999999997" customHeight="1" thickBot="1" x14ac:dyDescent="0.35">
      <c r="A24" s="995"/>
      <c r="B24" s="1183"/>
      <c r="C24" s="59" t="s">
        <v>761</v>
      </c>
      <c r="D24" s="59" t="s">
        <v>762</v>
      </c>
      <c r="E24" s="6" t="s">
        <v>810</v>
      </c>
      <c r="F24" s="549" t="s">
        <v>763</v>
      </c>
      <c r="G24" s="572"/>
      <c r="H24" s="533"/>
      <c r="I24" s="534"/>
      <c r="J24" s="535"/>
      <c r="K24" s="536"/>
      <c r="L24" s="537"/>
      <c r="M24" s="538"/>
      <c r="N24" s="539"/>
      <c r="O24" s="539"/>
      <c r="P24" s="540"/>
      <c r="Q24" s="541"/>
      <c r="R24" s="542"/>
      <c r="S24" s="543"/>
      <c r="T24" s="544"/>
      <c r="U24" s="536"/>
      <c r="V24" s="537"/>
      <c r="W24" s="538"/>
      <c r="X24" s="539"/>
      <c r="Y24" s="547"/>
      <c r="Z24" s="713"/>
      <c r="AA24" s="434" t="s">
        <v>726</v>
      </c>
      <c r="AB24" s="574">
        <v>4</v>
      </c>
      <c r="AC24" s="575"/>
      <c r="AD24" s="580"/>
      <c r="AE24" s="585" t="s">
        <v>201</v>
      </c>
      <c r="AF24" s="64" t="s">
        <v>764</v>
      </c>
      <c r="AG24" s="363"/>
      <c r="AH24" s="1365"/>
      <c r="AI24" s="1365"/>
      <c r="AJ24" s="1368"/>
      <c r="AK24" s="703" t="s">
        <v>726</v>
      </c>
      <c r="AL24" s="704">
        <v>0</v>
      </c>
      <c r="AM24" s="705"/>
      <c r="AN24" s="706"/>
      <c r="AO24" s="585" t="s">
        <v>201</v>
      </c>
      <c r="AP24" s="64" t="s">
        <v>764</v>
      </c>
      <c r="AQ24" s="778" t="s">
        <v>201</v>
      </c>
      <c r="AR24" s="1365"/>
      <c r="AS24" s="1365"/>
      <c r="AT24" s="1368"/>
      <c r="AU24" s="751" t="s">
        <v>726</v>
      </c>
      <c r="AV24" s="752">
        <v>2</v>
      </c>
      <c r="AW24" s="753" t="s">
        <v>3</v>
      </c>
      <c r="AX24" s="754">
        <v>2</v>
      </c>
      <c r="AY24" s="74">
        <f>+AV24/AX24</f>
        <v>1</v>
      </c>
      <c r="AZ24" s="878" t="s">
        <v>928</v>
      </c>
      <c r="BA24" s="778">
        <v>1</v>
      </c>
      <c r="BB24" s="1365"/>
      <c r="BC24" s="1365"/>
      <c r="BD24" s="1368"/>
      <c r="BE24" s="751" t="s">
        <v>726</v>
      </c>
      <c r="BF24" s="951"/>
      <c r="BG24" s="752">
        <v>2</v>
      </c>
      <c r="BH24" s="753" t="s">
        <v>3</v>
      </c>
      <c r="BI24" s="754">
        <v>2</v>
      </c>
      <c r="BJ24" s="74">
        <f>+BG24/BI24</f>
        <v>1</v>
      </c>
      <c r="BK24" s="878" t="s">
        <v>928</v>
      </c>
      <c r="BL24" s="778">
        <v>1</v>
      </c>
      <c r="BM24" s="1365"/>
      <c r="BN24" s="1365"/>
      <c r="BO24" s="1368"/>
    </row>
    <row r="25" spans="1:67" ht="28.8" x14ac:dyDescent="0.3">
      <c r="A25" s="1173">
        <v>0.05</v>
      </c>
      <c r="B25" s="973" t="s">
        <v>77</v>
      </c>
      <c r="C25" s="127" t="s">
        <v>78</v>
      </c>
      <c r="D25" s="127" t="s">
        <v>79</v>
      </c>
      <c r="E25" s="550" t="s">
        <v>80</v>
      </c>
      <c r="F25" s="241" t="s">
        <v>343</v>
      </c>
      <c r="G25" s="1428" t="s">
        <v>535</v>
      </c>
      <c r="H25" s="1429"/>
      <c r="I25" s="1429"/>
      <c r="J25" s="1430"/>
      <c r="K25" s="260" t="s">
        <v>201</v>
      </c>
      <c r="L25" s="266" t="s">
        <v>201</v>
      </c>
      <c r="M25" s="271" t="s">
        <v>201</v>
      </c>
      <c r="N25" s="1118">
        <v>0</v>
      </c>
      <c r="O25" s="1119">
        <v>0</v>
      </c>
      <c r="P25" s="1408">
        <f>+N25*O25</f>
        <v>0</v>
      </c>
      <c r="Q25" s="1405" t="s">
        <v>535</v>
      </c>
      <c r="R25" s="1406"/>
      <c r="S25" s="1406"/>
      <c r="T25" s="1407"/>
      <c r="U25" s="273" t="s">
        <v>201</v>
      </c>
      <c r="V25" s="266" t="s">
        <v>201</v>
      </c>
      <c r="W25" s="271" t="s">
        <v>201</v>
      </c>
      <c r="X25" s="1118">
        <v>0.05</v>
      </c>
      <c r="Y25" s="1118">
        <f>+W26</f>
        <v>0.91999999999999993</v>
      </c>
      <c r="Z25" s="1237">
        <f>+X25*Y25</f>
        <v>4.5999999999999999E-2</v>
      </c>
      <c r="AA25" s="1381" t="s">
        <v>535</v>
      </c>
      <c r="AB25" s="1382"/>
      <c r="AC25" s="1382"/>
      <c r="AD25" s="1383"/>
      <c r="AE25" s="588" t="s">
        <v>201</v>
      </c>
      <c r="AF25" s="20" t="s">
        <v>201</v>
      </c>
      <c r="AG25" s="582"/>
      <c r="AH25" s="1038">
        <v>0.05</v>
      </c>
      <c r="AI25" s="1038">
        <f>+AG26</f>
        <v>0.91999999999999993</v>
      </c>
      <c r="AJ25" s="991">
        <f>+AH25*AI25</f>
        <v>4.5999999999999999E-2</v>
      </c>
      <c r="AK25" s="1324" t="s">
        <v>811</v>
      </c>
      <c r="AL25" s="1325"/>
      <c r="AM25" s="1325"/>
      <c r="AN25" s="1326"/>
      <c r="AO25" s="588" t="s">
        <v>201</v>
      </c>
      <c r="AP25" s="20" t="s">
        <v>201</v>
      </c>
      <c r="AQ25" s="582"/>
      <c r="AR25" s="1038">
        <v>0.05</v>
      </c>
      <c r="AS25" s="1038">
        <f>+AQ26</f>
        <v>0.91999999999999993</v>
      </c>
      <c r="AT25" s="991">
        <f>+AR25*AS25</f>
        <v>4.5999999999999999E-2</v>
      </c>
      <c r="AU25" s="1444" t="s">
        <v>929</v>
      </c>
      <c r="AV25" s="1445"/>
      <c r="AW25" s="1445"/>
      <c r="AX25" s="1446"/>
      <c r="AY25" s="588" t="s">
        <v>201</v>
      </c>
      <c r="AZ25" s="20" t="s">
        <v>201</v>
      </c>
      <c r="BA25" s="582" t="s">
        <v>201</v>
      </c>
      <c r="BB25" s="1038">
        <v>0.05</v>
      </c>
      <c r="BC25" s="1038">
        <f>+BA26</f>
        <v>0.91999999999999993</v>
      </c>
      <c r="BD25" s="991">
        <f>+BB25*BC25</f>
        <v>4.5999999999999999E-2</v>
      </c>
      <c r="BE25" s="1444" t="s">
        <v>929</v>
      </c>
      <c r="BF25" s="1460"/>
      <c r="BG25" s="1445"/>
      <c r="BH25" s="1445"/>
      <c r="BI25" s="1446"/>
      <c r="BJ25" s="588" t="s">
        <v>201</v>
      </c>
      <c r="BK25" s="20" t="s">
        <v>201</v>
      </c>
      <c r="BL25" s="582" t="s">
        <v>201</v>
      </c>
      <c r="BM25" s="1038">
        <v>0.05</v>
      </c>
      <c r="BN25" s="1038">
        <f>+BL26</f>
        <v>0.91999999999999993</v>
      </c>
      <c r="BO25" s="991">
        <f>+BM25*BN25</f>
        <v>4.5999999999999999E-2</v>
      </c>
    </row>
    <row r="26" spans="1:67" ht="94.8" customHeight="1" thickBot="1" x14ac:dyDescent="0.35">
      <c r="A26" s="995"/>
      <c r="B26" s="1209"/>
      <c r="C26" s="2" t="s">
        <v>81</v>
      </c>
      <c r="D26" s="2" t="s">
        <v>82</v>
      </c>
      <c r="E26" s="6" t="s">
        <v>83</v>
      </c>
      <c r="F26" s="2" t="s">
        <v>84</v>
      </c>
      <c r="G26" s="1005" t="s">
        <v>535</v>
      </c>
      <c r="H26" s="1006"/>
      <c r="I26" s="1006"/>
      <c r="J26" s="1007"/>
      <c r="K26" s="262" t="s">
        <v>201</v>
      </c>
      <c r="L26" s="267" t="s">
        <v>201</v>
      </c>
      <c r="M26" s="122" t="s">
        <v>201</v>
      </c>
      <c r="N26" s="1039"/>
      <c r="O26" s="1223"/>
      <c r="P26" s="1409"/>
      <c r="Q26" s="299" t="s">
        <v>658</v>
      </c>
      <c r="R26" s="1067" t="s">
        <v>659</v>
      </c>
      <c r="S26" s="1106"/>
      <c r="T26" s="1146"/>
      <c r="U26" s="381">
        <v>4.5999999999999996</v>
      </c>
      <c r="V26" s="383" t="s">
        <v>661</v>
      </c>
      <c r="W26" s="363">
        <f>4.6/5</f>
        <v>0.91999999999999993</v>
      </c>
      <c r="X26" s="1039"/>
      <c r="Y26" s="1039"/>
      <c r="Z26" s="992"/>
      <c r="AA26" s="425" t="s">
        <v>658</v>
      </c>
      <c r="AB26" s="1215" t="s">
        <v>659</v>
      </c>
      <c r="AC26" s="1216"/>
      <c r="AD26" s="1217"/>
      <c r="AE26" s="381">
        <v>4.5999999999999996</v>
      </c>
      <c r="AF26" s="383" t="s">
        <v>661</v>
      </c>
      <c r="AG26" s="363">
        <f>+AE26/5</f>
        <v>0.91999999999999993</v>
      </c>
      <c r="AH26" s="1039"/>
      <c r="AI26" s="1039"/>
      <c r="AJ26" s="992"/>
      <c r="AK26" s="703" t="s">
        <v>658</v>
      </c>
      <c r="AL26" s="1327" t="s">
        <v>659</v>
      </c>
      <c r="AM26" s="1328"/>
      <c r="AN26" s="1329"/>
      <c r="AO26" s="381">
        <v>4.5999999999999996</v>
      </c>
      <c r="AP26" s="383" t="s">
        <v>661</v>
      </c>
      <c r="AQ26" s="363">
        <f>+AO26/5</f>
        <v>0.91999999999999993</v>
      </c>
      <c r="AR26" s="1039"/>
      <c r="AS26" s="1039"/>
      <c r="AT26" s="992"/>
      <c r="AU26" s="761" t="s">
        <v>658</v>
      </c>
      <c r="AV26" s="1447" t="s">
        <v>659</v>
      </c>
      <c r="AW26" s="1448"/>
      <c r="AX26" s="1449"/>
      <c r="AY26" s="381">
        <v>4.5999999999999996</v>
      </c>
      <c r="AZ26" s="383" t="s">
        <v>661</v>
      </c>
      <c r="BA26" s="363">
        <f>+AY26/5</f>
        <v>0.91999999999999993</v>
      </c>
      <c r="BB26" s="1039"/>
      <c r="BC26" s="1039"/>
      <c r="BD26" s="992"/>
      <c r="BE26" s="761" t="s">
        <v>658</v>
      </c>
      <c r="BF26" s="952"/>
      <c r="BG26" s="1447" t="s">
        <v>659</v>
      </c>
      <c r="BH26" s="1448"/>
      <c r="BI26" s="1449"/>
      <c r="BJ26" s="381">
        <v>4.5999999999999996</v>
      </c>
      <c r="BK26" s="383" t="s">
        <v>661</v>
      </c>
      <c r="BL26" s="363">
        <f>+BJ26/5</f>
        <v>0.91999999999999993</v>
      </c>
      <c r="BM26" s="1039"/>
      <c r="BN26" s="1039"/>
      <c r="BO26" s="992"/>
    </row>
    <row r="27" spans="1:67" ht="28.8" customHeight="1" x14ac:dyDescent="0.3">
      <c r="A27" s="993">
        <v>0.25</v>
      </c>
      <c r="B27" s="996" t="s">
        <v>126</v>
      </c>
      <c r="C27" s="999" t="s">
        <v>40</v>
      </c>
      <c r="D27" s="1023" t="s">
        <v>539</v>
      </c>
      <c r="E27" s="1023" t="s">
        <v>488</v>
      </c>
      <c r="F27" s="1025" t="s">
        <v>536</v>
      </c>
      <c r="G27" s="226" t="s">
        <v>173</v>
      </c>
      <c r="H27" s="214" t="s">
        <v>382</v>
      </c>
      <c r="I27" s="214" t="s">
        <v>681</v>
      </c>
      <c r="J27" s="390"/>
      <c r="K27" s="1384">
        <v>0.79400000000000004</v>
      </c>
      <c r="L27" s="1031" t="s">
        <v>682</v>
      </c>
      <c r="M27" s="1011">
        <f>+K27</f>
        <v>0.79400000000000004</v>
      </c>
      <c r="N27" s="1038">
        <v>0.4</v>
      </c>
      <c r="O27" s="1337">
        <f>+M27</f>
        <v>0.79400000000000004</v>
      </c>
      <c r="P27" s="1422">
        <f>+N27*O27</f>
        <v>0.31760000000000005</v>
      </c>
      <c r="Q27" s="385" t="s">
        <v>173</v>
      </c>
      <c r="R27" s="386" t="s">
        <v>667</v>
      </c>
      <c r="S27" s="386" t="s">
        <v>673</v>
      </c>
      <c r="T27" s="387">
        <f>78/(78+16)</f>
        <v>0.82978723404255317</v>
      </c>
      <c r="U27" s="1384">
        <f>SUM(T27:T29)/3</f>
        <v>0.86617907801418437</v>
      </c>
      <c r="V27" s="1333" t="s">
        <v>680</v>
      </c>
      <c r="W27" s="1334">
        <f>+U27</f>
        <v>0.86617907801418437</v>
      </c>
      <c r="X27" s="1038">
        <v>0.25</v>
      </c>
      <c r="Y27" s="1038">
        <f>+W27</f>
        <v>0.86617907801418437</v>
      </c>
      <c r="Z27" s="991">
        <f>+X27*Y27</f>
        <v>0.21654476950354609</v>
      </c>
      <c r="AA27" s="450" t="s">
        <v>173</v>
      </c>
      <c r="AB27" s="555" t="s">
        <v>667</v>
      </c>
      <c r="AC27" s="555" t="s">
        <v>673</v>
      </c>
      <c r="AD27" s="556">
        <f>78/(78+16)</f>
        <v>0.82978723404255317</v>
      </c>
      <c r="AE27" s="1384">
        <v>0</v>
      </c>
      <c r="AF27" s="1333" t="s">
        <v>783</v>
      </c>
      <c r="AG27" s="1334">
        <f>+AE27</f>
        <v>0</v>
      </c>
      <c r="AH27" s="1038">
        <v>0.25</v>
      </c>
      <c r="AI27" s="1038">
        <f>+AG27</f>
        <v>0</v>
      </c>
      <c r="AJ27" s="991">
        <f>+AH27*AI27</f>
        <v>0</v>
      </c>
      <c r="AK27" s="717" t="s">
        <v>812</v>
      </c>
      <c r="AL27" s="718">
        <v>1</v>
      </c>
      <c r="AM27" s="718" t="s">
        <v>673</v>
      </c>
      <c r="AN27" s="719">
        <f>78/(78+16)</f>
        <v>0.82978723404255317</v>
      </c>
      <c r="AO27" s="1330">
        <v>0.94</v>
      </c>
      <c r="AP27" s="1333" t="s">
        <v>862</v>
      </c>
      <c r="AQ27" s="1334">
        <f>+AO27</f>
        <v>0.94</v>
      </c>
      <c r="AR27" s="1038">
        <v>0.25</v>
      </c>
      <c r="AS27" s="1038">
        <f>+AQ27</f>
        <v>0.94</v>
      </c>
      <c r="AT27" s="1337">
        <f>+AR27*AS27</f>
        <v>0.23499999999999999</v>
      </c>
      <c r="AU27" s="1270" t="s">
        <v>378</v>
      </c>
      <c r="AV27" s="1271"/>
      <c r="AW27" s="1271"/>
      <c r="AX27" s="1272"/>
      <c r="AY27" s="1450">
        <v>1</v>
      </c>
      <c r="AZ27" s="1333" t="s">
        <v>957</v>
      </c>
      <c r="BA27" s="1334">
        <f>+AY27</f>
        <v>1</v>
      </c>
      <c r="BB27" s="1038">
        <v>0.25</v>
      </c>
      <c r="BC27" s="1038">
        <f>+BA27</f>
        <v>1</v>
      </c>
      <c r="BD27" s="991">
        <f>+BB27*BC27</f>
        <v>0.25</v>
      </c>
      <c r="BE27" s="1270" t="s">
        <v>378</v>
      </c>
      <c r="BF27" s="1271"/>
      <c r="BG27" s="1271"/>
      <c r="BH27" s="1271"/>
      <c r="BI27" s="1272"/>
      <c r="BJ27" s="1450">
        <v>1</v>
      </c>
      <c r="BK27" s="1333" t="s">
        <v>957</v>
      </c>
      <c r="BL27" s="1334">
        <f>+BJ27</f>
        <v>1</v>
      </c>
      <c r="BM27" s="1038">
        <v>0.25</v>
      </c>
      <c r="BN27" s="1038">
        <f>+BL27</f>
        <v>1</v>
      </c>
      <c r="BO27" s="991">
        <f>+BM27*BN27</f>
        <v>0.25</v>
      </c>
    </row>
    <row r="28" spans="1:67" ht="28.8" customHeight="1" x14ac:dyDescent="0.3">
      <c r="A28" s="994"/>
      <c r="B28" s="997"/>
      <c r="C28" s="1000"/>
      <c r="D28" s="986"/>
      <c r="E28" s="986"/>
      <c r="F28" s="987"/>
      <c r="G28" s="226" t="s">
        <v>177</v>
      </c>
      <c r="H28" s="214" t="s">
        <v>380</v>
      </c>
      <c r="I28" s="214" t="s">
        <v>381</v>
      </c>
      <c r="J28" s="390"/>
      <c r="K28" s="1385"/>
      <c r="L28" s="1032"/>
      <c r="M28" s="1012"/>
      <c r="N28" s="976"/>
      <c r="O28" s="979"/>
      <c r="P28" s="1416"/>
      <c r="Q28" s="385" t="s">
        <v>177</v>
      </c>
      <c r="R28" s="386" t="s">
        <v>669</v>
      </c>
      <c r="S28" s="386" t="s">
        <v>676</v>
      </c>
      <c r="T28" s="387">
        <v>0.96875</v>
      </c>
      <c r="U28" s="1385"/>
      <c r="V28" s="1193"/>
      <c r="W28" s="1335"/>
      <c r="X28" s="976"/>
      <c r="Y28" s="976"/>
      <c r="Z28" s="978"/>
      <c r="AA28" s="450" t="s">
        <v>177</v>
      </c>
      <c r="AB28" s="555" t="s">
        <v>766</v>
      </c>
      <c r="AC28" s="555" t="s">
        <v>767</v>
      </c>
      <c r="AD28" s="556">
        <v>1</v>
      </c>
      <c r="AE28" s="1385"/>
      <c r="AF28" s="1193"/>
      <c r="AG28" s="1335"/>
      <c r="AH28" s="976"/>
      <c r="AI28" s="976"/>
      <c r="AJ28" s="978"/>
      <c r="AK28" s="714" t="s">
        <v>813</v>
      </c>
      <c r="AL28" s="681">
        <v>0</v>
      </c>
      <c r="AM28" s="681" t="s">
        <v>767</v>
      </c>
      <c r="AN28" s="707">
        <v>1</v>
      </c>
      <c r="AO28" s="1331"/>
      <c r="AP28" s="1193"/>
      <c r="AQ28" s="1335"/>
      <c r="AR28" s="976"/>
      <c r="AS28" s="976"/>
      <c r="AT28" s="979"/>
      <c r="AU28" s="888" t="s">
        <v>951</v>
      </c>
      <c r="AV28" s="745" t="s">
        <v>952</v>
      </c>
      <c r="AW28" s="745" t="s">
        <v>953</v>
      </c>
      <c r="AX28" s="891" t="s">
        <v>963</v>
      </c>
      <c r="AY28" s="1451"/>
      <c r="AZ28" s="1193"/>
      <c r="BA28" s="1335"/>
      <c r="BB28" s="976"/>
      <c r="BC28" s="976"/>
      <c r="BD28" s="978"/>
      <c r="BE28" s="888" t="s">
        <v>951</v>
      </c>
      <c r="BF28" s="953" t="s">
        <v>972</v>
      </c>
      <c r="BG28" s="745" t="s">
        <v>952</v>
      </c>
      <c r="BH28" s="745" t="s">
        <v>953</v>
      </c>
      <c r="BI28" s="891" t="s">
        <v>963</v>
      </c>
      <c r="BJ28" s="1451"/>
      <c r="BK28" s="1193"/>
      <c r="BL28" s="1335"/>
      <c r="BM28" s="976"/>
      <c r="BN28" s="976"/>
      <c r="BO28" s="978"/>
    </row>
    <row r="29" spans="1:67" ht="28.8" customHeight="1" x14ac:dyDescent="0.3">
      <c r="A29" s="994"/>
      <c r="B29" s="997"/>
      <c r="C29" s="1000"/>
      <c r="D29" s="986"/>
      <c r="E29" s="986"/>
      <c r="F29" s="987"/>
      <c r="G29" s="391" t="s">
        <v>178</v>
      </c>
      <c r="H29" s="392" t="s">
        <v>383</v>
      </c>
      <c r="I29" s="392" t="s">
        <v>384</v>
      </c>
      <c r="J29" s="390"/>
      <c r="K29" s="1385"/>
      <c r="L29" s="1032"/>
      <c r="M29" s="1012"/>
      <c r="N29" s="976"/>
      <c r="O29" s="979"/>
      <c r="P29" s="1416"/>
      <c r="Q29" s="388" t="s">
        <v>178</v>
      </c>
      <c r="R29" s="389" t="s">
        <v>670</v>
      </c>
      <c r="S29" s="389" t="s">
        <v>677</v>
      </c>
      <c r="T29" s="387">
        <v>0.8</v>
      </c>
      <c r="U29" s="1385"/>
      <c r="V29" s="1193"/>
      <c r="W29" s="1335"/>
      <c r="X29" s="976"/>
      <c r="Y29" s="976"/>
      <c r="Z29" s="978"/>
      <c r="AA29" s="557" t="s">
        <v>178</v>
      </c>
      <c r="AB29" s="558" t="s">
        <v>768</v>
      </c>
      <c r="AC29" s="558" t="s">
        <v>769</v>
      </c>
      <c r="AD29" s="556">
        <f>24/(24+2)</f>
        <v>0.92307692307692313</v>
      </c>
      <c r="AE29" s="1385"/>
      <c r="AF29" s="1193"/>
      <c r="AG29" s="1335"/>
      <c r="AH29" s="976"/>
      <c r="AI29" s="976"/>
      <c r="AJ29" s="978"/>
      <c r="AK29" s="715" t="s">
        <v>178</v>
      </c>
      <c r="AL29" s="716" t="s">
        <v>768</v>
      </c>
      <c r="AM29" s="1345" t="s">
        <v>815</v>
      </c>
      <c r="AN29" s="1347">
        <v>1</v>
      </c>
      <c r="AO29" s="1331"/>
      <c r="AP29" s="1193"/>
      <c r="AQ29" s="1335"/>
      <c r="AR29" s="976"/>
      <c r="AS29" s="976"/>
      <c r="AT29" s="979"/>
      <c r="AU29" s="735" t="s">
        <v>164</v>
      </c>
      <c r="AV29" s="739">
        <v>17</v>
      </c>
      <c r="AW29" s="739">
        <v>38.6</v>
      </c>
      <c r="AX29" s="898">
        <v>0.8</v>
      </c>
      <c r="AY29" s="1451"/>
      <c r="AZ29" s="1193"/>
      <c r="BA29" s="1335"/>
      <c r="BB29" s="976"/>
      <c r="BC29" s="976"/>
      <c r="BD29" s="978"/>
      <c r="BE29" s="735" t="s">
        <v>164</v>
      </c>
      <c r="BF29" s="946">
        <v>11</v>
      </c>
      <c r="BG29" s="739">
        <v>9</v>
      </c>
      <c r="BH29" s="954">
        <f>+BF29/31</f>
        <v>0.35483870967741937</v>
      </c>
      <c r="BI29" s="898">
        <f>+BG29/BF29</f>
        <v>0.81818181818181823</v>
      </c>
      <c r="BJ29" s="1451"/>
      <c r="BK29" s="1193"/>
      <c r="BL29" s="1335"/>
      <c r="BM29" s="976"/>
      <c r="BN29" s="976"/>
      <c r="BO29" s="978"/>
    </row>
    <row r="30" spans="1:67" ht="28.8" customHeight="1" x14ac:dyDescent="0.3">
      <c r="A30" s="994"/>
      <c r="B30" s="997"/>
      <c r="C30" s="1000"/>
      <c r="D30" s="986"/>
      <c r="E30" s="986"/>
      <c r="F30" s="987"/>
      <c r="G30" s="263" t="s">
        <v>377</v>
      </c>
      <c r="H30" s="227" t="s">
        <v>385</v>
      </c>
      <c r="I30" s="214"/>
      <c r="J30" s="253"/>
      <c r="K30" s="1385"/>
      <c r="L30" s="1032"/>
      <c r="M30" s="1012"/>
      <c r="N30" s="976"/>
      <c r="O30" s="979"/>
      <c r="P30" s="1416"/>
      <c r="Q30" s="347" t="s">
        <v>377</v>
      </c>
      <c r="R30" s="321">
        <v>1</v>
      </c>
      <c r="S30" s="1374" t="s">
        <v>604</v>
      </c>
      <c r="T30" s="1376"/>
      <c r="U30" s="1385"/>
      <c r="V30" s="1193"/>
      <c r="W30" s="1335"/>
      <c r="X30" s="976"/>
      <c r="Y30" s="976"/>
      <c r="Z30" s="978"/>
      <c r="AA30" s="589" t="s">
        <v>377</v>
      </c>
      <c r="AB30" s="473">
        <v>1</v>
      </c>
      <c r="AC30" s="1387" t="s">
        <v>604</v>
      </c>
      <c r="AD30" s="1388"/>
      <c r="AE30" s="1385"/>
      <c r="AF30" s="1193"/>
      <c r="AG30" s="1335"/>
      <c r="AH30" s="976"/>
      <c r="AI30" s="976"/>
      <c r="AJ30" s="978"/>
      <c r="AK30" s="708" t="s">
        <v>178</v>
      </c>
      <c r="AL30" s="681" t="s">
        <v>814</v>
      </c>
      <c r="AM30" s="1346"/>
      <c r="AN30" s="1348"/>
      <c r="AO30" s="1331"/>
      <c r="AP30" s="1193"/>
      <c r="AQ30" s="1335"/>
      <c r="AR30" s="976"/>
      <c r="AS30" s="976"/>
      <c r="AT30" s="979"/>
      <c r="AU30" s="1273" t="s">
        <v>954</v>
      </c>
      <c r="AV30" s="1274"/>
      <c r="AW30" s="1274"/>
      <c r="AX30" s="1275"/>
      <c r="AY30" s="1451"/>
      <c r="AZ30" s="1193"/>
      <c r="BA30" s="1335"/>
      <c r="BB30" s="976"/>
      <c r="BC30" s="976"/>
      <c r="BD30" s="978"/>
      <c r="BE30" s="1273" t="s">
        <v>954</v>
      </c>
      <c r="BF30" s="1274"/>
      <c r="BG30" s="1274"/>
      <c r="BH30" s="1274"/>
      <c r="BI30" s="1275"/>
      <c r="BJ30" s="1451"/>
      <c r="BK30" s="1193"/>
      <c r="BL30" s="1335"/>
      <c r="BM30" s="976"/>
      <c r="BN30" s="976"/>
      <c r="BO30" s="978"/>
    </row>
    <row r="31" spans="1:67" ht="28.8" customHeight="1" x14ac:dyDescent="0.3">
      <c r="A31" s="994"/>
      <c r="B31" s="997"/>
      <c r="C31" s="1000"/>
      <c r="D31" s="986"/>
      <c r="E31" s="986"/>
      <c r="F31" s="987"/>
      <c r="G31" s="263" t="s">
        <v>378</v>
      </c>
      <c r="H31" s="227" t="s">
        <v>385</v>
      </c>
      <c r="I31" s="214"/>
      <c r="J31" s="253"/>
      <c r="K31" s="1385"/>
      <c r="L31" s="1032"/>
      <c r="M31" s="1012"/>
      <c r="N31" s="976"/>
      <c r="O31" s="979"/>
      <c r="P31" s="1416"/>
      <c r="Q31" s="1370" t="s">
        <v>378</v>
      </c>
      <c r="R31" s="321">
        <v>3</v>
      </c>
      <c r="S31" s="1374" t="s">
        <v>605</v>
      </c>
      <c r="T31" s="1376"/>
      <c r="U31" s="1385"/>
      <c r="V31" s="1193"/>
      <c r="W31" s="1335"/>
      <c r="X31" s="976"/>
      <c r="Y31" s="976"/>
      <c r="Z31" s="978"/>
      <c r="AA31" s="1389" t="s">
        <v>378</v>
      </c>
      <c r="AB31" s="473">
        <v>3</v>
      </c>
      <c r="AC31" s="1387" t="s">
        <v>605</v>
      </c>
      <c r="AD31" s="1388"/>
      <c r="AE31" s="1385"/>
      <c r="AF31" s="1193"/>
      <c r="AG31" s="1335"/>
      <c r="AH31" s="976"/>
      <c r="AI31" s="976"/>
      <c r="AJ31" s="978"/>
      <c r="AK31" s="1338" t="s">
        <v>378</v>
      </c>
      <c r="AL31" s="681">
        <v>15</v>
      </c>
      <c r="AM31" s="1340" t="s">
        <v>816</v>
      </c>
      <c r="AN31" s="1341"/>
      <c r="AO31" s="1331"/>
      <c r="AP31" s="1193"/>
      <c r="AQ31" s="1335"/>
      <c r="AR31" s="976"/>
      <c r="AS31" s="976"/>
      <c r="AT31" s="979"/>
      <c r="AU31" s="888" t="s">
        <v>951</v>
      </c>
      <c r="AV31" s="745" t="s">
        <v>955</v>
      </c>
      <c r="AW31" s="745" t="s">
        <v>953</v>
      </c>
      <c r="AX31" s="889"/>
      <c r="AY31" s="1451"/>
      <c r="AZ31" s="1193"/>
      <c r="BA31" s="1335"/>
      <c r="BB31" s="976"/>
      <c r="BC31" s="976"/>
      <c r="BD31" s="978"/>
      <c r="BE31" s="888" t="s">
        <v>951</v>
      </c>
      <c r="BF31" s="953" t="s">
        <v>972</v>
      </c>
      <c r="BG31" s="745" t="s">
        <v>955</v>
      </c>
      <c r="BH31" s="745" t="s">
        <v>953</v>
      </c>
      <c r="BI31" s="891" t="s">
        <v>963</v>
      </c>
      <c r="BJ31" s="1451"/>
      <c r="BK31" s="1193"/>
      <c r="BL31" s="1335"/>
      <c r="BM31" s="976"/>
      <c r="BN31" s="976"/>
      <c r="BO31" s="978"/>
    </row>
    <row r="32" spans="1:67" ht="28.8" customHeight="1" x14ac:dyDescent="0.3">
      <c r="A32" s="994"/>
      <c r="B32" s="997"/>
      <c r="C32" s="1000"/>
      <c r="D32" s="986"/>
      <c r="E32" s="986"/>
      <c r="F32" s="987"/>
      <c r="G32" s="263"/>
      <c r="H32" s="227"/>
      <c r="I32" s="214"/>
      <c r="J32" s="253"/>
      <c r="K32" s="1385"/>
      <c r="L32" s="1032"/>
      <c r="M32" s="1012"/>
      <c r="N32" s="976"/>
      <c r="O32" s="979"/>
      <c r="P32" s="1416"/>
      <c r="Q32" s="1371"/>
      <c r="R32" s="321">
        <v>1</v>
      </c>
      <c r="S32" s="1372" t="s">
        <v>606</v>
      </c>
      <c r="T32" s="1373"/>
      <c r="U32" s="1385"/>
      <c r="V32" s="1193"/>
      <c r="W32" s="1335"/>
      <c r="X32" s="976"/>
      <c r="Y32" s="976"/>
      <c r="Z32" s="978"/>
      <c r="AA32" s="1390"/>
      <c r="AB32" s="473">
        <v>1</v>
      </c>
      <c r="AC32" s="1391" t="s">
        <v>606</v>
      </c>
      <c r="AD32" s="1392"/>
      <c r="AE32" s="1385"/>
      <c r="AF32" s="1193"/>
      <c r="AG32" s="1335"/>
      <c r="AH32" s="976"/>
      <c r="AI32" s="976"/>
      <c r="AJ32" s="978"/>
      <c r="AK32" s="1339"/>
      <c r="AL32" s="681">
        <v>1</v>
      </c>
      <c r="AM32" s="1342" t="s">
        <v>817</v>
      </c>
      <c r="AN32" s="1343"/>
      <c r="AO32" s="1331"/>
      <c r="AP32" s="1193"/>
      <c r="AQ32" s="1335"/>
      <c r="AR32" s="976"/>
      <c r="AS32" s="976"/>
      <c r="AT32" s="979"/>
      <c r="AU32" s="742" t="s">
        <v>164</v>
      </c>
      <c r="AV32" s="739">
        <v>14</v>
      </c>
      <c r="AW32" s="890">
        <v>0.23699999999999999</v>
      </c>
      <c r="AX32" s="889"/>
      <c r="AY32" s="1451"/>
      <c r="AZ32" s="1193"/>
      <c r="BA32" s="1335"/>
      <c r="BB32" s="976"/>
      <c r="BC32" s="976"/>
      <c r="BD32" s="978"/>
      <c r="BE32" s="742" t="s">
        <v>164</v>
      </c>
      <c r="BF32" s="947">
        <v>20</v>
      </c>
      <c r="BG32" s="739">
        <v>18</v>
      </c>
      <c r="BH32" s="890">
        <f>+BF32/95</f>
        <v>0.21052631578947367</v>
      </c>
      <c r="BI32" s="898">
        <f>+BG32/BF32</f>
        <v>0.9</v>
      </c>
      <c r="BJ32" s="1451"/>
      <c r="BK32" s="1193"/>
      <c r="BL32" s="1335"/>
      <c r="BM32" s="976"/>
      <c r="BN32" s="976"/>
      <c r="BO32" s="978"/>
    </row>
    <row r="33" spans="1:67" ht="28.8" customHeight="1" x14ac:dyDescent="0.3">
      <c r="A33" s="994"/>
      <c r="B33" s="997"/>
      <c r="C33" s="1000"/>
      <c r="D33" s="986"/>
      <c r="E33" s="986"/>
      <c r="F33" s="987"/>
      <c r="G33" s="263" t="s">
        <v>540</v>
      </c>
      <c r="H33" s="227" t="s">
        <v>385</v>
      </c>
      <c r="I33" s="214"/>
      <c r="J33" s="253"/>
      <c r="K33" s="1385"/>
      <c r="L33" s="1032"/>
      <c r="M33" s="1012"/>
      <c r="N33" s="976"/>
      <c r="O33" s="979"/>
      <c r="P33" s="1416"/>
      <c r="Q33" s="347" t="s">
        <v>540</v>
      </c>
      <c r="R33" s="1374" t="s">
        <v>607</v>
      </c>
      <c r="S33" s="1375"/>
      <c r="T33" s="1376"/>
      <c r="U33" s="1385"/>
      <c r="V33" s="1193"/>
      <c r="W33" s="1335"/>
      <c r="X33" s="976"/>
      <c r="Y33" s="976"/>
      <c r="Z33" s="978"/>
      <c r="AA33" s="589" t="s">
        <v>540</v>
      </c>
      <c r="AB33" s="1387" t="s">
        <v>607</v>
      </c>
      <c r="AC33" s="1393"/>
      <c r="AD33" s="1388"/>
      <c r="AE33" s="1385"/>
      <c r="AF33" s="1193"/>
      <c r="AG33" s="1335"/>
      <c r="AH33" s="976"/>
      <c r="AI33" s="976"/>
      <c r="AJ33" s="978"/>
      <c r="AK33" s="708" t="s">
        <v>540</v>
      </c>
      <c r="AL33" s="1340" t="s">
        <v>607</v>
      </c>
      <c r="AM33" s="1344"/>
      <c r="AN33" s="1341"/>
      <c r="AO33" s="1331"/>
      <c r="AP33" s="1193"/>
      <c r="AQ33" s="1335"/>
      <c r="AR33" s="976"/>
      <c r="AS33" s="976"/>
      <c r="AT33" s="979"/>
      <c r="AU33" s="1453" t="s">
        <v>956</v>
      </c>
      <c r="AV33" s="1454"/>
      <c r="AW33" s="1454"/>
      <c r="AX33" s="1455"/>
      <c r="AY33" s="1451"/>
      <c r="AZ33" s="1193"/>
      <c r="BA33" s="1335"/>
      <c r="BB33" s="976"/>
      <c r="BC33" s="976"/>
      <c r="BD33" s="978"/>
      <c r="BE33" s="1453" t="s">
        <v>977</v>
      </c>
      <c r="BF33" s="1454"/>
      <c r="BG33" s="1454"/>
      <c r="BH33" s="1454"/>
      <c r="BI33" s="1455"/>
      <c r="BJ33" s="1451"/>
      <c r="BK33" s="1193"/>
      <c r="BL33" s="1335"/>
      <c r="BM33" s="976"/>
      <c r="BN33" s="976"/>
      <c r="BO33" s="978"/>
    </row>
    <row r="34" spans="1:67" ht="28.8" customHeight="1" thickBot="1" x14ac:dyDescent="0.35">
      <c r="A34" s="995"/>
      <c r="B34" s="998"/>
      <c r="C34" s="1001"/>
      <c r="D34" s="1024"/>
      <c r="E34" s="1024"/>
      <c r="F34" s="1026"/>
      <c r="G34" s="264" t="s">
        <v>379</v>
      </c>
      <c r="H34" s="247" t="s">
        <v>385</v>
      </c>
      <c r="I34" s="248"/>
      <c r="J34" s="254"/>
      <c r="K34" s="1386"/>
      <c r="L34" s="1033"/>
      <c r="M34" s="1013"/>
      <c r="N34" s="1039"/>
      <c r="O34" s="1223"/>
      <c r="P34" s="1409"/>
      <c r="Q34" s="348"/>
      <c r="R34" s="329"/>
      <c r="S34" s="1403"/>
      <c r="T34" s="1404"/>
      <c r="U34" s="1386"/>
      <c r="V34" s="1211"/>
      <c r="W34" s="1336"/>
      <c r="X34" s="1039"/>
      <c r="Y34" s="1039"/>
      <c r="Z34" s="992"/>
      <c r="AA34" s="590"/>
      <c r="AB34" s="477"/>
      <c r="AC34" s="1394"/>
      <c r="AD34" s="1395"/>
      <c r="AE34" s="1386"/>
      <c r="AF34" s="1211"/>
      <c r="AG34" s="1336"/>
      <c r="AH34" s="1039"/>
      <c r="AI34" s="1039"/>
      <c r="AJ34" s="992"/>
      <c r="AK34" s="709"/>
      <c r="AL34" s="710"/>
      <c r="AM34" s="1327"/>
      <c r="AN34" s="1329"/>
      <c r="AO34" s="1332"/>
      <c r="AP34" s="1211"/>
      <c r="AQ34" s="1336"/>
      <c r="AR34" s="1039"/>
      <c r="AS34" s="1039"/>
      <c r="AT34" s="1223"/>
      <c r="AU34" s="1456"/>
      <c r="AV34" s="1457"/>
      <c r="AW34" s="1457"/>
      <c r="AX34" s="1458"/>
      <c r="AY34" s="1452"/>
      <c r="AZ34" s="1211"/>
      <c r="BA34" s="1336"/>
      <c r="BB34" s="1039"/>
      <c r="BC34" s="1039"/>
      <c r="BD34" s="992"/>
      <c r="BE34" s="1456"/>
      <c r="BF34" s="1457"/>
      <c r="BG34" s="1457"/>
      <c r="BH34" s="1457"/>
      <c r="BI34" s="1458"/>
      <c r="BJ34" s="1452"/>
      <c r="BK34" s="1211"/>
      <c r="BL34" s="1336"/>
      <c r="BM34" s="1039"/>
      <c r="BN34" s="1039"/>
      <c r="BO34" s="992"/>
    </row>
    <row r="35" spans="1:67" x14ac:dyDescent="0.3">
      <c r="A35" s="169"/>
      <c r="B35" s="170"/>
      <c r="C35" s="168"/>
      <c r="D35" s="168"/>
      <c r="E35" s="54"/>
      <c r="F35" s="168"/>
      <c r="P35" s="284">
        <f>SUM(P3:P34)</f>
        <v>0.67635618804354447</v>
      </c>
      <c r="Z35" s="284">
        <f>SUM(Z3:Z34)</f>
        <v>0.7644558806146573</v>
      </c>
      <c r="AJ35" s="591">
        <f>SUM(AJ3:AJ34)</f>
        <v>0.51515755604518587</v>
      </c>
      <c r="AT35" s="393">
        <f>SUM(AT3:AT34)</f>
        <v>0.92323363286264437</v>
      </c>
      <c r="BA35" s="12"/>
      <c r="BD35" s="393">
        <f>SUM(BD3:BD34)</f>
        <v>0.94412644628099174</v>
      </c>
      <c r="BL35" s="12"/>
      <c r="BO35" s="393">
        <f>SUM(BO3:BO34)</f>
        <v>0.95314090909090909</v>
      </c>
    </row>
    <row r="37" spans="1:67" x14ac:dyDescent="0.3">
      <c r="A37" s="1027" t="s">
        <v>312</v>
      </c>
      <c r="B37" s="165" t="s">
        <v>344</v>
      </c>
      <c r="C37" s="165" t="s">
        <v>345</v>
      </c>
      <c r="D37" s="166" t="s">
        <v>346</v>
      </c>
      <c r="E37" s="165" t="s">
        <v>347</v>
      </c>
      <c r="F37" s="166">
        <v>4</v>
      </c>
      <c r="Q37" s="166">
        <v>4</v>
      </c>
      <c r="AA37" s="166">
        <v>4</v>
      </c>
      <c r="AK37" s="166">
        <v>4</v>
      </c>
    </row>
    <row r="38" spans="1:67" x14ac:dyDescent="0.3">
      <c r="A38" s="1027"/>
      <c r="B38" s="167">
        <v>270</v>
      </c>
      <c r="C38" s="167">
        <v>235</v>
      </c>
      <c r="D38" s="167">
        <v>0</v>
      </c>
      <c r="E38" s="166" t="s">
        <v>363</v>
      </c>
      <c r="F38" s="166">
        <f>23-F37-F39</f>
        <v>13</v>
      </c>
      <c r="Q38" s="166">
        <f>23-Q37-Q39</f>
        <v>13</v>
      </c>
      <c r="AA38" s="166">
        <f>23-AA37-AA39</f>
        <v>13</v>
      </c>
      <c r="AK38" s="166">
        <f>23-AK37-AK39</f>
        <v>13</v>
      </c>
    </row>
    <row r="39" spans="1:67" x14ac:dyDescent="0.3">
      <c r="A39" s="1027"/>
      <c r="B39" s="165" t="s">
        <v>387</v>
      </c>
      <c r="D39" s="4"/>
      <c r="E39" s="166" t="s">
        <v>364</v>
      </c>
      <c r="F39" s="166">
        <v>6</v>
      </c>
      <c r="Q39" s="166">
        <v>6</v>
      </c>
      <c r="AA39" s="166">
        <v>6</v>
      </c>
      <c r="AK39" s="166">
        <v>6</v>
      </c>
    </row>
    <row r="40" spans="1:67" x14ac:dyDescent="0.3">
      <c r="A40" s="1027"/>
      <c r="B40" s="167">
        <v>40</v>
      </c>
      <c r="D40" s="4"/>
      <c r="E40"/>
    </row>
    <row r="41" spans="1:67" x14ac:dyDescent="0.3">
      <c r="A41" s="1027"/>
      <c r="B41" s="165" t="s">
        <v>386</v>
      </c>
      <c r="D41" s="4"/>
      <c r="E41"/>
    </row>
    <row r="42" spans="1:67" x14ac:dyDescent="0.3">
      <c r="A42" s="1027"/>
      <c r="B42" s="171">
        <f>+B38-B40</f>
        <v>230</v>
      </c>
      <c r="D42" s="4"/>
      <c r="E42"/>
    </row>
    <row r="43" spans="1:67" x14ac:dyDescent="0.3">
      <c r="D43" s="4"/>
      <c r="E43"/>
    </row>
    <row r="44" spans="1:67" x14ac:dyDescent="0.3">
      <c r="A44" s="1027" t="s">
        <v>591</v>
      </c>
      <c r="B44" s="165" t="s">
        <v>344</v>
      </c>
      <c r="C44" s="165" t="s">
        <v>345</v>
      </c>
      <c r="D44" s="166" t="s">
        <v>346</v>
      </c>
      <c r="E44" s="166" t="s">
        <v>363</v>
      </c>
      <c r="F44" s="166">
        <v>9</v>
      </c>
    </row>
    <row r="45" spans="1:67" x14ac:dyDescent="0.3">
      <c r="A45" s="1027"/>
      <c r="B45" s="167">
        <v>78</v>
      </c>
      <c r="C45" s="167"/>
      <c r="D45" s="167">
        <v>0</v>
      </c>
      <c r="E45" s="165" t="s">
        <v>347</v>
      </c>
      <c r="F45" s="166">
        <v>8</v>
      </c>
    </row>
    <row r="46" spans="1:67" x14ac:dyDescent="0.3">
      <c r="A46" s="1027"/>
      <c r="B46" s="165" t="s">
        <v>387</v>
      </c>
      <c r="D46" s="4"/>
      <c r="E46" s="166" t="s">
        <v>364</v>
      </c>
      <c r="F46" s="166">
        <v>5</v>
      </c>
    </row>
    <row r="47" spans="1:67" x14ac:dyDescent="0.3">
      <c r="A47" s="1027"/>
      <c r="B47" s="167">
        <v>1</v>
      </c>
      <c r="D47" s="4"/>
      <c r="E47"/>
    </row>
    <row r="48" spans="1:67" x14ac:dyDescent="0.3">
      <c r="A48" s="1027"/>
      <c r="B48" s="165" t="s">
        <v>386</v>
      </c>
      <c r="D48" s="4"/>
      <c r="E48"/>
    </row>
    <row r="49" spans="1:43" x14ac:dyDescent="0.3">
      <c r="A49" s="1027"/>
      <c r="B49" s="171">
        <f>+B45-B47</f>
        <v>77</v>
      </c>
      <c r="C49" s="353">
        <v>152</v>
      </c>
      <c r="D49" s="4"/>
      <c r="E49"/>
    </row>
    <row r="50" spans="1:43" x14ac:dyDescent="0.3">
      <c r="C50">
        <f>+C49-B49</f>
        <v>75</v>
      </c>
    </row>
    <row r="51" spans="1:43" x14ac:dyDescent="0.3">
      <c r="A51" s="1027" t="s">
        <v>692</v>
      </c>
      <c r="B51" s="165" t="s">
        <v>344</v>
      </c>
      <c r="C51" s="165" t="s">
        <v>345</v>
      </c>
      <c r="D51" s="166" t="s">
        <v>346</v>
      </c>
      <c r="E51" s="166" t="s">
        <v>363</v>
      </c>
      <c r="F51" s="166">
        <v>17</v>
      </c>
    </row>
    <row r="52" spans="1:43" x14ac:dyDescent="0.3">
      <c r="A52" s="1027"/>
      <c r="B52" s="167">
        <v>158</v>
      </c>
      <c r="C52" s="167">
        <v>400</v>
      </c>
      <c r="D52" s="167">
        <v>0</v>
      </c>
      <c r="E52" s="165" t="s">
        <v>347</v>
      </c>
      <c r="F52" s="166">
        <v>16</v>
      </c>
    </row>
    <row r="53" spans="1:43" x14ac:dyDescent="0.3">
      <c r="A53" s="1027"/>
      <c r="B53" s="165" t="s">
        <v>387</v>
      </c>
      <c r="D53" s="4"/>
      <c r="E53" s="166" t="s">
        <v>364</v>
      </c>
      <c r="F53" s="166">
        <v>5</v>
      </c>
    </row>
    <row r="54" spans="1:43" x14ac:dyDescent="0.3">
      <c r="A54" s="1027"/>
      <c r="B54" s="167">
        <v>6</v>
      </c>
      <c r="D54" s="4"/>
      <c r="E54"/>
    </row>
    <row r="55" spans="1:43" x14ac:dyDescent="0.3">
      <c r="A55" s="1027"/>
      <c r="B55" s="165" t="s">
        <v>386</v>
      </c>
      <c r="D55" s="4"/>
      <c r="E55"/>
    </row>
    <row r="56" spans="1:43" x14ac:dyDescent="0.3">
      <c r="A56" s="1027"/>
      <c r="B56" s="171">
        <v>136</v>
      </c>
      <c r="C56" s="4"/>
      <c r="E56"/>
      <c r="L56" s="12"/>
      <c r="M56"/>
      <c r="V56" s="12"/>
      <c r="W56"/>
      <c r="AF56" s="12"/>
      <c r="AG56"/>
      <c r="AP56" s="12"/>
      <c r="AQ56"/>
    </row>
    <row r="58" spans="1:43" x14ac:dyDescent="0.3">
      <c r="A58" s="1027" t="s">
        <v>693</v>
      </c>
      <c r="B58" s="165" t="s">
        <v>344</v>
      </c>
      <c r="C58" s="165" t="s">
        <v>345</v>
      </c>
      <c r="D58" s="166" t="s">
        <v>346</v>
      </c>
      <c r="E58" s="166" t="s">
        <v>363</v>
      </c>
      <c r="F58" s="166">
        <v>2</v>
      </c>
    </row>
    <row r="59" spans="1:43" x14ac:dyDescent="0.3">
      <c r="A59" s="1027"/>
      <c r="B59" s="167">
        <v>30</v>
      </c>
      <c r="C59" s="167">
        <v>306</v>
      </c>
      <c r="D59" s="167">
        <v>0</v>
      </c>
      <c r="E59" s="165" t="s">
        <v>347</v>
      </c>
      <c r="F59" s="166">
        <v>3</v>
      </c>
    </row>
    <row r="60" spans="1:43" x14ac:dyDescent="0.3">
      <c r="A60" s="1027"/>
      <c r="B60" s="165" t="s">
        <v>387</v>
      </c>
      <c r="D60" s="4"/>
      <c r="E60" s="166" t="s">
        <v>364</v>
      </c>
      <c r="F60" s="166">
        <v>0</v>
      </c>
    </row>
    <row r="61" spans="1:43" x14ac:dyDescent="0.3">
      <c r="A61" s="1027"/>
      <c r="B61" s="167">
        <v>6</v>
      </c>
      <c r="C61" s="4"/>
      <c r="E61"/>
      <c r="L61" s="12"/>
      <c r="M61"/>
      <c r="V61" s="12"/>
      <c r="W61"/>
      <c r="AF61" s="12"/>
      <c r="AG61"/>
      <c r="AP61" s="12"/>
      <c r="AQ61"/>
    </row>
    <row r="62" spans="1:43" x14ac:dyDescent="0.3">
      <c r="A62" s="1027"/>
      <c r="B62" s="165" t="s">
        <v>386</v>
      </c>
      <c r="C62" s="4"/>
      <c r="E62"/>
      <c r="L62" s="12"/>
      <c r="M62"/>
      <c r="V62" s="12"/>
      <c r="W62"/>
      <c r="AF62" s="12"/>
      <c r="AG62"/>
      <c r="AP62" s="12"/>
      <c r="AQ62"/>
    </row>
    <row r="63" spans="1:43" x14ac:dyDescent="0.3">
      <c r="A63" s="1027"/>
      <c r="B63" s="171">
        <f>+B59-B61</f>
        <v>24</v>
      </c>
      <c r="C63" s="4"/>
      <c r="E63"/>
      <c r="L63" s="12"/>
      <c r="M63"/>
      <c r="V63" s="12"/>
      <c r="W63"/>
      <c r="AF63" s="12"/>
      <c r="AG63"/>
      <c r="AP63" s="12"/>
      <c r="AQ63"/>
    </row>
    <row r="64" spans="1:43" x14ac:dyDescent="0.3">
      <c r="D64" s="4"/>
      <c r="E64"/>
      <c r="L64" s="12"/>
      <c r="M64"/>
      <c r="V64" s="12"/>
      <c r="W64"/>
      <c r="AF64" s="12"/>
      <c r="AG64"/>
      <c r="AP64" s="12"/>
      <c r="AQ64"/>
    </row>
    <row r="65" spans="1:6" x14ac:dyDescent="0.3">
      <c r="A65" s="1027" t="s">
        <v>808</v>
      </c>
      <c r="B65" s="165" t="s">
        <v>344</v>
      </c>
      <c r="C65" s="165" t="s">
        <v>345</v>
      </c>
      <c r="D65" s="166" t="s">
        <v>346</v>
      </c>
      <c r="E65" s="166" t="s">
        <v>363</v>
      </c>
      <c r="F65" s="166">
        <v>98</v>
      </c>
    </row>
    <row r="66" spans="1:6" x14ac:dyDescent="0.3">
      <c r="A66" s="1027"/>
      <c r="B66" s="167">
        <v>266</v>
      </c>
      <c r="C66" s="167">
        <v>779</v>
      </c>
      <c r="D66" s="167">
        <v>0</v>
      </c>
      <c r="E66" s="165" t="s">
        <v>347</v>
      </c>
      <c r="F66" s="166">
        <v>111</v>
      </c>
    </row>
    <row r="67" spans="1:6" x14ac:dyDescent="0.3">
      <c r="A67" s="1027"/>
      <c r="B67" s="165" t="s">
        <v>387</v>
      </c>
      <c r="D67" s="4"/>
      <c r="E67" s="166" t="s">
        <v>364</v>
      </c>
      <c r="F67" s="166">
        <v>4</v>
      </c>
    </row>
    <row r="68" spans="1:6" x14ac:dyDescent="0.3">
      <c r="A68" s="1027"/>
      <c r="B68" s="167">
        <v>3</v>
      </c>
      <c r="C68" s="4"/>
      <c r="E68"/>
    </row>
    <row r="69" spans="1:6" x14ac:dyDescent="0.3">
      <c r="A69" s="1027"/>
      <c r="B69" s="165" t="s">
        <v>386</v>
      </c>
      <c r="C69" s="4"/>
      <c r="E69"/>
    </row>
    <row r="70" spans="1:6" x14ac:dyDescent="0.3">
      <c r="A70" s="1027"/>
      <c r="B70" s="171">
        <f>+B66-B68</f>
        <v>263</v>
      </c>
      <c r="C70" s="4"/>
      <c r="E70"/>
    </row>
    <row r="72" spans="1:6" x14ac:dyDescent="0.3">
      <c r="A72" s="1027" t="s">
        <v>889</v>
      </c>
      <c r="B72" s="165" t="s">
        <v>344</v>
      </c>
      <c r="C72" s="165" t="s">
        <v>345</v>
      </c>
      <c r="D72" s="166" t="s">
        <v>346</v>
      </c>
      <c r="E72" s="166" t="s">
        <v>363</v>
      </c>
      <c r="F72" s="166">
        <v>24</v>
      </c>
    </row>
    <row r="73" spans="1:6" x14ac:dyDescent="0.3">
      <c r="A73" s="1027"/>
      <c r="B73" s="167">
        <v>308</v>
      </c>
      <c r="C73" s="167">
        <v>1043</v>
      </c>
      <c r="D73" s="167">
        <v>0</v>
      </c>
      <c r="E73" s="165" t="s">
        <v>347</v>
      </c>
      <c r="F73" s="166">
        <v>12</v>
      </c>
    </row>
    <row r="74" spans="1:6" x14ac:dyDescent="0.3">
      <c r="A74" s="1027"/>
      <c r="B74" s="165" t="s">
        <v>387</v>
      </c>
      <c r="D74" s="4"/>
      <c r="E74" s="166" t="s">
        <v>364</v>
      </c>
      <c r="F74" s="166">
        <v>4</v>
      </c>
    </row>
    <row r="75" spans="1:6" x14ac:dyDescent="0.3">
      <c r="A75" s="1027"/>
      <c r="B75" s="167">
        <v>0</v>
      </c>
      <c r="C75" s="4"/>
      <c r="E75"/>
    </row>
    <row r="76" spans="1:6" x14ac:dyDescent="0.3">
      <c r="A76" s="1027"/>
      <c r="B76" s="165" t="s">
        <v>386</v>
      </c>
      <c r="C76" s="4"/>
      <c r="E76"/>
    </row>
    <row r="77" spans="1:6" x14ac:dyDescent="0.3">
      <c r="A77" s="1027"/>
      <c r="B77" s="171">
        <f>+B73-B75</f>
        <v>308</v>
      </c>
      <c r="C77" s="4"/>
      <c r="E77"/>
    </row>
    <row r="79" spans="1:6" x14ac:dyDescent="0.3">
      <c r="A79" s="1027" t="s">
        <v>968</v>
      </c>
      <c r="B79" s="165" t="s">
        <v>344</v>
      </c>
      <c r="C79" s="165" t="s">
        <v>345</v>
      </c>
      <c r="D79" s="166" t="s">
        <v>346</v>
      </c>
      <c r="E79" s="166" t="s">
        <v>363</v>
      </c>
      <c r="F79" s="166">
        <v>53</v>
      </c>
    </row>
    <row r="80" spans="1:6" x14ac:dyDescent="0.3">
      <c r="A80" s="1027"/>
      <c r="B80" s="167">
        <v>400</v>
      </c>
      <c r="C80" s="167">
        <v>806</v>
      </c>
      <c r="D80" s="167">
        <v>0</v>
      </c>
      <c r="E80" s="165" t="s">
        <v>347</v>
      </c>
      <c r="F80" s="166">
        <v>67</v>
      </c>
    </row>
    <row r="81" spans="1:6" x14ac:dyDescent="0.3">
      <c r="A81" s="1027"/>
      <c r="B81" s="165" t="s">
        <v>387</v>
      </c>
      <c r="D81" s="4"/>
      <c r="E81" s="166" t="s">
        <v>364</v>
      </c>
      <c r="F81" s="166">
        <v>7</v>
      </c>
    </row>
    <row r="82" spans="1:6" x14ac:dyDescent="0.3">
      <c r="A82" s="1027"/>
      <c r="B82" s="167">
        <f>+B80-B84</f>
        <v>0</v>
      </c>
      <c r="C82" s="4"/>
      <c r="E82"/>
    </row>
    <row r="83" spans="1:6" x14ac:dyDescent="0.3">
      <c r="A83" s="1027"/>
      <c r="B83" s="165" t="s">
        <v>386</v>
      </c>
      <c r="C83" s="4"/>
      <c r="E83"/>
    </row>
    <row r="84" spans="1:6" x14ac:dyDescent="0.3">
      <c r="A84" s="1027"/>
      <c r="B84" s="171">
        <v>400</v>
      </c>
      <c r="C84" s="4"/>
      <c r="E84"/>
    </row>
  </sheetData>
  <mergeCells count="324">
    <mergeCell ref="BE25:BI25"/>
    <mergeCell ref="BM25:BM26"/>
    <mergeCell ref="BN25:BN26"/>
    <mergeCell ref="BO25:BO26"/>
    <mergeCell ref="BG26:BI26"/>
    <mergeCell ref="BE27:BI27"/>
    <mergeCell ref="BJ27:BJ34"/>
    <mergeCell ref="BK27:BK34"/>
    <mergeCell ref="BL27:BL34"/>
    <mergeCell ref="BM27:BM34"/>
    <mergeCell ref="BN27:BN34"/>
    <mergeCell ref="BO27:BO34"/>
    <mergeCell ref="BE30:BI30"/>
    <mergeCell ref="BE33:BI34"/>
    <mergeCell ref="BE9:BE10"/>
    <mergeCell ref="BG9:BG10"/>
    <mergeCell ref="BH9:BH10"/>
    <mergeCell ref="BI9:BI10"/>
    <mergeCell ref="BJ9:BJ10"/>
    <mergeCell ref="BK9:BK10"/>
    <mergeCell ref="BL9:BL10"/>
    <mergeCell ref="BJ13:BJ20"/>
    <mergeCell ref="BK13:BK20"/>
    <mergeCell ref="BL13:BL20"/>
    <mergeCell ref="A79:A84"/>
    <mergeCell ref="BE1:BO1"/>
    <mergeCell ref="BE2:BI2"/>
    <mergeCell ref="BJ2:BK2"/>
    <mergeCell ref="BJ3:BJ4"/>
    <mergeCell ref="BK3:BK4"/>
    <mergeCell ref="BL3:BL4"/>
    <mergeCell ref="BM3:BM24"/>
    <mergeCell ref="BN3:BN24"/>
    <mergeCell ref="BO3:BO24"/>
    <mergeCell ref="BE5:BE6"/>
    <mergeCell ref="BG5:BG6"/>
    <mergeCell ref="BH5:BH6"/>
    <mergeCell ref="BI5:BI6"/>
    <mergeCell ref="BJ5:BJ6"/>
    <mergeCell ref="BK5:BK6"/>
    <mergeCell ref="BL5:BL6"/>
    <mergeCell ref="BE7:BE8"/>
    <mergeCell ref="BG7:BG8"/>
    <mergeCell ref="BH7:BH8"/>
    <mergeCell ref="BI7:BI8"/>
    <mergeCell ref="BJ7:BJ8"/>
    <mergeCell ref="BK7:BK8"/>
    <mergeCell ref="BL7:BL8"/>
    <mergeCell ref="AU25:AX25"/>
    <mergeCell ref="BB25:BB26"/>
    <mergeCell ref="BC25:BC26"/>
    <mergeCell ref="BD25:BD26"/>
    <mergeCell ref="AV26:AX26"/>
    <mergeCell ref="AY27:AY34"/>
    <mergeCell ref="AZ27:AZ34"/>
    <mergeCell ref="BA27:BA34"/>
    <mergeCell ref="BB27:BB34"/>
    <mergeCell ref="BC27:BC34"/>
    <mergeCell ref="BD27:BD34"/>
    <mergeCell ref="AU27:AX27"/>
    <mergeCell ref="AU30:AX30"/>
    <mergeCell ref="AU33:AX34"/>
    <mergeCell ref="AU9:AU10"/>
    <mergeCell ref="AV9:AV10"/>
    <mergeCell ref="AW9:AW10"/>
    <mergeCell ref="AX9:AX10"/>
    <mergeCell ref="AY9:AY10"/>
    <mergeCell ref="AZ9:AZ10"/>
    <mergeCell ref="BA9:BA10"/>
    <mergeCell ref="AY13:AY20"/>
    <mergeCell ref="AZ13:AZ20"/>
    <mergeCell ref="BA13:BA20"/>
    <mergeCell ref="A72:A77"/>
    <mergeCell ref="AU1:BD1"/>
    <mergeCell ref="AU2:AX2"/>
    <mergeCell ref="AY2:AZ2"/>
    <mergeCell ref="AY3:AY4"/>
    <mergeCell ref="AZ3:AZ4"/>
    <mergeCell ref="BA3:BA4"/>
    <mergeCell ref="BB3:BB24"/>
    <mergeCell ref="BC3:BC24"/>
    <mergeCell ref="BD3:BD24"/>
    <mergeCell ref="AU5:AU6"/>
    <mergeCell ref="AV5:AV6"/>
    <mergeCell ref="AW5:AW6"/>
    <mergeCell ref="AX5:AX6"/>
    <mergeCell ref="AY5:AY6"/>
    <mergeCell ref="AZ5:AZ6"/>
    <mergeCell ref="BA5:BA6"/>
    <mergeCell ref="AU7:AU8"/>
    <mergeCell ref="AV7:AV8"/>
    <mergeCell ref="AW7:AW8"/>
    <mergeCell ref="AX7:AX8"/>
    <mergeCell ref="AY7:AY8"/>
    <mergeCell ref="AZ7:AZ8"/>
    <mergeCell ref="BA7:BA8"/>
    <mergeCell ref="A1:F1"/>
    <mergeCell ref="G1:P1"/>
    <mergeCell ref="K9:K10"/>
    <mergeCell ref="L9:L10"/>
    <mergeCell ref="E5:E6"/>
    <mergeCell ref="E7:E8"/>
    <mergeCell ref="E9:E10"/>
    <mergeCell ref="G5:G6"/>
    <mergeCell ref="H5:H6"/>
    <mergeCell ref="I5:I6"/>
    <mergeCell ref="J5:J6"/>
    <mergeCell ref="G7:G8"/>
    <mergeCell ref="H7:H8"/>
    <mergeCell ref="I7:I8"/>
    <mergeCell ref="J7:J8"/>
    <mergeCell ref="G9:G10"/>
    <mergeCell ref="G2:J2"/>
    <mergeCell ref="K2:L2"/>
    <mergeCell ref="F7:F8"/>
    <mergeCell ref="P3:P22"/>
    <mergeCell ref="A27:A34"/>
    <mergeCell ref="K13:K20"/>
    <mergeCell ref="I9:I10"/>
    <mergeCell ref="J9:J10"/>
    <mergeCell ref="H9:H10"/>
    <mergeCell ref="K5:K6"/>
    <mergeCell ref="L5:L6"/>
    <mergeCell ref="K7:K8"/>
    <mergeCell ref="L7:L8"/>
    <mergeCell ref="A25:A26"/>
    <mergeCell ref="D5:D6"/>
    <mergeCell ref="B25:B26"/>
    <mergeCell ref="G25:J25"/>
    <mergeCell ref="G26:J26"/>
    <mergeCell ref="B27:B34"/>
    <mergeCell ref="D9:D10"/>
    <mergeCell ref="F9:F10"/>
    <mergeCell ref="C13:C20"/>
    <mergeCell ref="D13:D20"/>
    <mergeCell ref="E13:E20"/>
    <mergeCell ref="F13:F20"/>
    <mergeCell ref="F5:F6"/>
    <mergeCell ref="D7:D8"/>
    <mergeCell ref="Q9:Q10"/>
    <mergeCell ref="R9:R10"/>
    <mergeCell ref="S9:S10"/>
    <mergeCell ref="T9:T10"/>
    <mergeCell ref="D27:D34"/>
    <mergeCell ref="E27:E34"/>
    <mergeCell ref="F27:F34"/>
    <mergeCell ref="P27:P34"/>
    <mergeCell ref="K27:K34"/>
    <mergeCell ref="L27:L34"/>
    <mergeCell ref="M27:M34"/>
    <mergeCell ref="N3:N22"/>
    <mergeCell ref="N25:N26"/>
    <mergeCell ref="N27:N34"/>
    <mergeCell ref="M9:M10"/>
    <mergeCell ref="M13:M20"/>
    <mergeCell ref="M5:M6"/>
    <mergeCell ref="M7:M8"/>
    <mergeCell ref="L13:L20"/>
    <mergeCell ref="K3:K4"/>
    <mergeCell ref="L3:L4"/>
    <mergeCell ref="M3:M4"/>
    <mergeCell ref="F3:F4"/>
    <mergeCell ref="O3:O22"/>
    <mergeCell ref="U7:U8"/>
    <mergeCell ref="V7:V8"/>
    <mergeCell ref="P25:P26"/>
    <mergeCell ref="C27:C34"/>
    <mergeCell ref="Q1:Z1"/>
    <mergeCell ref="Q2:T2"/>
    <mergeCell ref="U2:V2"/>
    <mergeCell ref="X3:X22"/>
    <mergeCell ref="Y3:Y22"/>
    <mergeCell ref="Z3:Z22"/>
    <mergeCell ref="Q5:Q6"/>
    <mergeCell ref="R5:R6"/>
    <mergeCell ref="S5:S6"/>
    <mergeCell ref="T5:T6"/>
    <mergeCell ref="U5:U6"/>
    <mergeCell ref="V5:V6"/>
    <mergeCell ref="W5:W6"/>
    <mergeCell ref="Q7:Q8"/>
    <mergeCell ref="R7:R8"/>
    <mergeCell ref="S7:S8"/>
    <mergeCell ref="V3:V4"/>
    <mergeCell ref="W3:W4"/>
    <mergeCell ref="U3:U4"/>
    <mergeCell ref="W7:W8"/>
    <mergeCell ref="AA7:AA8"/>
    <mergeCell ref="AB7:AB8"/>
    <mergeCell ref="AC7:AC8"/>
    <mergeCell ref="AD7:AD8"/>
    <mergeCell ref="A37:A42"/>
    <mergeCell ref="A44:A49"/>
    <mergeCell ref="C3:C4"/>
    <mergeCell ref="D3:D4"/>
    <mergeCell ref="E3:E4"/>
    <mergeCell ref="Y25:Y26"/>
    <mergeCell ref="Z25:Z26"/>
    <mergeCell ref="U27:U34"/>
    <mergeCell ref="V27:V34"/>
    <mergeCell ref="W27:W34"/>
    <mergeCell ref="X27:X34"/>
    <mergeCell ref="Y27:Y34"/>
    <mergeCell ref="Z27:Z34"/>
    <mergeCell ref="S34:T34"/>
    <mergeCell ref="U13:U20"/>
    <mergeCell ref="V13:V20"/>
    <mergeCell ref="W13:W20"/>
    <mergeCell ref="Q25:T25"/>
    <mergeCell ref="X25:X26"/>
    <mergeCell ref="T7:T8"/>
    <mergeCell ref="AA1:AJ1"/>
    <mergeCell ref="AA2:AD2"/>
    <mergeCell ref="AE2:AF2"/>
    <mergeCell ref="AE3:AE4"/>
    <mergeCell ref="AF3:AF4"/>
    <mergeCell ref="AG3:AG4"/>
    <mergeCell ref="AA5:AA6"/>
    <mergeCell ref="AB5:AB6"/>
    <mergeCell ref="AC5:AC6"/>
    <mergeCell ref="AD5:AD6"/>
    <mergeCell ref="AE5:AE6"/>
    <mergeCell ref="AF5:AF6"/>
    <mergeCell ref="AG5:AG6"/>
    <mergeCell ref="A51:A56"/>
    <mergeCell ref="A58:A63"/>
    <mergeCell ref="AA25:AD25"/>
    <mergeCell ref="AH25:AH26"/>
    <mergeCell ref="AI25:AI26"/>
    <mergeCell ref="AJ25:AJ26"/>
    <mergeCell ref="AB26:AD26"/>
    <mergeCell ref="AE27:AE34"/>
    <mergeCell ref="AF27:AF34"/>
    <mergeCell ref="AG27:AG34"/>
    <mergeCell ref="AH27:AH34"/>
    <mergeCell ref="AI27:AI34"/>
    <mergeCell ref="AJ27:AJ34"/>
    <mergeCell ref="AC30:AD30"/>
    <mergeCell ref="AA31:AA32"/>
    <mergeCell ref="AC31:AD31"/>
    <mergeCell ref="AC32:AD32"/>
    <mergeCell ref="AB33:AD33"/>
    <mergeCell ref="AC34:AD34"/>
    <mergeCell ref="S30:T30"/>
    <mergeCell ref="S31:T31"/>
    <mergeCell ref="R26:T26"/>
    <mergeCell ref="O25:O26"/>
    <mergeCell ref="O27:O34"/>
    <mergeCell ref="Q31:Q32"/>
    <mergeCell ref="S32:T32"/>
    <mergeCell ref="R33:T33"/>
    <mergeCell ref="B3:B24"/>
    <mergeCell ref="A3:A24"/>
    <mergeCell ref="AH3:AH24"/>
    <mergeCell ref="AI3:AI24"/>
    <mergeCell ref="AJ3:AJ24"/>
    <mergeCell ref="AE13:AE20"/>
    <mergeCell ref="AF13:AF20"/>
    <mergeCell ref="AG13:AG20"/>
    <mergeCell ref="AE7:AE8"/>
    <mergeCell ref="AF7:AF8"/>
    <mergeCell ref="AG7:AG8"/>
    <mergeCell ref="AA9:AA10"/>
    <mergeCell ref="AB9:AB10"/>
    <mergeCell ref="AC9:AC10"/>
    <mergeCell ref="AD9:AD10"/>
    <mergeCell ref="AE9:AE10"/>
    <mergeCell ref="AF9:AF10"/>
    <mergeCell ref="AG9:AG10"/>
    <mergeCell ref="U9:U10"/>
    <mergeCell ref="V9:V10"/>
    <mergeCell ref="W9:W10"/>
    <mergeCell ref="A65:A70"/>
    <mergeCell ref="AK1:AT1"/>
    <mergeCell ref="AK2:AN2"/>
    <mergeCell ref="AO2:AP2"/>
    <mergeCell ref="AO3:AO4"/>
    <mergeCell ref="AP3:AP4"/>
    <mergeCell ref="AQ3:AQ4"/>
    <mergeCell ref="AR3:AR24"/>
    <mergeCell ref="AS3:AS24"/>
    <mergeCell ref="AT3:AT24"/>
    <mergeCell ref="AK5:AK6"/>
    <mergeCell ref="AL5:AL6"/>
    <mergeCell ref="AM5:AM6"/>
    <mergeCell ref="AN5:AN6"/>
    <mergeCell ref="AO5:AO6"/>
    <mergeCell ref="AP5:AP6"/>
    <mergeCell ref="AQ5:AQ6"/>
    <mergeCell ref="AK7:AK8"/>
    <mergeCell ref="AL7:AL8"/>
    <mergeCell ref="AM7:AM8"/>
    <mergeCell ref="AN7:AN8"/>
    <mergeCell ref="AO7:AO8"/>
    <mergeCell ref="AP7:AP8"/>
    <mergeCell ref="AQ7:AQ8"/>
    <mergeCell ref="AK9:AK10"/>
    <mergeCell ref="AL9:AL10"/>
    <mergeCell ref="AM9:AM10"/>
    <mergeCell ref="AN9:AN10"/>
    <mergeCell ref="AO9:AO10"/>
    <mergeCell ref="AP9:AP10"/>
    <mergeCell ref="AQ9:AQ10"/>
    <mergeCell ref="AO13:AO20"/>
    <mergeCell ref="AP13:AP20"/>
    <mergeCell ref="AQ13:AQ20"/>
    <mergeCell ref="AK25:AN25"/>
    <mergeCell ref="AR25:AR26"/>
    <mergeCell ref="AS25:AS26"/>
    <mergeCell ref="AT25:AT26"/>
    <mergeCell ref="AL26:AN26"/>
    <mergeCell ref="AO27:AO34"/>
    <mergeCell ref="AP27:AP34"/>
    <mergeCell ref="AQ27:AQ34"/>
    <mergeCell ref="AR27:AR34"/>
    <mergeCell ref="AS27:AS34"/>
    <mergeCell ref="AT27:AT34"/>
    <mergeCell ref="AK31:AK32"/>
    <mergeCell ref="AM31:AN31"/>
    <mergeCell ref="AM32:AN32"/>
    <mergeCell ref="AL33:AN33"/>
    <mergeCell ref="AM34:AN34"/>
    <mergeCell ref="AM29:AM30"/>
    <mergeCell ref="AN29:AN3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0979-2935-4846-B261-3394D8502756}">
  <dimension ref="A1:BO104"/>
  <sheetViews>
    <sheetView tabSelected="1" topLeftCell="A21" zoomScale="70" zoomScaleNormal="70" workbookViewId="0">
      <selection activeCell="BJ20" sqref="BJ20"/>
    </sheetView>
  </sheetViews>
  <sheetFormatPr baseColWidth="10" defaultRowHeight="14.4" outlineLevelCol="1" x14ac:dyDescent="0.3"/>
  <cols>
    <col min="1" max="1" width="18.33203125" customWidth="1"/>
    <col min="2" max="2" width="26.44140625" customWidth="1"/>
    <col min="3" max="3" width="28.21875" customWidth="1"/>
    <col min="4" max="4" width="31.21875" customWidth="1"/>
    <col min="5" max="5" width="33.44140625" style="4" customWidth="1"/>
    <col min="6" max="6" width="45.33203125" customWidth="1"/>
    <col min="7" max="7" width="18.6640625" hidden="1" customWidth="1" outlineLevel="1"/>
    <col min="8" max="8" width="21.21875" hidden="1" customWidth="1" outlineLevel="1"/>
    <col min="9" max="9" width="21.33203125" hidden="1" customWidth="1" outlineLevel="1"/>
    <col min="10" max="11" width="11.5546875" hidden="1" customWidth="1" outlineLevel="1"/>
    <col min="12" max="12" width="73.88671875" hidden="1" customWidth="1" outlineLevel="1"/>
    <col min="13" max="13" width="15.44140625" style="12" hidden="1" customWidth="1" outlineLevel="1"/>
    <col min="14" max="15" width="11.5546875" hidden="1" customWidth="1" outlineLevel="1"/>
    <col min="16" max="16" width="20.6640625" hidden="1" customWidth="1" collapsed="1"/>
    <col min="17" max="17" width="18.6640625" hidden="1" customWidth="1" outlineLevel="1"/>
    <col min="18" max="18" width="21.21875" hidden="1" customWidth="1" outlineLevel="1"/>
    <col min="19" max="19" width="21.33203125" hidden="1" customWidth="1" outlineLevel="1"/>
    <col min="20" max="21" width="0" hidden="1" customWidth="1" outlineLevel="1"/>
    <col min="22" max="22" width="73.88671875" hidden="1" customWidth="1" outlineLevel="1"/>
    <col min="23" max="23" width="19.44140625" style="12" hidden="1" customWidth="1" outlineLevel="1"/>
    <col min="24" max="24" width="15.21875" hidden="1" customWidth="1" outlineLevel="1"/>
    <col min="25" max="25" width="0" hidden="1" customWidth="1" outlineLevel="1"/>
    <col min="26" max="26" width="20.6640625" hidden="1" customWidth="1" collapsed="1"/>
    <col min="27" max="27" width="18.6640625" hidden="1" customWidth="1" outlineLevel="1"/>
    <col min="28" max="28" width="21.21875" hidden="1" customWidth="1" outlineLevel="1"/>
    <col min="29" max="29" width="21.33203125" hidden="1" customWidth="1" outlineLevel="1"/>
    <col min="30" max="31" width="0" hidden="1" customWidth="1" outlineLevel="1"/>
    <col min="32" max="32" width="73.88671875" hidden="1" customWidth="1" outlineLevel="1"/>
    <col min="33" max="33" width="19.44140625" style="12" hidden="1" customWidth="1" outlineLevel="1"/>
    <col min="34" max="34" width="15.21875" hidden="1" customWidth="1" outlineLevel="1"/>
    <col min="35" max="35" width="0" hidden="1" customWidth="1" outlineLevel="1"/>
    <col min="36" max="36" width="20.6640625" hidden="1" customWidth="1" collapsed="1"/>
    <col min="37" max="37" width="18.6640625" hidden="1" customWidth="1" outlineLevel="1"/>
    <col min="38" max="38" width="21.21875" hidden="1" customWidth="1" outlineLevel="1"/>
    <col min="39" max="39" width="21.33203125" hidden="1" customWidth="1" outlineLevel="1"/>
    <col min="40" max="41" width="0" hidden="1" customWidth="1" outlineLevel="1"/>
    <col min="42" max="42" width="73.88671875" hidden="1" customWidth="1" outlineLevel="1"/>
    <col min="43" max="43" width="19.44140625" style="12" hidden="1" customWidth="1" outlineLevel="1"/>
    <col min="44" max="44" width="15.21875" hidden="1" customWidth="1" outlineLevel="1"/>
    <col min="45" max="45" width="0" hidden="1" customWidth="1" outlineLevel="1"/>
    <col min="46" max="46" width="20.6640625" hidden="1" customWidth="1" collapsed="1"/>
    <col min="47" max="50" width="16.6640625" hidden="1" customWidth="1"/>
    <col min="51" max="51" width="0" hidden="1" customWidth="1"/>
    <col min="52" max="52" width="49.6640625" hidden="1" customWidth="1"/>
    <col min="53" max="54" width="17.109375" hidden="1" customWidth="1"/>
    <col min="55" max="55" width="0" hidden="1" customWidth="1"/>
    <col min="56" max="56" width="21.109375" hidden="1" customWidth="1"/>
    <col min="57" max="61" width="16.6640625" customWidth="1"/>
    <col min="63" max="63" width="49.6640625" customWidth="1"/>
    <col min="64" max="65" width="17.109375" customWidth="1"/>
    <col min="67" max="67" width="21.109375" customWidth="1"/>
  </cols>
  <sheetData>
    <row r="1" spans="1:67" s="172" customFormat="1" ht="18.600000000000001" thickBot="1" x14ac:dyDescent="0.4">
      <c r="A1" s="960" t="s">
        <v>242</v>
      </c>
      <c r="B1" s="961"/>
      <c r="C1" s="961"/>
      <c r="D1" s="961"/>
      <c r="E1" s="961"/>
      <c r="F1" s="961"/>
      <c r="G1" s="962">
        <v>45931</v>
      </c>
      <c r="H1" s="962"/>
      <c r="I1" s="962"/>
      <c r="J1" s="962"/>
      <c r="K1" s="962"/>
      <c r="L1" s="962"/>
      <c r="M1" s="962"/>
      <c r="N1" s="962"/>
      <c r="O1" s="962"/>
      <c r="P1" s="963"/>
      <c r="Q1" s="1410">
        <v>45962</v>
      </c>
      <c r="R1" s="1410"/>
      <c r="S1" s="1410"/>
      <c r="T1" s="1410"/>
      <c r="U1" s="1410"/>
      <c r="V1" s="1410"/>
      <c r="W1" s="1410"/>
      <c r="X1" s="1410"/>
      <c r="Y1" s="1410"/>
      <c r="Z1" s="1411"/>
      <c r="AA1" s="1396" t="s">
        <v>724</v>
      </c>
      <c r="AB1" s="1396"/>
      <c r="AC1" s="1396"/>
      <c r="AD1" s="1396"/>
      <c r="AE1" s="1396"/>
      <c r="AF1" s="1396"/>
      <c r="AG1" s="1396"/>
      <c r="AH1" s="1396"/>
      <c r="AI1" s="1396"/>
      <c r="AJ1" s="1397"/>
      <c r="AK1" s="1355">
        <v>46054</v>
      </c>
      <c r="AL1" s="1355"/>
      <c r="AM1" s="1355"/>
      <c r="AN1" s="1355"/>
      <c r="AO1" s="1355"/>
      <c r="AP1" s="1355"/>
      <c r="AQ1" s="1355"/>
      <c r="AR1" s="1355"/>
      <c r="AS1" s="1355"/>
      <c r="AT1" s="1356"/>
      <c r="AU1" s="1410">
        <v>46082</v>
      </c>
      <c r="AV1" s="1410"/>
      <c r="AW1" s="1410"/>
      <c r="AX1" s="1410"/>
      <c r="AY1" s="1410"/>
      <c r="AZ1" s="1410"/>
      <c r="BA1" s="1410"/>
      <c r="BB1" s="1410"/>
      <c r="BC1" s="1410"/>
      <c r="BD1" s="1411"/>
      <c r="BE1" s="1410">
        <v>46113</v>
      </c>
      <c r="BF1" s="1410"/>
      <c r="BG1" s="1410"/>
      <c r="BH1" s="1410"/>
      <c r="BI1" s="1410"/>
      <c r="BJ1" s="1410"/>
      <c r="BK1" s="1410"/>
      <c r="BL1" s="1410"/>
      <c r="BM1" s="1410"/>
      <c r="BN1" s="1410"/>
      <c r="BO1" s="1411"/>
    </row>
    <row r="2" spans="1:67" ht="28.8" x14ac:dyDescent="0.3">
      <c r="A2" s="573" t="s">
        <v>92</v>
      </c>
      <c r="B2" s="60" t="s">
        <v>0</v>
      </c>
      <c r="C2" s="60" t="s">
        <v>1</v>
      </c>
      <c r="D2" s="60" t="s">
        <v>73</v>
      </c>
      <c r="E2" s="249" t="s">
        <v>3</v>
      </c>
      <c r="F2" s="60" t="s">
        <v>4</v>
      </c>
      <c r="G2" s="965" t="s">
        <v>132</v>
      </c>
      <c r="H2" s="965"/>
      <c r="I2" s="965"/>
      <c r="J2" s="965"/>
      <c r="K2" s="1507" t="s">
        <v>317</v>
      </c>
      <c r="L2" s="1507"/>
      <c r="M2" s="622" t="s">
        <v>88</v>
      </c>
      <c r="N2" s="60" t="s">
        <v>92</v>
      </c>
      <c r="O2" s="60" t="s">
        <v>220</v>
      </c>
      <c r="P2" s="60" t="s">
        <v>318</v>
      </c>
      <c r="Q2" s="1413" t="s">
        <v>132</v>
      </c>
      <c r="R2" s="1413"/>
      <c r="S2" s="1413"/>
      <c r="T2" s="1413"/>
      <c r="U2" s="1507" t="s">
        <v>594</v>
      </c>
      <c r="V2" s="1507"/>
      <c r="W2" s="622" t="s">
        <v>88</v>
      </c>
      <c r="X2" s="60" t="s">
        <v>92</v>
      </c>
      <c r="Y2" s="60" t="s">
        <v>220</v>
      </c>
      <c r="Z2" s="68" t="s">
        <v>595</v>
      </c>
      <c r="AA2" s="1489" t="s">
        <v>132</v>
      </c>
      <c r="AB2" s="1399"/>
      <c r="AC2" s="1399"/>
      <c r="AD2" s="1400"/>
      <c r="AE2" s="967" t="s">
        <v>728</v>
      </c>
      <c r="AF2" s="1288"/>
      <c r="AG2" s="69" t="s">
        <v>88</v>
      </c>
      <c r="AH2" s="60" t="s">
        <v>92</v>
      </c>
      <c r="AI2" s="60" t="s">
        <v>220</v>
      </c>
      <c r="AJ2" s="68" t="s">
        <v>729</v>
      </c>
      <c r="AK2" s="1475" t="s">
        <v>132</v>
      </c>
      <c r="AL2" s="1358"/>
      <c r="AM2" s="1358"/>
      <c r="AN2" s="1359"/>
      <c r="AO2" s="967" t="s">
        <v>809</v>
      </c>
      <c r="AP2" s="968"/>
      <c r="AQ2" s="268" t="s">
        <v>88</v>
      </c>
      <c r="AR2" s="60" t="s">
        <v>92</v>
      </c>
      <c r="AS2" s="60" t="s">
        <v>220</v>
      </c>
      <c r="AT2" s="68" t="s">
        <v>799</v>
      </c>
      <c r="AU2" s="1514" t="s">
        <v>132</v>
      </c>
      <c r="AV2" s="1413"/>
      <c r="AW2" s="1413"/>
      <c r="AX2" s="1414"/>
      <c r="AY2" s="967" t="s">
        <v>890</v>
      </c>
      <c r="AZ2" s="968"/>
      <c r="BA2" s="268" t="s">
        <v>88</v>
      </c>
      <c r="BB2" s="60" t="s">
        <v>92</v>
      </c>
      <c r="BC2" s="60" t="s">
        <v>220</v>
      </c>
      <c r="BD2" s="68" t="s">
        <v>876</v>
      </c>
      <c r="BE2" s="1514" t="s">
        <v>132</v>
      </c>
      <c r="BF2" s="1514"/>
      <c r="BG2" s="1413"/>
      <c r="BH2" s="1413"/>
      <c r="BI2" s="1414"/>
      <c r="BJ2" s="967" t="s">
        <v>969</v>
      </c>
      <c r="BK2" s="968"/>
      <c r="BL2" s="268" t="s">
        <v>88</v>
      </c>
      <c r="BM2" s="60" t="s">
        <v>92</v>
      </c>
      <c r="BN2" s="60" t="s">
        <v>220</v>
      </c>
      <c r="BO2" s="68" t="s">
        <v>970</v>
      </c>
    </row>
    <row r="3" spans="1:67" ht="409.6" x14ac:dyDescent="0.3">
      <c r="A3" s="969">
        <v>0.7</v>
      </c>
      <c r="B3" s="972" t="s">
        <v>74</v>
      </c>
      <c r="C3" s="935" t="s">
        <v>362</v>
      </c>
      <c r="D3" s="936" t="s">
        <v>501</v>
      </c>
      <c r="E3" s="937" t="s">
        <v>503</v>
      </c>
      <c r="F3" s="938" t="s">
        <v>502</v>
      </c>
      <c r="G3" s="88" t="s">
        <v>360</v>
      </c>
      <c r="H3" s="110">
        <f>+B36</f>
        <v>159</v>
      </c>
      <c r="I3" s="88" t="s">
        <v>361</v>
      </c>
      <c r="J3" s="110">
        <f>+B40</f>
        <v>70</v>
      </c>
      <c r="K3" s="598">
        <f>+J3/H3</f>
        <v>0.44025157232704404</v>
      </c>
      <c r="L3" s="2" t="s">
        <v>565</v>
      </c>
      <c r="M3" s="610">
        <f>+K3</f>
        <v>0.44025157232704404</v>
      </c>
      <c r="N3" s="976">
        <v>0.6</v>
      </c>
      <c r="O3" s="976">
        <f>SUM(M3:M21)/9</f>
        <v>0.74265255731922397</v>
      </c>
      <c r="P3" s="976">
        <f>+N3*O3</f>
        <v>0.44559153439153437</v>
      </c>
      <c r="Q3" s="300" t="s">
        <v>360</v>
      </c>
      <c r="R3" s="322">
        <f>+B54</f>
        <v>88</v>
      </c>
      <c r="S3" s="300" t="s">
        <v>361</v>
      </c>
      <c r="T3" s="322">
        <f>+B58</f>
        <v>88</v>
      </c>
      <c r="U3" s="611">
        <f>+T3/R3</f>
        <v>1</v>
      </c>
      <c r="V3" s="2" t="s">
        <v>648</v>
      </c>
      <c r="W3" s="610">
        <f>+U3</f>
        <v>1</v>
      </c>
      <c r="X3" s="976">
        <v>0.7</v>
      </c>
      <c r="Y3" s="976">
        <f>SUM(W3:W21)/9</f>
        <v>0.65995975130216378</v>
      </c>
      <c r="Z3" s="978">
        <f>+X3*Y3</f>
        <v>0.46197182591151459</v>
      </c>
      <c r="AA3" s="511" t="s">
        <v>360</v>
      </c>
      <c r="AB3" s="474">
        <f>+B71+B79</f>
        <v>129</v>
      </c>
      <c r="AC3" s="426" t="s">
        <v>361</v>
      </c>
      <c r="AD3" s="522">
        <f>+B75+B83</f>
        <v>80</v>
      </c>
      <c r="AE3" s="560">
        <f>+AD3/AB3</f>
        <v>0.62015503875968991</v>
      </c>
      <c r="AF3" s="602" t="s">
        <v>784</v>
      </c>
      <c r="AG3" s="70">
        <f>+AE3</f>
        <v>0.62015503875968991</v>
      </c>
      <c r="AH3" s="976">
        <v>0.7</v>
      </c>
      <c r="AI3" s="976">
        <f>SUM(AG3:AG21)/9</f>
        <v>0.76357355673902438</v>
      </c>
      <c r="AJ3" s="978">
        <f>+AH3*AI3</f>
        <v>0.53450148971731704</v>
      </c>
      <c r="AK3" s="720" t="s">
        <v>360</v>
      </c>
      <c r="AL3" s="677">
        <f>+B86</f>
        <v>120</v>
      </c>
      <c r="AM3" s="683" t="s">
        <v>361</v>
      </c>
      <c r="AN3" s="721">
        <f>+B90</f>
        <v>118</v>
      </c>
      <c r="AO3" s="638">
        <f>+AN3/AL3</f>
        <v>0.98333333333333328</v>
      </c>
      <c r="AP3" s="780" t="s">
        <v>863</v>
      </c>
      <c r="AQ3" s="269">
        <v>1</v>
      </c>
      <c r="AR3" s="977">
        <v>0.7</v>
      </c>
      <c r="AS3" s="977">
        <f>SUM(AQ3:AQ23)/10</f>
        <v>0.70692983920841057</v>
      </c>
      <c r="AT3" s="980">
        <f>+AR3*AS3</f>
        <v>0.49485088744588734</v>
      </c>
      <c r="AU3" s="854" t="s">
        <v>360</v>
      </c>
      <c r="AV3" s="322">
        <f>+B93</f>
        <v>255</v>
      </c>
      <c r="AW3" s="300" t="s">
        <v>361</v>
      </c>
      <c r="AX3" s="339">
        <f>+B97</f>
        <v>255</v>
      </c>
      <c r="AY3" s="638">
        <f>+AX3/AV3</f>
        <v>1</v>
      </c>
      <c r="AZ3" s="780" t="s">
        <v>930</v>
      </c>
      <c r="BA3" s="269">
        <v>1</v>
      </c>
      <c r="BB3" s="977">
        <v>0.7</v>
      </c>
      <c r="BC3" s="977">
        <f>SUM(BA3:BA23)/9</f>
        <v>0.90395175848117026</v>
      </c>
      <c r="BD3" s="980">
        <f>+BB3*BC3</f>
        <v>0.63276623093681916</v>
      </c>
      <c r="BE3" s="854" t="s">
        <v>360</v>
      </c>
      <c r="BF3" s="854"/>
      <c r="BG3" s="322">
        <f>+B100</f>
        <v>302</v>
      </c>
      <c r="BH3" s="300" t="s">
        <v>361</v>
      </c>
      <c r="BI3" s="339">
        <f>+B104</f>
        <v>302</v>
      </c>
      <c r="BJ3" s="638">
        <f>+BI3/BG3</f>
        <v>1</v>
      </c>
      <c r="BK3" s="780" t="s">
        <v>930</v>
      </c>
      <c r="BL3" s="269">
        <v>1</v>
      </c>
      <c r="BM3" s="977">
        <v>0.7</v>
      </c>
      <c r="BN3" s="977">
        <f>SUM(BL3:BL23)/9</f>
        <v>0.86868968779564815</v>
      </c>
      <c r="BO3" s="980">
        <f>+BM3*BN3</f>
        <v>0.60808278145695371</v>
      </c>
    </row>
    <row r="4" spans="1:67" ht="163.19999999999999" customHeight="1" x14ac:dyDescent="0.3">
      <c r="A4" s="970"/>
      <c r="B4" s="973"/>
      <c r="C4" s="938" t="s">
        <v>139</v>
      </c>
      <c r="D4" s="1511" t="s">
        <v>505</v>
      </c>
      <c r="E4" s="1493" t="s">
        <v>506</v>
      </c>
      <c r="F4" s="1493" t="s">
        <v>507</v>
      </c>
      <c r="G4" s="1196" t="s">
        <v>366</v>
      </c>
      <c r="H4" s="1513">
        <f>+F36</f>
        <v>6.0767590618336884</v>
      </c>
      <c r="I4" s="1496" t="s">
        <v>365</v>
      </c>
      <c r="J4" s="1486">
        <f>+H4/J3</f>
        <v>8.6810843740481258E-2</v>
      </c>
      <c r="K4" s="1512">
        <f>+J4</f>
        <v>8.6810843740481258E-2</v>
      </c>
      <c r="L4" s="985" t="s">
        <v>566</v>
      </c>
      <c r="M4" s="1510">
        <v>0.86799999999999999</v>
      </c>
      <c r="N4" s="976"/>
      <c r="O4" s="976"/>
      <c r="P4" s="976"/>
      <c r="Q4" s="1508" t="s">
        <v>366</v>
      </c>
      <c r="R4" s="1509">
        <f>+F53</f>
        <v>38</v>
      </c>
      <c r="S4" s="1420" t="s">
        <v>365</v>
      </c>
      <c r="T4" s="1492">
        <f>+R4/T3</f>
        <v>0.43181818181818182</v>
      </c>
      <c r="U4" s="1487">
        <f>+T4</f>
        <v>0.43181818181818182</v>
      </c>
      <c r="V4" s="985" t="s">
        <v>649</v>
      </c>
      <c r="W4" s="1510">
        <v>1</v>
      </c>
      <c r="X4" s="976"/>
      <c r="Y4" s="976"/>
      <c r="Z4" s="978"/>
      <c r="AA4" s="1485" t="s">
        <v>366</v>
      </c>
      <c r="AB4" s="1490">
        <f>+F70+F78</f>
        <v>15</v>
      </c>
      <c r="AC4" s="1379" t="s">
        <v>365</v>
      </c>
      <c r="AD4" s="1227">
        <f>+AB4/AD3</f>
        <v>0.1875</v>
      </c>
      <c r="AE4" s="989">
        <f>+AD4</f>
        <v>0.1875</v>
      </c>
      <c r="AF4" s="1484" t="s">
        <v>786</v>
      </c>
      <c r="AG4" s="1491">
        <v>1</v>
      </c>
      <c r="AH4" s="976"/>
      <c r="AI4" s="976"/>
      <c r="AJ4" s="978"/>
      <c r="AK4" s="1476" t="s">
        <v>366</v>
      </c>
      <c r="AL4" s="1477">
        <f>+F85</f>
        <v>34</v>
      </c>
      <c r="AM4" s="1351" t="s">
        <v>365</v>
      </c>
      <c r="AN4" s="1468">
        <f>+AL4/AN3</f>
        <v>0.28813559322033899</v>
      </c>
      <c r="AO4" s="989">
        <f>+AN4</f>
        <v>0.28813559322033899</v>
      </c>
      <c r="AP4" s="1470" t="s">
        <v>864</v>
      </c>
      <c r="AQ4" s="984">
        <v>1</v>
      </c>
      <c r="AR4" s="1364"/>
      <c r="AS4" s="1364"/>
      <c r="AT4" s="1367"/>
      <c r="AU4" s="1516" t="s">
        <v>366</v>
      </c>
      <c r="AV4" s="1509">
        <f>+F92</f>
        <v>19</v>
      </c>
      <c r="AW4" s="1420" t="s">
        <v>365</v>
      </c>
      <c r="AX4" s="1157">
        <f>+AV4/AX3</f>
        <v>7.4509803921568626E-2</v>
      </c>
      <c r="AY4" s="958">
        <f>+AX4</f>
        <v>7.4509803921568626E-2</v>
      </c>
      <c r="AZ4" s="1470" t="s">
        <v>931</v>
      </c>
      <c r="BA4" s="984">
        <f>7.45/10</f>
        <v>0.745</v>
      </c>
      <c r="BB4" s="1364"/>
      <c r="BC4" s="1364"/>
      <c r="BD4" s="1367"/>
      <c r="BE4" s="1516" t="s">
        <v>366</v>
      </c>
      <c r="BF4" s="854"/>
      <c r="BG4" s="1509">
        <f>+F99</f>
        <v>84</v>
      </c>
      <c r="BH4" s="1420" t="s">
        <v>365</v>
      </c>
      <c r="BI4" s="1157">
        <f>+BG4/BI3</f>
        <v>0.27814569536423839</v>
      </c>
      <c r="BJ4" s="989">
        <f>+BI4</f>
        <v>0.27814569536423839</v>
      </c>
      <c r="BK4" s="1470" t="s">
        <v>931</v>
      </c>
      <c r="BL4" s="984">
        <f>7.45/10</f>
        <v>0.745</v>
      </c>
      <c r="BM4" s="1364"/>
      <c r="BN4" s="1364"/>
      <c r="BO4" s="1367"/>
    </row>
    <row r="5" spans="1:67" ht="163.19999999999999" customHeight="1" x14ac:dyDescent="0.3">
      <c r="A5" s="970"/>
      <c r="B5" s="973"/>
      <c r="C5" s="938" t="s">
        <v>143</v>
      </c>
      <c r="D5" s="1511"/>
      <c r="E5" s="1493"/>
      <c r="F5" s="1493"/>
      <c r="G5" s="1196"/>
      <c r="H5" s="1513"/>
      <c r="I5" s="1496"/>
      <c r="J5" s="1486"/>
      <c r="K5" s="1512"/>
      <c r="L5" s="985"/>
      <c r="M5" s="1510"/>
      <c r="N5" s="976"/>
      <c r="O5" s="976"/>
      <c r="P5" s="976"/>
      <c r="Q5" s="1508"/>
      <c r="R5" s="1509"/>
      <c r="S5" s="1420"/>
      <c r="T5" s="1492"/>
      <c r="U5" s="1487"/>
      <c r="V5" s="985"/>
      <c r="W5" s="1510"/>
      <c r="X5" s="976"/>
      <c r="Y5" s="976"/>
      <c r="Z5" s="978"/>
      <c r="AA5" s="1485"/>
      <c r="AB5" s="1490"/>
      <c r="AC5" s="1379"/>
      <c r="AD5" s="1227"/>
      <c r="AE5" s="989"/>
      <c r="AF5" s="1484"/>
      <c r="AG5" s="1491"/>
      <c r="AH5" s="976"/>
      <c r="AI5" s="976"/>
      <c r="AJ5" s="978"/>
      <c r="AK5" s="1476"/>
      <c r="AL5" s="1477"/>
      <c r="AM5" s="1351"/>
      <c r="AN5" s="1468"/>
      <c r="AO5" s="989"/>
      <c r="AP5" s="1470"/>
      <c r="AQ5" s="984"/>
      <c r="AR5" s="1364"/>
      <c r="AS5" s="1364"/>
      <c r="AT5" s="1367"/>
      <c r="AU5" s="1516"/>
      <c r="AV5" s="1509"/>
      <c r="AW5" s="1420"/>
      <c r="AX5" s="1157"/>
      <c r="AY5" s="958"/>
      <c r="AZ5" s="1470"/>
      <c r="BA5" s="984"/>
      <c r="BB5" s="1364"/>
      <c r="BC5" s="1364"/>
      <c r="BD5" s="1367"/>
      <c r="BE5" s="1516"/>
      <c r="BF5" s="854"/>
      <c r="BG5" s="1509"/>
      <c r="BH5" s="1420"/>
      <c r="BI5" s="1157"/>
      <c r="BJ5" s="989"/>
      <c r="BK5" s="1470"/>
      <c r="BL5" s="984"/>
      <c r="BM5" s="1364"/>
      <c r="BN5" s="1364"/>
      <c r="BO5" s="1367"/>
    </row>
    <row r="6" spans="1:67" ht="129" customHeight="1" x14ac:dyDescent="0.3">
      <c r="A6" s="970"/>
      <c r="B6" s="973"/>
      <c r="C6" s="938" t="s">
        <v>145</v>
      </c>
      <c r="D6" s="1493" t="s">
        <v>509</v>
      </c>
      <c r="E6" s="1493" t="s">
        <v>511</v>
      </c>
      <c r="F6" s="1493" t="s">
        <v>510</v>
      </c>
      <c r="G6" s="1196" t="s">
        <v>367</v>
      </c>
      <c r="H6" s="955">
        <f>+F35+F37</f>
        <v>12</v>
      </c>
      <c r="I6" s="1496" t="s">
        <v>368</v>
      </c>
      <c r="J6" s="1486">
        <f>+H6/H4</f>
        <v>1.9747368421052633</v>
      </c>
      <c r="K6" s="1487">
        <f>+J6</f>
        <v>1.9747368421052633</v>
      </c>
      <c r="L6" s="985" t="s">
        <v>567</v>
      </c>
      <c r="M6" s="1488">
        <v>1</v>
      </c>
      <c r="N6" s="976"/>
      <c r="O6" s="976"/>
      <c r="P6" s="976"/>
      <c r="Q6" s="1508" t="s">
        <v>367</v>
      </c>
      <c r="R6" s="1419">
        <f>+F54</f>
        <v>29</v>
      </c>
      <c r="S6" s="1420" t="s">
        <v>368</v>
      </c>
      <c r="T6" s="1492">
        <f>+R6/R4</f>
        <v>0.76315789473684215</v>
      </c>
      <c r="U6" s="1487">
        <f>+T6</f>
        <v>0.76315789473684215</v>
      </c>
      <c r="V6" s="985" t="s">
        <v>650</v>
      </c>
      <c r="W6" s="1488">
        <v>1</v>
      </c>
      <c r="X6" s="976"/>
      <c r="Y6" s="976"/>
      <c r="Z6" s="978"/>
      <c r="AA6" s="1485" t="s">
        <v>367</v>
      </c>
      <c r="AB6" s="1378">
        <f>+F71+F79</f>
        <v>20</v>
      </c>
      <c r="AC6" s="1379" t="s">
        <v>368</v>
      </c>
      <c r="AD6" s="1227">
        <f>+AB6/AB4</f>
        <v>1.3333333333333333</v>
      </c>
      <c r="AE6" s="989">
        <f>+AD6</f>
        <v>1.3333333333333333</v>
      </c>
      <c r="AF6" s="1484" t="s">
        <v>785</v>
      </c>
      <c r="AG6" s="1097">
        <v>1</v>
      </c>
      <c r="AH6" s="976"/>
      <c r="AI6" s="976"/>
      <c r="AJ6" s="978"/>
      <c r="AK6" s="1476" t="s">
        <v>367</v>
      </c>
      <c r="AL6" s="1350">
        <f>+F86</f>
        <v>91</v>
      </c>
      <c r="AM6" s="1351" t="s">
        <v>368</v>
      </c>
      <c r="AN6" s="1468">
        <f>+AL6/AL4</f>
        <v>2.6764705882352939</v>
      </c>
      <c r="AO6" s="989">
        <f>+AN6</f>
        <v>2.6764705882352939</v>
      </c>
      <c r="AP6" s="1470" t="s">
        <v>865</v>
      </c>
      <c r="AQ6" s="990">
        <v>1</v>
      </c>
      <c r="AR6" s="1364"/>
      <c r="AS6" s="1364"/>
      <c r="AT6" s="1367"/>
      <c r="AU6" s="1516" t="s">
        <v>367</v>
      </c>
      <c r="AV6" s="1419">
        <f>+F93</f>
        <v>14</v>
      </c>
      <c r="AW6" s="1420" t="s">
        <v>368</v>
      </c>
      <c r="AX6" s="1157">
        <f>+AV6/AV4</f>
        <v>0.73684210526315785</v>
      </c>
      <c r="AY6" s="989">
        <f>+AX6</f>
        <v>0.73684210526315785</v>
      </c>
      <c r="AZ6" s="1470" t="s">
        <v>932</v>
      </c>
      <c r="BA6" s="990">
        <v>1</v>
      </c>
      <c r="BB6" s="1364"/>
      <c r="BC6" s="1364"/>
      <c r="BD6" s="1367"/>
      <c r="BE6" s="1516" t="s">
        <v>367</v>
      </c>
      <c r="BF6" s="854"/>
      <c r="BG6" s="1419">
        <f>+F100</f>
        <v>95</v>
      </c>
      <c r="BH6" s="1420" t="s">
        <v>368</v>
      </c>
      <c r="BI6" s="1157">
        <f>+BG6/BG4</f>
        <v>1.1309523809523809</v>
      </c>
      <c r="BJ6" s="989">
        <f>+BI6</f>
        <v>1.1309523809523809</v>
      </c>
      <c r="BK6" s="1470" t="s">
        <v>932</v>
      </c>
      <c r="BL6" s="990">
        <v>1</v>
      </c>
      <c r="BM6" s="1364"/>
      <c r="BN6" s="1364"/>
      <c r="BO6" s="1367"/>
    </row>
    <row r="7" spans="1:67" ht="129" customHeight="1" x14ac:dyDescent="0.3">
      <c r="A7" s="970"/>
      <c r="B7" s="973"/>
      <c r="C7" s="938" t="s">
        <v>148</v>
      </c>
      <c r="D7" s="1493"/>
      <c r="E7" s="1493"/>
      <c r="F7" s="1493"/>
      <c r="G7" s="1196"/>
      <c r="H7" s="955"/>
      <c r="I7" s="1496"/>
      <c r="J7" s="1486"/>
      <c r="K7" s="1487"/>
      <c r="L7" s="985"/>
      <c r="M7" s="1488"/>
      <c r="N7" s="976"/>
      <c r="O7" s="976"/>
      <c r="P7" s="976"/>
      <c r="Q7" s="1508"/>
      <c r="R7" s="1419"/>
      <c r="S7" s="1420"/>
      <c r="T7" s="1492"/>
      <c r="U7" s="1487"/>
      <c r="V7" s="985"/>
      <c r="W7" s="1488"/>
      <c r="X7" s="976"/>
      <c r="Y7" s="976"/>
      <c r="Z7" s="978"/>
      <c r="AA7" s="1485"/>
      <c r="AB7" s="1378"/>
      <c r="AC7" s="1379"/>
      <c r="AD7" s="1227"/>
      <c r="AE7" s="989"/>
      <c r="AF7" s="1484"/>
      <c r="AG7" s="1097"/>
      <c r="AH7" s="976"/>
      <c r="AI7" s="976"/>
      <c r="AJ7" s="978"/>
      <c r="AK7" s="1476"/>
      <c r="AL7" s="1350"/>
      <c r="AM7" s="1351"/>
      <c r="AN7" s="1468"/>
      <c r="AO7" s="989"/>
      <c r="AP7" s="1470"/>
      <c r="AQ7" s="990"/>
      <c r="AR7" s="1364"/>
      <c r="AS7" s="1364"/>
      <c r="AT7" s="1367"/>
      <c r="AU7" s="1516"/>
      <c r="AV7" s="1419"/>
      <c r="AW7" s="1420"/>
      <c r="AX7" s="1157"/>
      <c r="AY7" s="989"/>
      <c r="AZ7" s="1470"/>
      <c r="BA7" s="990"/>
      <c r="BB7" s="1364"/>
      <c r="BC7" s="1364"/>
      <c r="BD7" s="1367"/>
      <c r="BE7" s="1516"/>
      <c r="BF7" s="854"/>
      <c r="BG7" s="1419"/>
      <c r="BH7" s="1420"/>
      <c r="BI7" s="1157"/>
      <c r="BJ7" s="989"/>
      <c r="BK7" s="1470"/>
      <c r="BL7" s="990"/>
      <c r="BM7" s="1364"/>
      <c r="BN7" s="1364"/>
      <c r="BO7" s="1367"/>
    </row>
    <row r="8" spans="1:67" ht="129.6" customHeight="1" x14ac:dyDescent="0.3">
      <c r="A8" s="970"/>
      <c r="B8" s="973"/>
      <c r="C8" s="938" t="s">
        <v>150</v>
      </c>
      <c r="D8" s="1493" t="s">
        <v>513</v>
      </c>
      <c r="E8" s="1493" t="s">
        <v>515</v>
      </c>
      <c r="F8" s="1493" t="s">
        <v>514</v>
      </c>
      <c r="G8" s="1196" t="s">
        <v>369</v>
      </c>
      <c r="H8" s="955">
        <f>+F37</f>
        <v>3</v>
      </c>
      <c r="I8" s="1496" t="s">
        <v>370</v>
      </c>
      <c r="J8" s="1486">
        <f>+H8/H6</f>
        <v>0.25</v>
      </c>
      <c r="K8" s="1487">
        <f>+J8</f>
        <v>0.25</v>
      </c>
      <c r="L8" s="985" t="s">
        <v>568</v>
      </c>
      <c r="M8" s="1488">
        <v>1</v>
      </c>
      <c r="N8" s="976"/>
      <c r="O8" s="976"/>
      <c r="P8" s="976"/>
      <c r="Q8" s="1508" t="s">
        <v>369</v>
      </c>
      <c r="R8" s="1419">
        <f>+F55</f>
        <v>4</v>
      </c>
      <c r="S8" s="1420" t="s">
        <v>370</v>
      </c>
      <c r="T8" s="1492">
        <f>+R8/R6</f>
        <v>0.13793103448275862</v>
      </c>
      <c r="U8" s="1487">
        <f>+T8</f>
        <v>0.13793103448275862</v>
      </c>
      <c r="V8" s="985" t="s">
        <v>651</v>
      </c>
      <c r="W8" s="1488">
        <v>1</v>
      </c>
      <c r="X8" s="976"/>
      <c r="Y8" s="976"/>
      <c r="Z8" s="978"/>
      <c r="AA8" s="1485" t="s">
        <v>369</v>
      </c>
      <c r="AB8" s="1378">
        <f>+F72+F80</f>
        <v>7</v>
      </c>
      <c r="AC8" s="1379" t="s">
        <v>370</v>
      </c>
      <c r="AD8" s="1227">
        <f>+AB8/AB6</f>
        <v>0.35</v>
      </c>
      <c r="AE8" s="989">
        <f>+AD8</f>
        <v>0.35</v>
      </c>
      <c r="AF8" s="1484" t="s">
        <v>787</v>
      </c>
      <c r="AG8" s="1097">
        <v>1</v>
      </c>
      <c r="AH8" s="976"/>
      <c r="AI8" s="976"/>
      <c r="AJ8" s="978"/>
      <c r="AK8" s="1476" t="s">
        <v>369</v>
      </c>
      <c r="AL8" s="1350">
        <f>+F87</f>
        <v>1</v>
      </c>
      <c r="AM8" s="1351" t="s">
        <v>370</v>
      </c>
      <c r="AN8" s="1468">
        <f>+AL8/AL6</f>
        <v>1.098901098901099E-2</v>
      </c>
      <c r="AO8" s="1469">
        <f>+AN8</f>
        <v>1.098901098901099E-2</v>
      </c>
      <c r="AP8" s="1470" t="s">
        <v>866</v>
      </c>
      <c r="AQ8" s="990">
        <v>0</v>
      </c>
      <c r="AR8" s="1364"/>
      <c r="AS8" s="1364"/>
      <c r="AT8" s="1367"/>
      <c r="AU8" s="1516" t="s">
        <v>369</v>
      </c>
      <c r="AV8" s="1419">
        <f>+F94</f>
        <v>6</v>
      </c>
      <c r="AW8" s="1420" t="s">
        <v>370</v>
      </c>
      <c r="AX8" s="1157">
        <f>+AV8/AV6</f>
        <v>0.42857142857142855</v>
      </c>
      <c r="AY8" s="989">
        <f>+AX8</f>
        <v>0.42857142857142855</v>
      </c>
      <c r="AZ8" s="1470" t="s">
        <v>933</v>
      </c>
      <c r="BA8" s="990">
        <v>1</v>
      </c>
      <c r="BB8" s="1364"/>
      <c r="BC8" s="1364"/>
      <c r="BD8" s="1367"/>
      <c r="BE8" s="1516" t="s">
        <v>369</v>
      </c>
      <c r="BF8" s="854"/>
      <c r="BG8" s="1419">
        <f>+F101</f>
        <v>5</v>
      </c>
      <c r="BH8" s="1420" t="s">
        <v>370</v>
      </c>
      <c r="BI8" s="1157">
        <f>+BG8/BG6</f>
        <v>5.2631578947368418E-2</v>
      </c>
      <c r="BJ8" s="958">
        <f>+BI8</f>
        <v>5.2631578947368418E-2</v>
      </c>
      <c r="BK8" s="1470" t="s">
        <v>933</v>
      </c>
      <c r="BL8" s="990">
        <v>1</v>
      </c>
      <c r="BM8" s="1364"/>
      <c r="BN8" s="1364"/>
      <c r="BO8" s="1367"/>
    </row>
    <row r="9" spans="1:67" ht="129.6" customHeight="1" x14ac:dyDescent="0.3">
      <c r="A9" s="970"/>
      <c r="B9" s="973"/>
      <c r="C9" s="938" t="s">
        <v>153</v>
      </c>
      <c r="D9" s="1493"/>
      <c r="E9" s="1495"/>
      <c r="F9" s="1493"/>
      <c r="G9" s="1196"/>
      <c r="H9" s="955"/>
      <c r="I9" s="1496"/>
      <c r="J9" s="1486"/>
      <c r="K9" s="1487"/>
      <c r="L9" s="985"/>
      <c r="M9" s="1488"/>
      <c r="N9" s="976"/>
      <c r="O9" s="976"/>
      <c r="P9" s="976"/>
      <c r="Q9" s="1508"/>
      <c r="R9" s="1419"/>
      <c r="S9" s="1420"/>
      <c r="T9" s="1492"/>
      <c r="U9" s="1487"/>
      <c r="V9" s="985"/>
      <c r="W9" s="1488"/>
      <c r="X9" s="976"/>
      <c r="Y9" s="976"/>
      <c r="Z9" s="978"/>
      <c r="AA9" s="1485"/>
      <c r="AB9" s="1378"/>
      <c r="AC9" s="1379"/>
      <c r="AD9" s="1227"/>
      <c r="AE9" s="989"/>
      <c r="AF9" s="1484"/>
      <c r="AG9" s="1097"/>
      <c r="AH9" s="976"/>
      <c r="AI9" s="976"/>
      <c r="AJ9" s="978"/>
      <c r="AK9" s="1476"/>
      <c r="AL9" s="1350"/>
      <c r="AM9" s="1351"/>
      <c r="AN9" s="1468"/>
      <c r="AO9" s="1469"/>
      <c r="AP9" s="1470"/>
      <c r="AQ9" s="990"/>
      <c r="AR9" s="1364"/>
      <c r="AS9" s="1364"/>
      <c r="AT9" s="1367"/>
      <c r="AU9" s="1516"/>
      <c r="AV9" s="1419"/>
      <c r="AW9" s="1420"/>
      <c r="AX9" s="1157"/>
      <c r="AY9" s="989"/>
      <c r="AZ9" s="1470"/>
      <c r="BA9" s="990"/>
      <c r="BB9" s="1364"/>
      <c r="BC9" s="1364"/>
      <c r="BD9" s="1367"/>
      <c r="BE9" s="1516"/>
      <c r="BF9" s="854"/>
      <c r="BG9" s="1419"/>
      <c r="BH9" s="1420"/>
      <c r="BI9" s="1157"/>
      <c r="BJ9" s="958"/>
      <c r="BK9" s="1470"/>
      <c r="BL9" s="990"/>
      <c r="BM9" s="1364"/>
      <c r="BN9" s="1364"/>
      <c r="BO9" s="1367"/>
    </row>
    <row r="10" spans="1:67" ht="313.8" customHeight="1" x14ac:dyDescent="0.3">
      <c r="A10" s="970"/>
      <c r="B10" s="973"/>
      <c r="C10" s="938" t="s">
        <v>371</v>
      </c>
      <c r="D10" s="938" t="s">
        <v>517</v>
      </c>
      <c r="E10" s="938" t="s">
        <v>569</v>
      </c>
      <c r="F10" s="938" t="s">
        <v>518</v>
      </c>
      <c r="G10" s="88" t="s">
        <v>360</v>
      </c>
      <c r="H10" s="191">
        <f>+H3</f>
        <v>159</v>
      </c>
      <c r="I10" s="89" t="s">
        <v>372</v>
      </c>
      <c r="J10" s="191">
        <f>+H3-J3</f>
        <v>89</v>
      </c>
      <c r="K10" s="600">
        <f>+J10/H10</f>
        <v>0.55974842767295596</v>
      </c>
      <c r="L10" s="6" t="s">
        <v>570</v>
      </c>
      <c r="M10" s="612">
        <f>+K10</f>
        <v>0.55974842767295596</v>
      </c>
      <c r="N10" s="976"/>
      <c r="O10" s="976"/>
      <c r="P10" s="976"/>
      <c r="Q10" s="300" t="s">
        <v>360</v>
      </c>
      <c r="R10" s="308">
        <f>+B54</f>
        <v>88</v>
      </c>
      <c r="S10" s="297" t="s">
        <v>372</v>
      </c>
      <c r="T10" s="308">
        <f>+R3-T3</f>
        <v>0</v>
      </c>
      <c r="U10" s="599">
        <f>+T10/R10</f>
        <v>0</v>
      </c>
      <c r="V10" s="6" t="s">
        <v>652</v>
      </c>
      <c r="W10" s="612">
        <f>+U10</f>
        <v>0</v>
      </c>
      <c r="X10" s="976"/>
      <c r="Y10" s="976"/>
      <c r="Z10" s="978"/>
      <c r="AA10" s="511" t="s">
        <v>360</v>
      </c>
      <c r="AB10" s="440">
        <f>+AB3</f>
        <v>129</v>
      </c>
      <c r="AC10" s="423" t="s">
        <v>372</v>
      </c>
      <c r="AD10" s="523">
        <f>+AB3-AD3</f>
        <v>49</v>
      </c>
      <c r="AE10" s="605">
        <f>+AD10/AB10</f>
        <v>0.37984496124031009</v>
      </c>
      <c r="AF10" s="429" t="s">
        <v>788</v>
      </c>
      <c r="AG10" s="71">
        <f>+AE10</f>
        <v>0.37984496124031009</v>
      </c>
      <c r="AH10" s="976"/>
      <c r="AI10" s="976"/>
      <c r="AJ10" s="978"/>
      <c r="AK10" s="720" t="s">
        <v>360</v>
      </c>
      <c r="AL10" s="682">
        <f>+AL3</f>
        <v>120</v>
      </c>
      <c r="AM10" s="678" t="s">
        <v>372</v>
      </c>
      <c r="AN10" s="722">
        <f>+B88</f>
        <v>2</v>
      </c>
      <c r="AO10" s="732">
        <f>+AN10/AL10</f>
        <v>1.6666666666666666E-2</v>
      </c>
      <c r="AP10" s="734" t="s">
        <v>867</v>
      </c>
      <c r="AQ10" s="782">
        <f>1-AO10%</f>
        <v>0.99983333333333335</v>
      </c>
      <c r="AR10" s="1364"/>
      <c r="AS10" s="1364"/>
      <c r="AT10" s="1367"/>
      <c r="AU10" s="854" t="s">
        <v>360</v>
      </c>
      <c r="AV10" s="308">
        <f>+AV3</f>
        <v>255</v>
      </c>
      <c r="AW10" s="297" t="s">
        <v>372</v>
      </c>
      <c r="AX10" s="340">
        <f>+L88</f>
        <v>0</v>
      </c>
      <c r="AY10" s="640">
        <f>+AX10/AV10</f>
        <v>0</v>
      </c>
      <c r="AZ10" s="734" t="s">
        <v>934</v>
      </c>
      <c r="BA10" s="782">
        <f>1-AY10%</f>
        <v>1</v>
      </c>
      <c r="BB10" s="1364"/>
      <c r="BC10" s="1364"/>
      <c r="BD10" s="1367"/>
      <c r="BE10" s="854" t="s">
        <v>360</v>
      </c>
      <c r="BF10" s="854"/>
      <c r="BG10" s="308">
        <f>+BG3</f>
        <v>302</v>
      </c>
      <c r="BH10" s="297" t="s">
        <v>372</v>
      </c>
      <c r="BI10" s="340">
        <f>+V88</f>
        <v>0</v>
      </c>
      <c r="BJ10" s="640">
        <f>+BI10/BG10</f>
        <v>0</v>
      </c>
      <c r="BK10" s="734" t="s">
        <v>934</v>
      </c>
      <c r="BL10" s="782">
        <f>1-BJ10%</f>
        <v>1</v>
      </c>
      <c r="BM10" s="1364"/>
      <c r="BN10" s="1364"/>
      <c r="BO10" s="1367"/>
    </row>
    <row r="11" spans="1:67" ht="315" customHeight="1" x14ac:dyDescent="0.3">
      <c r="A11" s="970"/>
      <c r="B11" s="973"/>
      <c r="C11" s="938" t="s">
        <v>520</v>
      </c>
      <c r="D11" s="938" t="s">
        <v>521</v>
      </c>
      <c r="E11" s="938" t="s">
        <v>523</v>
      </c>
      <c r="F11" s="938" t="s">
        <v>522</v>
      </c>
      <c r="G11" s="613" t="s">
        <v>3</v>
      </c>
      <c r="H11" s="98">
        <f>35*18</f>
        <v>630</v>
      </c>
      <c r="I11" s="88" t="s">
        <v>374</v>
      </c>
      <c r="J11" s="191">
        <f>+C36</f>
        <v>190</v>
      </c>
      <c r="K11" s="600">
        <f>+J11/H11</f>
        <v>0.30158730158730157</v>
      </c>
      <c r="L11" s="6" t="s">
        <v>574</v>
      </c>
      <c r="M11" s="614">
        <f>+K11</f>
        <v>0.30158730158730157</v>
      </c>
      <c r="N11" s="976"/>
      <c r="O11" s="976"/>
      <c r="P11" s="976"/>
      <c r="Q11" s="615" t="s">
        <v>3</v>
      </c>
      <c r="R11" s="321">
        <f>35*24</f>
        <v>840</v>
      </c>
      <c r="S11" s="300" t="s">
        <v>374</v>
      </c>
      <c r="T11" s="308">
        <f>+C54</f>
        <v>257</v>
      </c>
      <c r="U11" s="600">
        <f>+T11/R11</f>
        <v>0.30595238095238098</v>
      </c>
      <c r="V11" s="6" t="s">
        <v>653</v>
      </c>
      <c r="W11" s="614">
        <f>+U11</f>
        <v>0.30595238095238098</v>
      </c>
      <c r="X11" s="976"/>
      <c r="Y11" s="976"/>
      <c r="Z11" s="978"/>
      <c r="AA11" s="631" t="s">
        <v>3</v>
      </c>
      <c r="AB11" s="473">
        <f>35*(20+24)</f>
        <v>1540</v>
      </c>
      <c r="AC11" s="426" t="s">
        <v>374</v>
      </c>
      <c r="AD11" s="523">
        <f>+C71+C79</f>
        <v>695</v>
      </c>
      <c r="AE11" s="605">
        <f>+AD11/AB11</f>
        <v>0.45129870129870131</v>
      </c>
      <c r="AF11" s="429" t="s">
        <v>789</v>
      </c>
      <c r="AG11" s="595">
        <f>+AE11</f>
        <v>0.45129870129870131</v>
      </c>
      <c r="AH11" s="976"/>
      <c r="AI11" s="976"/>
      <c r="AJ11" s="978"/>
      <c r="AK11" s="723" t="s">
        <v>3</v>
      </c>
      <c r="AL11" s="681">
        <f>35*(22)</f>
        <v>770</v>
      </c>
      <c r="AM11" s="683" t="s">
        <v>374</v>
      </c>
      <c r="AN11" s="722">
        <f>+C86</f>
        <v>392</v>
      </c>
      <c r="AO11" s="605">
        <f>+AN11/AL11</f>
        <v>0.50909090909090904</v>
      </c>
      <c r="AP11" s="734" t="s">
        <v>868</v>
      </c>
      <c r="AQ11" s="270">
        <f>+AO11</f>
        <v>0.50909090909090904</v>
      </c>
      <c r="AR11" s="1364"/>
      <c r="AS11" s="1364"/>
      <c r="AT11" s="1367"/>
      <c r="AU11" s="855" t="s">
        <v>3</v>
      </c>
      <c r="AV11" s="321">
        <f>35*(25)</f>
        <v>875</v>
      </c>
      <c r="AW11" s="300" t="s">
        <v>374</v>
      </c>
      <c r="AX11" s="340">
        <f>+C93</f>
        <v>654</v>
      </c>
      <c r="AY11" s="732">
        <f>+AX11/AV11</f>
        <v>0.74742857142857144</v>
      </c>
      <c r="AZ11" s="734" t="s">
        <v>935</v>
      </c>
      <c r="BA11" s="270">
        <f>+AY11</f>
        <v>0.74742857142857144</v>
      </c>
      <c r="BB11" s="1364"/>
      <c r="BC11" s="1364"/>
      <c r="BD11" s="1367"/>
      <c r="BE11" s="855" t="s">
        <v>3</v>
      </c>
      <c r="BF11" s="855"/>
      <c r="BG11" s="321">
        <f>35*(20)</f>
        <v>700</v>
      </c>
      <c r="BH11" s="300" t="s">
        <v>374</v>
      </c>
      <c r="BI11" s="340">
        <f>+C100</f>
        <v>538</v>
      </c>
      <c r="BJ11" s="732">
        <f>+BI11/BG11</f>
        <v>0.76857142857142857</v>
      </c>
      <c r="BK11" s="734" t="s">
        <v>935</v>
      </c>
      <c r="BL11" s="270">
        <f>+BJ11</f>
        <v>0.76857142857142857</v>
      </c>
      <c r="BM11" s="1364"/>
      <c r="BN11" s="1364"/>
      <c r="BO11" s="1367"/>
    </row>
    <row r="12" spans="1:67" x14ac:dyDescent="0.3">
      <c r="A12" s="970"/>
      <c r="B12" s="973"/>
      <c r="C12" s="1493" t="s">
        <v>75</v>
      </c>
      <c r="D12" s="1493" t="s">
        <v>525</v>
      </c>
      <c r="E12" s="1493" t="s">
        <v>526</v>
      </c>
      <c r="F12" s="1493" t="s">
        <v>528</v>
      </c>
      <c r="G12" s="144" t="s">
        <v>373</v>
      </c>
      <c r="H12" s="144" t="s">
        <v>210</v>
      </c>
      <c r="I12" s="213" t="s">
        <v>211</v>
      </c>
      <c r="J12" s="616" t="s">
        <v>212</v>
      </c>
      <c r="K12" s="1494">
        <f>AVERAGE(J13:J15)</f>
        <v>11.333333333333334</v>
      </c>
      <c r="L12" s="986" t="s">
        <v>571</v>
      </c>
      <c r="M12" s="1488">
        <v>1</v>
      </c>
      <c r="N12" s="976"/>
      <c r="O12" s="976"/>
      <c r="P12" s="976"/>
      <c r="Q12" s="332" t="s">
        <v>373</v>
      </c>
      <c r="R12" s="332" t="s">
        <v>210</v>
      </c>
      <c r="S12" s="309" t="s">
        <v>211</v>
      </c>
      <c r="T12" s="617" t="s">
        <v>212</v>
      </c>
      <c r="U12" s="1494">
        <f>AVERAGE(T13:T16)</f>
        <v>1.25</v>
      </c>
      <c r="V12" s="986" t="s">
        <v>654</v>
      </c>
      <c r="W12" s="1488">
        <v>1</v>
      </c>
      <c r="X12" s="976"/>
      <c r="Y12" s="976"/>
      <c r="Z12" s="978"/>
      <c r="AA12" s="632" t="s">
        <v>373</v>
      </c>
      <c r="AB12" s="525" t="s">
        <v>210</v>
      </c>
      <c r="AC12" s="526" t="s">
        <v>211</v>
      </c>
      <c r="AD12" s="527" t="s">
        <v>212</v>
      </c>
      <c r="AE12" s="1003">
        <f>AVERAGE(AD13:AD19)</f>
        <v>7</v>
      </c>
      <c r="AF12" s="1479" t="s">
        <v>790</v>
      </c>
      <c r="AG12" s="1097">
        <v>1</v>
      </c>
      <c r="AH12" s="976"/>
      <c r="AI12" s="976"/>
      <c r="AJ12" s="978"/>
      <c r="AK12" s="724" t="s">
        <v>373</v>
      </c>
      <c r="AL12" s="688" t="s">
        <v>210</v>
      </c>
      <c r="AM12" s="688" t="s">
        <v>211</v>
      </c>
      <c r="AN12" s="725" t="s">
        <v>212</v>
      </c>
      <c r="AO12" s="1003">
        <f>AVERAGE(AN13:AN19)</f>
        <v>1</v>
      </c>
      <c r="AP12" s="1391" t="s">
        <v>869</v>
      </c>
      <c r="AQ12" s="990">
        <v>1</v>
      </c>
      <c r="AR12" s="1364"/>
      <c r="AS12" s="1364"/>
      <c r="AT12" s="1367"/>
      <c r="AU12" s="856" t="s">
        <v>373</v>
      </c>
      <c r="AV12" s="309" t="s">
        <v>210</v>
      </c>
      <c r="AW12" s="309" t="s">
        <v>211</v>
      </c>
      <c r="AX12" s="342" t="s">
        <v>212</v>
      </c>
      <c r="AY12" s="1003">
        <f>AVERAGE(AX13:AX19)</f>
        <v>7</v>
      </c>
      <c r="AZ12" s="1391" t="s">
        <v>936</v>
      </c>
      <c r="BA12" s="990">
        <v>1</v>
      </c>
      <c r="BB12" s="1364"/>
      <c r="BC12" s="1364"/>
      <c r="BD12" s="1515"/>
      <c r="BE12" s="332" t="s">
        <v>373</v>
      </c>
      <c r="BF12" s="332"/>
      <c r="BG12" s="309" t="s">
        <v>210</v>
      </c>
      <c r="BH12" s="309" t="s">
        <v>211</v>
      </c>
      <c r="BI12" s="617" t="s">
        <v>212</v>
      </c>
      <c r="BJ12" s="1003">
        <f>AVERAGE(BI13:BI19)</f>
        <v>0.4</v>
      </c>
      <c r="BK12" s="1391" t="s">
        <v>936</v>
      </c>
      <c r="BL12" s="990">
        <v>1</v>
      </c>
      <c r="BM12" s="1364"/>
      <c r="BN12" s="1364"/>
      <c r="BO12" s="1367"/>
    </row>
    <row r="13" spans="1:67" x14ac:dyDescent="0.3">
      <c r="A13" s="970"/>
      <c r="B13" s="973"/>
      <c r="C13" s="1493"/>
      <c r="D13" s="1493"/>
      <c r="E13" s="1493"/>
      <c r="F13" s="1493"/>
      <c r="G13" s="88" t="s">
        <v>357</v>
      </c>
      <c r="H13" s="229">
        <v>45906</v>
      </c>
      <c r="I13" s="229">
        <v>45936</v>
      </c>
      <c r="J13" s="98">
        <v>30</v>
      </c>
      <c r="K13" s="1494"/>
      <c r="L13" s="1002"/>
      <c r="M13" s="1488"/>
      <c r="N13" s="976"/>
      <c r="O13" s="976"/>
      <c r="P13" s="976"/>
      <c r="Q13" s="300" t="s">
        <v>165</v>
      </c>
      <c r="R13" s="343">
        <v>45960</v>
      </c>
      <c r="S13" s="343">
        <v>45962</v>
      </c>
      <c r="T13" s="321">
        <f>_xlfn.DAYS(S13,R13)</f>
        <v>2</v>
      </c>
      <c r="U13" s="1494"/>
      <c r="V13" s="1002"/>
      <c r="W13" s="1488"/>
      <c r="X13" s="976"/>
      <c r="Y13" s="976"/>
      <c r="Z13" s="978"/>
      <c r="AA13" s="511" t="s">
        <v>710</v>
      </c>
      <c r="AB13" s="512">
        <v>45974</v>
      </c>
      <c r="AC13" s="512">
        <v>45974</v>
      </c>
      <c r="AD13" s="487">
        <f>_xlfn.DAYS(AC13,AB13)</f>
        <v>0</v>
      </c>
      <c r="AE13" s="1003"/>
      <c r="AF13" s="1480"/>
      <c r="AG13" s="1097"/>
      <c r="AH13" s="976"/>
      <c r="AI13" s="976"/>
      <c r="AJ13" s="978"/>
      <c r="AK13" s="680" t="s">
        <v>806</v>
      </c>
      <c r="AL13" s="693">
        <v>46062</v>
      </c>
      <c r="AM13" s="693">
        <v>46063</v>
      </c>
      <c r="AN13" s="691">
        <f>_xlfn.DAYS(AM13,AL13)</f>
        <v>1</v>
      </c>
      <c r="AO13" s="1003"/>
      <c r="AP13" s="1387"/>
      <c r="AQ13" s="990"/>
      <c r="AR13" s="1364"/>
      <c r="AS13" s="1364"/>
      <c r="AT13" s="1367"/>
      <c r="AU13" s="860" t="s">
        <v>884</v>
      </c>
      <c r="AV13" s="861">
        <v>46075</v>
      </c>
      <c r="AW13" s="861">
        <v>46104</v>
      </c>
      <c r="AX13" s="338">
        <v>29</v>
      </c>
      <c r="AY13" s="1003"/>
      <c r="AZ13" s="1387"/>
      <c r="BA13" s="990"/>
      <c r="BB13" s="1364"/>
      <c r="BC13" s="1364"/>
      <c r="BD13" s="1515"/>
      <c r="BE13" s="915" t="s">
        <v>884</v>
      </c>
      <c r="BF13" s="915"/>
      <c r="BG13" s="916">
        <v>46122</v>
      </c>
      <c r="BH13" s="916">
        <v>46124</v>
      </c>
      <c r="BI13" s="321">
        <f>_xlfn.DAYS(BH13,BG13)</f>
        <v>2</v>
      </c>
      <c r="BJ13" s="1003"/>
      <c r="BK13" s="1387"/>
      <c r="BL13" s="990"/>
      <c r="BM13" s="1364"/>
      <c r="BN13" s="1364"/>
      <c r="BO13" s="1367"/>
    </row>
    <row r="14" spans="1:67" x14ac:dyDescent="0.3">
      <c r="A14" s="970"/>
      <c r="B14" s="973"/>
      <c r="C14" s="1493"/>
      <c r="D14" s="1493"/>
      <c r="E14" s="1493"/>
      <c r="F14" s="1493"/>
      <c r="G14" s="88" t="s">
        <v>358</v>
      </c>
      <c r="H14" s="229">
        <v>45951</v>
      </c>
      <c r="I14" s="229">
        <v>45952</v>
      </c>
      <c r="J14" s="98">
        <v>1</v>
      </c>
      <c r="K14" s="1494"/>
      <c r="L14" s="1002"/>
      <c r="M14" s="1488"/>
      <c r="N14" s="976"/>
      <c r="O14" s="976"/>
      <c r="P14" s="976"/>
      <c r="Q14" s="300" t="s">
        <v>165</v>
      </c>
      <c r="R14" s="343">
        <v>45972</v>
      </c>
      <c r="S14" s="343">
        <v>45973</v>
      </c>
      <c r="T14" s="321">
        <f t="shared" ref="T14:T15" si="0">_xlfn.DAYS(S14,R14)</f>
        <v>1</v>
      </c>
      <c r="U14" s="1494"/>
      <c r="V14" s="1002"/>
      <c r="W14" s="1488"/>
      <c r="X14" s="976"/>
      <c r="Y14" s="976"/>
      <c r="Z14" s="978"/>
      <c r="AA14" s="511" t="s">
        <v>715</v>
      </c>
      <c r="AB14" s="512">
        <v>45983</v>
      </c>
      <c r="AC14" s="512">
        <v>45983</v>
      </c>
      <c r="AD14" s="487">
        <f t="shared" ref="AD14:AD19" si="1">_xlfn.DAYS(AC14,AB14)</f>
        <v>0</v>
      </c>
      <c r="AE14" s="1003"/>
      <c r="AF14" s="1480"/>
      <c r="AG14" s="1097"/>
      <c r="AH14" s="976"/>
      <c r="AI14" s="976"/>
      <c r="AJ14" s="978"/>
      <c r="AK14" s="720"/>
      <c r="AL14" s="690"/>
      <c r="AM14" s="690"/>
      <c r="AN14" s="691"/>
      <c r="AO14" s="1003"/>
      <c r="AP14" s="1387"/>
      <c r="AQ14" s="990"/>
      <c r="AR14" s="1364"/>
      <c r="AS14" s="1364"/>
      <c r="AT14" s="1367"/>
      <c r="AU14" s="862" t="s">
        <v>884</v>
      </c>
      <c r="AV14" s="863">
        <v>46091</v>
      </c>
      <c r="AW14" s="864">
        <v>46104</v>
      </c>
      <c r="AX14" s="338">
        <v>13</v>
      </c>
      <c r="AY14" s="1003"/>
      <c r="AZ14" s="1387"/>
      <c r="BA14" s="990"/>
      <c r="BB14" s="1364"/>
      <c r="BC14" s="1364"/>
      <c r="BD14" s="1515"/>
      <c r="BE14" s="917" t="s">
        <v>884</v>
      </c>
      <c r="BF14" s="917"/>
      <c r="BG14" s="918">
        <v>46128</v>
      </c>
      <c r="BH14" s="918">
        <v>46128</v>
      </c>
      <c r="BI14" s="321">
        <f t="shared" ref="BI14:BI17" si="2">_xlfn.DAYS(BH14,BG14)</f>
        <v>0</v>
      </c>
      <c r="BJ14" s="1003"/>
      <c r="BK14" s="1387"/>
      <c r="BL14" s="990"/>
      <c r="BM14" s="1364"/>
      <c r="BN14" s="1364"/>
      <c r="BO14" s="1367"/>
    </row>
    <row r="15" spans="1:67" x14ac:dyDescent="0.3">
      <c r="A15" s="970"/>
      <c r="B15" s="973"/>
      <c r="C15" s="1493"/>
      <c r="D15" s="1493"/>
      <c r="E15" s="1493"/>
      <c r="F15" s="1493"/>
      <c r="G15" s="88" t="s">
        <v>359</v>
      </c>
      <c r="H15" s="229">
        <v>45951</v>
      </c>
      <c r="I15" s="229">
        <v>45954</v>
      </c>
      <c r="J15" s="98">
        <v>3</v>
      </c>
      <c r="K15" s="1494"/>
      <c r="L15" s="1002"/>
      <c r="M15" s="1488"/>
      <c r="N15" s="976"/>
      <c r="O15" s="976"/>
      <c r="P15" s="976"/>
      <c r="Q15" s="300" t="s">
        <v>165</v>
      </c>
      <c r="R15" s="343">
        <v>45974</v>
      </c>
      <c r="S15" s="343">
        <v>45974</v>
      </c>
      <c r="T15" s="321">
        <f t="shared" si="0"/>
        <v>0</v>
      </c>
      <c r="U15" s="1494"/>
      <c r="V15" s="1002"/>
      <c r="W15" s="1488"/>
      <c r="X15" s="976"/>
      <c r="Y15" s="976"/>
      <c r="Z15" s="978"/>
      <c r="AA15" s="511" t="s">
        <v>718</v>
      </c>
      <c r="AB15" s="512">
        <v>45949</v>
      </c>
      <c r="AC15" s="512">
        <v>45990</v>
      </c>
      <c r="AD15" s="487">
        <f t="shared" si="1"/>
        <v>41</v>
      </c>
      <c r="AE15" s="1003"/>
      <c r="AF15" s="1480"/>
      <c r="AG15" s="1097"/>
      <c r="AH15" s="976"/>
      <c r="AI15" s="976"/>
      <c r="AJ15" s="978"/>
      <c r="AK15" s="720"/>
      <c r="AL15" s="690"/>
      <c r="AM15" s="690"/>
      <c r="AN15" s="691"/>
      <c r="AO15" s="1003"/>
      <c r="AP15" s="1387"/>
      <c r="AQ15" s="990"/>
      <c r="AR15" s="1364"/>
      <c r="AS15" s="1364"/>
      <c r="AT15" s="1367"/>
      <c r="AU15" s="862" t="s">
        <v>884</v>
      </c>
      <c r="AV15" s="863">
        <v>46103</v>
      </c>
      <c r="AW15" s="863">
        <v>46103</v>
      </c>
      <c r="AX15" s="338">
        <v>0</v>
      </c>
      <c r="AY15" s="1003"/>
      <c r="AZ15" s="1387"/>
      <c r="BA15" s="990"/>
      <c r="BB15" s="1364"/>
      <c r="BC15" s="1364"/>
      <c r="BD15" s="1515"/>
      <c r="BE15" s="915" t="s">
        <v>884</v>
      </c>
      <c r="BF15" s="915"/>
      <c r="BG15" s="916">
        <v>46130</v>
      </c>
      <c r="BH15" s="916">
        <v>46130</v>
      </c>
      <c r="BI15" s="321">
        <f t="shared" si="2"/>
        <v>0</v>
      </c>
      <c r="BJ15" s="1003"/>
      <c r="BK15" s="1387"/>
      <c r="BL15" s="990"/>
      <c r="BM15" s="1364"/>
      <c r="BN15" s="1364"/>
      <c r="BO15" s="1367"/>
    </row>
    <row r="16" spans="1:67" x14ac:dyDescent="0.3">
      <c r="A16" s="970"/>
      <c r="B16" s="973"/>
      <c r="C16" s="1493"/>
      <c r="D16" s="1493"/>
      <c r="E16" s="1493"/>
      <c r="F16" s="1493"/>
      <c r="G16" s="88"/>
      <c r="H16" s="142"/>
      <c r="I16" s="142"/>
      <c r="J16" s="98"/>
      <c r="K16" s="1494"/>
      <c r="L16" s="1002"/>
      <c r="M16" s="1488"/>
      <c r="N16" s="976"/>
      <c r="O16" s="976"/>
      <c r="P16" s="976"/>
      <c r="Q16" s="300" t="s">
        <v>165</v>
      </c>
      <c r="R16" s="343">
        <v>45989</v>
      </c>
      <c r="S16" s="343">
        <v>45991</v>
      </c>
      <c r="T16" s="321">
        <f>_xlfn.DAYS(S16,R16)</f>
        <v>2</v>
      </c>
      <c r="U16" s="1494"/>
      <c r="V16" s="1002"/>
      <c r="W16" s="1488"/>
      <c r="X16" s="976"/>
      <c r="Y16" s="976"/>
      <c r="Z16" s="978"/>
      <c r="AA16" s="511" t="s">
        <v>719</v>
      </c>
      <c r="AB16" s="512">
        <v>45989</v>
      </c>
      <c r="AC16" s="512">
        <v>45991</v>
      </c>
      <c r="AD16" s="487">
        <f t="shared" si="1"/>
        <v>2</v>
      </c>
      <c r="AE16" s="1003"/>
      <c r="AF16" s="1480"/>
      <c r="AG16" s="1097"/>
      <c r="AH16" s="976"/>
      <c r="AI16" s="976"/>
      <c r="AJ16" s="978"/>
      <c r="AK16" s="720"/>
      <c r="AL16" s="690"/>
      <c r="AM16" s="690"/>
      <c r="AN16" s="691"/>
      <c r="AO16" s="1003"/>
      <c r="AP16" s="1387"/>
      <c r="AQ16" s="990"/>
      <c r="AR16" s="1364"/>
      <c r="AS16" s="1364"/>
      <c r="AT16" s="1367"/>
      <c r="AU16" s="860" t="s">
        <v>884</v>
      </c>
      <c r="AV16" s="861">
        <v>46104</v>
      </c>
      <c r="AW16" s="861">
        <v>46104</v>
      </c>
      <c r="AX16" s="338">
        <v>0</v>
      </c>
      <c r="AY16" s="1003"/>
      <c r="AZ16" s="1387"/>
      <c r="BA16" s="990"/>
      <c r="BB16" s="1364"/>
      <c r="BC16" s="1364"/>
      <c r="BD16" s="1515"/>
      <c r="BE16" s="915" t="s">
        <v>971</v>
      </c>
      <c r="BF16" s="915"/>
      <c r="BG16" s="919">
        <v>46134</v>
      </c>
      <c r="BH16" s="919">
        <v>46134</v>
      </c>
      <c r="BI16" s="321">
        <f t="shared" si="2"/>
        <v>0</v>
      </c>
      <c r="BJ16" s="1003"/>
      <c r="BK16" s="1387"/>
      <c r="BL16" s="990"/>
      <c r="BM16" s="1364"/>
      <c r="BN16" s="1364"/>
      <c r="BO16" s="1367"/>
    </row>
    <row r="17" spans="1:67" x14ac:dyDescent="0.3">
      <c r="A17" s="970"/>
      <c r="B17" s="973"/>
      <c r="C17" s="1493"/>
      <c r="D17" s="1493"/>
      <c r="E17" s="1493"/>
      <c r="F17" s="1493"/>
      <c r="G17" s="88"/>
      <c r="H17" s="142"/>
      <c r="I17" s="142"/>
      <c r="J17" s="98"/>
      <c r="K17" s="1494"/>
      <c r="L17" s="1002"/>
      <c r="M17" s="1488"/>
      <c r="N17" s="976"/>
      <c r="O17" s="976"/>
      <c r="P17" s="976"/>
      <c r="Q17" s="300"/>
      <c r="R17" s="343"/>
      <c r="S17" s="343"/>
      <c r="T17" s="321"/>
      <c r="U17" s="1494"/>
      <c r="V17" s="1002"/>
      <c r="W17" s="1488"/>
      <c r="X17" s="976"/>
      <c r="Y17" s="976"/>
      <c r="Z17" s="978"/>
      <c r="AA17" s="511" t="s">
        <v>721</v>
      </c>
      <c r="AB17" s="486">
        <v>46019</v>
      </c>
      <c r="AC17" s="486">
        <v>46020</v>
      </c>
      <c r="AD17" s="487">
        <f t="shared" si="1"/>
        <v>1</v>
      </c>
      <c r="AE17" s="1003"/>
      <c r="AF17" s="1480"/>
      <c r="AG17" s="1097"/>
      <c r="AH17" s="976"/>
      <c r="AI17" s="976"/>
      <c r="AJ17" s="978"/>
      <c r="AK17" s="720"/>
      <c r="AL17" s="693"/>
      <c r="AM17" s="693"/>
      <c r="AN17" s="691"/>
      <c r="AO17" s="1003"/>
      <c r="AP17" s="1387"/>
      <c r="AQ17" s="990"/>
      <c r="AR17" s="1364"/>
      <c r="AS17" s="1364"/>
      <c r="AT17" s="1367"/>
      <c r="AU17" s="862" t="s">
        <v>884</v>
      </c>
      <c r="AV17" s="863">
        <v>46107</v>
      </c>
      <c r="AW17" s="863">
        <v>46107</v>
      </c>
      <c r="AX17" s="338">
        <v>0</v>
      </c>
      <c r="AY17" s="1003"/>
      <c r="AZ17" s="1387"/>
      <c r="BA17" s="990"/>
      <c r="BB17" s="1364"/>
      <c r="BC17" s="1364"/>
      <c r="BD17" s="1515"/>
      <c r="BE17" s="917" t="s">
        <v>884</v>
      </c>
      <c r="BF17" s="917"/>
      <c r="BG17" s="918">
        <v>46140</v>
      </c>
      <c r="BH17" s="918">
        <v>46140</v>
      </c>
      <c r="BI17" s="321">
        <f t="shared" si="2"/>
        <v>0</v>
      </c>
      <c r="BJ17" s="1003"/>
      <c r="BK17" s="1387"/>
      <c r="BL17" s="990"/>
      <c r="BM17" s="1364"/>
      <c r="BN17" s="1364"/>
      <c r="BO17" s="1367"/>
    </row>
    <row r="18" spans="1:67" x14ac:dyDescent="0.3">
      <c r="A18" s="970"/>
      <c r="B18" s="973"/>
      <c r="C18" s="1493"/>
      <c r="D18" s="1493"/>
      <c r="E18" s="1493"/>
      <c r="F18" s="1493"/>
      <c r="G18" s="88"/>
      <c r="H18" s="142"/>
      <c r="I18" s="142"/>
      <c r="J18" s="98"/>
      <c r="K18" s="1494"/>
      <c r="L18" s="1002"/>
      <c r="M18" s="1488"/>
      <c r="N18" s="976"/>
      <c r="O18" s="976"/>
      <c r="P18" s="976"/>
      <c r="Q18" s="300"/>
      <c r="R18" s="343"/>
      <c r="S18" s="343"/>
      <c r="T18" s="321"/>
      <c r="U18" s="1494"/>
      <c r="V18" s="1002"/>
      <c r="W18" s="1488"/>
      <c r="X18" s="976"/>
      <c r="Y18" s="976"/>
      <c r="Z18" s="978"/>
      <c r="AA18" s="511" t="s">
        <v>704</v>
      </c>
      <c r="AB18" s="508">
        <v>46030</v>
      </c>
      <c r="AC18" s="508">
        <v>46035</v>
      </c>
      <c r="AD18" s="487">
        <f t="shared" si="1"/>
        <v>5</v>
      </c>
      <c r="AE18" s="1003"/>
      <c r="AF18" s="1480"/>
      <c r="AG18" s="1097"/>
      <c r="AH18" s="976"/>
      <c r="AI18" s="976"/>
      <c r="AJ18" s="978"/>
      <c r="AK18" s="720"/>
      <c r="AL18" s="726"/>
      <c r="AM18" s="726"/>
      <c r="AN18" s="691"/>
      <c r="AO18" s="1003"/>
      <c r="AP18" s="1387"/>
      <c r="AQ18" s="990"/>
      <c r="AR18" s="1364"/>
      <c r="AS18" s="1364"/>
      <c r="AT18" s="1367"/>
      <c r="AU18" s="862" t="s">
        <v>884</v>
      </c>
      <c r="AV18" s="863">
        <v>46110</v>
      </c>
      <c r="AW18" s="863">
        <v>46110</v>
      </c>
      <c r="AX18" s="338">
        <v>0</v>
      </c>
      <c r="AY18" s="1003"/>
      <c r="AZ18" s="1387"/>
      <c r="BA18" s="990"/>
      <c r="BB18" s="1364"/>
      <c r="BC18" s="1364"/>
      <c r="BD18" s="1515"/>
      <c r="BE18" s="913"/>
      <c r="BF18" s="913"/>
      <c r="BG18" s="914"/>
      <c r="BH18" s="914"/>
      <c r="BI18" s="321"/>
      <c r="BJ18" s="1003"/>
      <c r="BK18" s="1387"/>
      <c r="BL18" s="990"/>
      <c r="BM18" s="1364"/>
      <c r="BN18" s="1364"/>
      <c r="BO18" s="1367"/>
    </row>
    <row r="19" spans="1:67" x14ac:dyDescent="0.3">
      <c r="A19" s="970"/>
      <c r="B19" s="973"/>
      <c r="C19" s="1493"/>
      <c r="D19" s="1493"/>
      <c r="E19" s="1493"/>
      <c r="F19" s="1493"/>
      <c r="G19" s="88"/>
      <c r="H19" s="142"/>
      <c r="I19" s="142"/>
      <c r="J19" s="98"/>
      <c r="K19" s="1494"/>
      <c r="L19" s="1002"/>
      <c r="M19" s="1488"/>
      <c r="N19" s="976"/>
      <c r="O19" s="976"/>
      <c r="P19" s="976"/>
      <c r="Q19" s="300"/>
      <c r="R19" s="343"/>
      <c r="S19" s="343"/>
      <c r="T19" s="321"/>
      <c r="U19" s="1494"/>
      <c r="V19" s="1002"/>
      <c r="W19" s="1488"/>
      <c r="X19" s="976"/>
      <c r="Y19" s="976"/>
      <c r="Z19" s="978"/>
      <c r="AA19" s="511" t="s">
        <v>707</v>
      </c>
      <c r="AB19" s="508">
        <v>46036</v>
      </c>
      <c r="AC19" s="508">
        <v>46036</v>
      </c>
      <c r="AD19" s="487">
        <f t="shared" si="1"/>
        <v>0</v>
      </c>
      <c r="AE19" s="1003"/>
      <c r="AF19" s="1480"/>
      <c r="AG19" s="1097"/>
      <c r="AH19" s="976"/>
      <c r="AI19" s="976"/>
      <c r="AJ19" s="978"/>
      <c r="AK19" s="720"/>
      <c r="AL19" s="726"/>
      <c r="AM19" s="726"/>
      <c r="AN19" s="691"/>
      <c r="AO19" s="1003"/>
      <c r="AP19" s="1387"/>
      <c r="AQ19" s="990"/>
      <c r="AR19" s="1364"/>
      <c r="AS19" s="1364"/>
      <c r="AT19" s="1367"/>
      <c r="AU19" s="854"/>
      <c r="AV19" s="857"/>
      <c r="AW19" s="857"/>
      <c r="AX19" s="338"/>
      <c r="AY19" s="1003"/>
      <c r="AZ19" s="1387"/>
      <c r="BA19" s="990"/>
      <c r="BB19" s="1364"/>
      <c r="BC19" s="1364"/>
      <c r="BD19" s="1515"/>
      <c r="BE19" s="300"/>
      <c r="BF19" s="300"/>
      <c r="BG19" s="857"/>
      <c r="BH19" s="857"/>
      <c r="BI19" s="321"/>
      <c r="BJ19" s="1003"/>
      <c r="BK19" s="1387"/>
      <c r="BL19" s="990"/>
      <c r="BM19" s="1364"/>
      <c r="BN19" s="1364"/>
      <c r="BO19" s="1367"/>
    </row>
    <row r="20" spans="1:67" ht="202.8" customHeight="1" x14ac:dyDescent="0.3">
      <c r="A20" s="970"/>
      <c r="B20" s="973"/>
      <c r="C20" s="936" t="s">
        <v>36</v>
      </c>
      <c r="D20" s="936" t="s">
        <v>529</v>
      </c>
      <c r="E20" s="936" t="s">
        <v>530</v>
      </c>
      <c r="F20" s="936" t="s">
        <v>532</v>
      </c>
      <c r="G20" s="88" t="s">
        <v>369</v>
      </c>
      <c r="H20" s="110">
        <f>+F37</f>
        <v>3</v>
      </c>
      <c r="I20" s="110" t="s">
        <v>3</v>
      </c>
      <c r="J20" s="98">
        <v>3.5</v>
      </c>
      <c r="K20" s="618">
        <f>+H20/J20</f>
        <v>0.8571428571428571</v>
      </c>
      <c r="L20" s="2" t="s">
        <v>573</v>
      </c>
      <c r="M20" s="610">
        <f>+K20</f>
        <v>0.8571428571428571</v>
      </c>
      <c r="N20" s="976"/>
      <c r="O20" s="976"/>
      <c r="P20" s="976"/>
      <c r="Q20" s="300" t="s">
        <v>369</v>
      </c>
      <c r="R20" s="322">
        <v>4</v>
      </c>
      <c r="S20" s="322" t="s">
        <v>3</v>
      </c>
      <c r="T20" s="321">
        <v>7</v>
      </c>
      <c r="U20" s="598">
        <f>+R20/T20</f>
        <v>0.5714285714285714</v>
      </c>
      <c r="V20" s="2" t="s">
        <v>656</v>
      </c>
      <c r="W20" s="610">
        <f>+U20</f>
        <v>0.5714285714285714</v>
      </c>
      <c r="X20" s="976"/>
      <c r="Y20" s="976"/>
      <c r="Z20" s="978"/>
      <c r="AA20" s="511" t="s">
        <v>369</v>
      </c>
      <c r="AB20" s="474">
        <f>+F72+F80</f>
        <v>7</v>
      </c>
      <c r="AC20" s="474" t="s">
        <v>3</v>
      </c>
      <c r="AD20" s="487">
        <f>7*2</f>
        <v>14</v>
      </c>
      <c r="AE20" s="560">
        <f>+AB20/AD20</f>
        <v>0.5</v>
      </c>
      <c r="AF20" s="602" t="s">
        <v>791</v>
      </c>
      <c r="AG20" s="70">
        <f>+AE20</f>
        <v>0.5</v>
      </c>
      <c r="AH20" s="976"/>
      <c r="AI20" s="976"/>
      <c r="AJ20" s="978"/>
      <c r="AK20" s="720" t="s">
        <v>369</v>
      </c>
      <c r="AL20" s="677">
        <v>1</v>
      </c>
      <c r="AM20" s="677" t="s">
        <v>3</v>
      </c>
      <c r="AN20" s="691">
        <v>3</v>
      </c>
      <c r="AO20" s="560">
        <f>+AL20/AN20</f>
        <v>0.33333333333333331</v>
      </c>
      <c r="AP20" s="780" t="s">
        <v>870</v>
      </c>
      <c r="AQ20" s="269">
        <f>+AO20</f>
        <v>0.33333333333333331</v>
      </c>
      <c r="AR20" s="1364"/>
      <c r="AS20" s="1364"/>
      <c r="AT20" s="1367"/>
      <c r="AU20" s="854" t="s">
        <v>369</v>
      </c>
      <c r="AV20" s="322">
        <f>+F94</f>
        <v>6</v>
      </c>
      <c r="AW20" s="322" t="s">
        <v>3</v>
      </c>
      <c r="AX20" s="338">
        <v>3</v>
      </c>
      <c r="AY20" s="638">
        <f>+AV20/AX20</f>
        <v>2</v>
      </c>
      <c r="AZ20" s="879" t="s">
        <v>937</v>
      </c>
      <c r="BA20" s="269">
        <v>1</v>
      </c>
      <c r="BB20" s="1364"/>
      <c r="BC20" s="1364"/>
      <c r="BD20" s="1367"/>
      <c r="BE20" s="854" t="s">
        <v>369</v>
      </c>
      <c r="BF20" s="854"/>
      <c r="BG20" s="322">
        <v>5</v>
      </c>
      <c r="BH20" s="322" t="s">
        <v>3</v>
      </c>
      <c r="BI20" s="338">
        <v>7</v>
      </c>
      <c r="BJ20" s="560">
        <f>+BG20/BI20</f>
        <v>0.7142857142857143</v>
      </c>
      <c r="BK20" s="879" t="s">
        <v>937</v>
      </c>
      <c r="BL20" s="269">
        <v>1</v>
      </c>
      <c r="BM20" s="1364"/>
      <c r="BN20" s="1364"/>
      <c r="BO20" s="1367"/>
    </row>
    <row r="21" spans="1:67" ht="230.4" x14ac:dyDescent="0.3">
      <c r="A21" s="970"/>
      <c r="B21" s="973"/>
      <c r="C21" s="936" t="s">
        <v>341</v>
      </c>
      <c r="D21" s="936" t="s">
        <v>603</v>
      </c>
      <c r="E21" s="938" t="s">
        <v>533</v>
      </c>
      <c r="F21" s="936" t="s">
        <v>342</v>
      </c>
      <c r="G21" s="88" t="s">
        <v>361</v>
      </c>
      <c r="H21" s="110">
        <f>+J3</f>
        <v>70</v>
      </c>
      <c r="I21" s="619" t="s">
        <v>376</v>
      </c>
      <c r="J21" s="98">
        <v>46</v>
      </c>
      <c r="K21" s="620">
        <f>+J21/H21</f>
        <v>0.65714285714285714</v>
      </c>
      <c r="L21" s="2" t="s">
        <v>572</v>
      </c>
      <c r="M21" s="612">
        <f>+K21</f>
        <v>0.65714285714285714</v>
      </c>
      <c r="N21" s="976"/>
      <c r="O21" s="976"/>
      <c r="P21" s="976"/>
      <c r="Q21" s="300" t="s">
        <v>361</v>
      </c>
      <c r="R21" s="322">
        <f>+C54</f>
        <v>257</v>
      </c>
      <c r="S21" s="621" t="s">
        <v>376</v>
      </c>
      <c r="T21" s="321">
        <v>16</v>
      </c>
      <c r="U21" s="601">
        <f>+T21/R21</f>
        <v>6.2256809338521402E-2</v>
      </c>
      <c r="V21" s="2" t="s">
        <v>655</v>
      </c>
      <c r="W21" s="612">
        <f>+U21</f>
        <v>6.2256809338521402E-2</v>
      </c>
      <c r="X21" s="976"/>
      <c r="Y21" s="976"/>
      <c r="Z21" s="978"/>
      <c r="AA21" s="511" t="s">
        <v>361</v>
      </c>
      <c r="AB21" s="474">
        <f>+C71+C79</f>
        <v>695</v>
      </c>
      <c r="AC21" s="548" t="s">
        <v>376</v>
      </c>
      <c r="AD21" s="487">
        <f>21+43</f>
        <v>64</v>
      </c>
      <c r="AE21" s="606">
        <f>+AD21/AB21</f>
        <v>9.2086330935251801E-2</v>
      </c>
      <c r="AF21" s="602" t="s">
        <v>792</v>
      </c>
      <c r="AG21" s="287">
        <f>+AE21*10</f>
        <v>0.92086330935251803</v>
      </c>
      <c r="AH21" s="977"/>
      <c r="AI21" s="977"/>
      <c r="AJ21" s="980"/>
      <c r="AK21" s="720" t="s">
        <v>361</v>
      </c>
      <c r="AL21" s="677">
        <f>+C86</f>
        <v>392</v>
      </c>
      <c r="AM21" s="701" t="s">
        <v>376</v>
      </c>
      <c r="AN21" s="691">
        <v>89</v>
      </c>
      <c r="AO21" s="733">
        <f>+AN21/AL21</f>
        <v>0.22704081632653061</v>
      </c>
      <c r="AP21" s="780" t="s">
        <v>871</v>
      </c>
      <c r="AQ21" s="177">
        <f>+AO21</f>
        <v>0.22704081632653061</v>
      </c>
      <c r="AR21" s="1364"/>
      <c r="AS21" s="1364"/>
      <c r="AT21" s="1367"/>
      <c r="AU21" s="854" t="s">
        <v>361</v>
      </c>
      <c r="AV21" s="322">
        <f>+B93</f>
        <v>255</v>
      </c>
      <c r="AW21" s="621" t="s">
        <v>376</v>
      </c>
      <c r="AX21" s="338">
        <v>41</v>
      </c>
      <c r="AY21" s="733">
        <f>+AX21/AV21</f>
        <v>0.16078431372549021</v>
      </c>
      <c r="AZ21" s="879" t="s">
        <v>938</v>
      </c>
      <c r="BA21" s="177">
        <f>AY21*100/25</f>
        <v>0.64313725490196072</v>
      </c>
      <c r="BB21" s="1364"/>
      <c r="BC21" s="1364"/>
      <c r="BD21" s="1367"/>
      <c r="BE21" s="854" t="s">
        <v>361</v>
      </c>
      <c r="BF21" s="854"/>
      <c r="BG21" s="912">
        <f>+B100</f>
        <v>302</v>
      </c>
      <c r="BH21" s="621" t="s">
        <v>376</v>
      </c>
      <c r="BI21" s="338">
        <v>23</v>
      </c>
      <c r="BJ21" s="606">
        <f>+BI21/BG21</f>
        <v>7.6158940397350994E-2</v>
      </c>
      <c r="BK21" s="879" t="s">
        <v>938</v>
      </c>
      <c r="BL21" s="177">
        <f>BJ21*100/25</f>
        <v>0.30463576158940397</v>
      </c>
      <c r="BM21" s="1364"/>
      <c r="BN21" s="1364"/>
      <c r="BO21" s="1367"/>
    </row>
    <row r="22" spans="1:67" x14ac:dyDescent="0.3">
      <c r="A22" s="970"/>
      <c r="B22" s="973"/>
      <c r="C22" s="644" t="s">
        <v>725</v>
      </c>
      <c r="D22" s="2"/>
      <c r="E22" s="6"/>
      <c r="F22" s="2"/>
      <c r="G22" s="88"/>
      <c r="H22" s="110"/>
      <c r="I22" s="619"/>
      <c r="J22" s="98"/>
      <c r="K22" s="620"/>
      <c r="L22" s="2"/>
      <c r="M22" s="612"/>
      <c r="N22" s="562"/>
      <c r="O22" s="562"/>
      <c r="P22" s="562"/>
      <c r="Q22" s="300"/>
      <c r="R22" s="322"/>
      <c r="S22" s="621"/>
      <c r="T22" s="321"/>
      <c r="U22" s="601"/>
      <c r="V22" s="2"/>
      <c r="W22" s="612"/>
      <c r="X22" s="562"/>
      <c r="Y22" s="562"/>
      <c r="Z22" s="564"/>
      <c r="AA22" s="511" t="s">
        <v>726</v>
      </c>
      <c r="AB22" s="474">
        <v>4</v>
      </c>
      <c r="AC22" s="548"/>
      <c r="AD22" s="487"/>
      <c r="AE22" s="607" t="s">
        <v>201</v>
      </c>
      <c r="AF22" s="602"/>
      <c r="AG22" s="559"/>
      <c r="AH22" s="539"/>
      <c r="AI22" s="539"/>
      <c r="AJ22" s="540"/>
      <c r="AK22" s="720" t="s">
        <v>726</v>
      </c>
      <c r="AL22" s="677">
        <v>0</v>
      </c>
      <c r="AM22" s="701"/>
      <c r="AN22" s="691"/>
      <c r="AO22" s="607" t="s">
        <v>201</v>
      </c>
      <c r="AP22" s="780"/>
      <c r="AQ22" s="177"/>
      <c r="AR22" s="1364"/>
      <c r="AS22" s="1364"/>
      <c r="AT22" s="1367"/>
      <c r="AU22" s="854" t="s">
        <v>726</v>
      </c>
      <c r="AV22" s="322">
        <v>0</v>
      </c>
      <c r="AW22" s="621"/>
      <c r="AX22" s="338"/>
      <c r="AY22" s="607" t="s">
        <v>201</v>
      </c>
      <c r="AZ22" s="780"/>
      <c r="BA22" s="177" t="s">
        <v>201</v>
      </c>
      <c r="BB22" s="1364"/>
      <c r="BC22" s="1364"/>
      <c r="BD22" s="1367"/>
      <c r="BE22" s="854" t="s">
        <v>726</v>
      </c>
      <c r="BF22" s="854"/>
      <c r="BG22" s="322">
        <v>0</v>
      </c>
      <c r="BH22" s="621"/>
      <c r="BI22" s="338"/>
      <c r="BJ22" s="607" t="s">
        <v>201</v>
      </c>
      <c r="BK22" s="780"/>
      <c r="BL22" s="177" t="s">
        <v>201</v>
      </c>
      <c r="BM22" s="1364"/>
      <c r="BN22" s="1364"/>
      <c r="BO22" s="1367"/>
    </row>
    <row r="23" spans="1:67" ht="15" thickBot="1" x14ac:dyDescent="0.35">
      <c r="A23" s="971"/>
      <c r="B23" s="1209"/>
      <c r="C23" s="645" t="s">
        <v>727</v>
      </c>
      <c r="D23" s="59"/>
      <c r="E23" s="551"/>
      <c r="F23" s="59"/>
      <c r="G23" s="104"/>
      <c r="H23" s="623"/>
      <c r="I23" s="624"/>
      <c r="J23" s="105"/>
      <c r="K23" s="625"/>
      <c r="L23" s="59"/>
      <c r="M23" s="626"/>
      <c r="N23" s="563"/>
      <c r="O23" s="563"/>
      <c r="P23" s="563"/>
      <c r="Q23" s="330"/>
      <c r="R23" s="627"/>
      <c r="S23" s="628"/>
      <c r="T23" s="329"/>
      <c r="U23" s="629"/>
      <c r="V23" s="59"/>
      <c r="W23" s="626"/>
      <c r="X23" s="563"/>
      <c r="Y23" s="563"/>
      <c r="Z23" s="565"/>
      <c r="AA23" s="514" t="s">
        <v>726</v>
      </c>
      <c r="AB23" s="574">
        <v>2</v>
      </c>
      <c r="AC23" s="575"/>
      <c r="AD23" s="630"/>
      <c r="AE23" s="608" t="s">
        <v>201</v>
      </c>
      <c r="AF23" s="604"/>
      <c r="AG23" s="559"/>
      <c r="AH23" s="539"/>
      <c r="AI23" s="539"/>
      <c r="AJ23" s="540"/>
      <c r="AK23" s="727" t="s">
        <v>726</v>
      </c>
      <c r="AL23" s="704">
        <v>2</v>
      </c>
      <c r="AM23" s="705"/>
      <c r="AN23" s="728"/>
      <c r="AO23" s="779">
        <v>1</v>
      </c>
      <c r="AP23" s="781" t="s">
        <v>872</v>
      </c>
      <c r="AQ23" s="363">
        <v>1</v>
      </c>
      <c r="AR23" s="1365"/>
      <c r="AS23" s="1365"/>
      <c r="AT23" s="1368"/>
      <c r="AU23" s="858" t="s">
        <v>726</v>
      </c>
      <c r="AV23" s="627">
        <v>0</v>
      </c>
      <c r="AW23" s="628"/>
      <c r="AX23" s="859"/>
      <c r="AY23" s="607" t="s">
        <v>201</v>
      </c>
      <c r="AZ23" s="781"/>
      <c r="BA23" s="363" t="s">
        <v>201</v>
      </c>
      <c r="BB23" s="1365"/>
      <c r="BC23" s="1365"/>
      <c r="BD23" s="1368"/>
      <c r="BE23" s="858" t="s">
        <v>726</v>
      </c>
      <c r="BF23" s="858"/>
      <c r="BG23" s="627">
        <v>0</v>
      </c>
      <c r="BH23" s="628"/>
      <c r="BI23" s="859"/>
      <c r="BJ23" s="607" t="s">
        <v>201</v>
      </c>
      <c r="BK23" s="781"/>
      <c r="BL23" s="363" t="s">
        <v>201</v>
      </c>
      <c r="BM23" s="1365"/>
      <c r="BN23" s="1365"/>
      <c r="BO23" s="1368"/>
    </row>
    <row r="24" spans="1:67" ht="28.8" x14ac:dyDescent="0.3">
      <c r="A24" s="1173">
        <v>0.05</v>
      </c>
      <c r="B24" s="609" t="s">
        <v>77</v>
      </c>
      <c r="C24" s="127" t="s">
        <v>78</v>
      </c>
      <c r="D24" s="127" t="s">
        <v>79</v>
      </c>
      <c r="E24" s="550" t="s">
        <v>80</v>
      </c>
      <c r="F24" s="241" t="s">
        <v>343</v>
      </c>
      <c r="G24" s="1498" t="s">
        <v>535</v>
      </c>
      <c r="H24" s="1499"/>
      <c r="I24" s="1499"/>
      <c r="J24" s="1500"/>
      <c r="K24" s="581" t="s">
        <v>201</v>
      </c>
      <c r="L24" s="597" t="s">
        <v>201</v>
      </c>
      <c r="M24" s="582" t="s">
        <v>201</v>
      </c>
      <c r="N24" s="1038">
        <v>0</v>
      </c>
      <c r="O24" s="1038">
        <v>0</v>
      </c>
      <c r="P24" s="991">
        <f>+N24*O24</f>
        <v>0</v>
      </c>
      <c r="Q24" s="1504" t="s">
        <v>535</v>
      </c>
      <c r="R24" s="1505"/>
      <c r="S24" s="1505"/>
      <c r="T24" s="1506"/>
      <c r="U24" s="581" t="s">
        <v>201</v>
      </c>
      <c r="V24" s="597"/>
      <c r="W24" s="582" t="s">
        <v>201</v>
      </c>
      <c r="X24" s="1038">
        <v>0.05</v>
      </c>
      <c r="Y24" s="1038">
        <f>+W25</f>
        <v>0.91199999999999992</v>
      </c>
      <c r="Z24" s="991">
        <f>+X24*Y24</f>
        <v>4.5600000000000002E-2</v>
      </c>
      <c r="AA24" s="1481" t="s">
        <v>535</v>
      </c>
      <c r="AB24" s="1482"/>
      <c r="AC24" s="1482"/>
      <c r="AD24" s="1483"/>
      <c r="AE24" s="596" t="s">
        <v>201</v>
      </c>
      <c r="AF24" s="597"/>
      <c r="AG24" s="271" t="s">
        <v>201</v>
      </c>
      <c r="AH24" s="1118">
        <v>0.05</v>
      </c>
      <c r="AI24" s="1118">
        <f>+AG25</f>
        <v>0.91199999999999992</v>
      </c>
      <c r="AJ24" s="1237">
        <f>+AH24*AI24</f>
        <v>4.5600000000000002E-2</v>
      </c>
      <c r="AK24" s="1471" t="s">
        <v>535</v>
      </c>
      <c r="AL24" s="1472"/>
      <c r="AM24" s="1472"/>
      <c r="AN24" s="1473"/>
      <c r="AO24" s="596" t="s">
        <v>201</v>
      </c>
      <c r="AP24" s="597"/>
      <c r="AQ24" s="582" t="s">
        <v>201</v>
      </c>
      <c r="AR24" s="1038">
        <v>0.05</v>
      </c>
      <c r="AS24" s="1038">
        <f>+AQ25</f>
        <v>0.91199999999999992</v>
      </c>
      <c r="AT24" s="991">
        <f>+AR24*AS24</f>
        <v>4.5600000000000002E-2</v>
      </c>
      <c r="AU24" s="1504" t="s">
        <v>929</v>
      </c>
      <c r="AV24" s="1505"/>
      <c r="AW24" s="1505"/>
      <c r="AX24" s="1506"/>
      <c r="AY24" s="596" t="s">
        <v>201</v>
      </c>
      <c r="AZ24" s="597"/>
      <c r="BA24" s="582" t="s">
        <v>201</v>
      </c>
      <c r="BB24" s="1038">
        <v>0.05</v>
      </c>
      <c r="BC24" s="1038">
        <f>+BA25</f>
        <v>0.91199999999999992</v>
      </c>
      <c r="BD24" s="991">
        <f>+BB24*BC24</f>
        <v>4.5600000000000002E-2</v>
      </c>
      <c r="BE24" s="1504" t="s">
        <v>929</v>
      </c>
      <c r="BF24" s="1526"/>
      <c r="BG24" s="1505"/>
      <c r="BH24" s="1505"/>
      <c r="BI24" s="1506"/>
      <c r="BJ24" s="596" t="s">
        <v>201</v>
      </c>
      <c r="BK24" s="597"/>
      <c r="BL24" s="582" t="s">
        <v>201</v>
      </c>
      <c r="BM24" s="1038">
        <v>0.05</v>
      </c>
      <c r="BN24" s="1038">
        <f>+BL25</f>
        <v>0.91199999999999992</v>
      </c>
      <c r="BO24" s="991">
        <f>+BM24*BN24</f>
        <v>4.5600000000000002E-2</v>
      </c>
    </row>
    <row r="25" spans="1:67" ht="156" customHeight="1" thickBot="1" x14ac:dyDescent="0.35">
      <c r="A25" s="995"/>
      <c r="B25" s="261" t="s">
        <v>77</v>
      </c>
      <c r="C25" s="2" t="s">
        <v>81</v>
      </c>
      <c r="D25" s="2" t="s">
        <v>82</v>
      </c>
      <c r="E25" s="6" t="s">
        <v>83</v>
      </c>
      <c r="F25" s="2" t="s">
        <v>84</v>
      </c>
      <c r="G25" s="1501" t="s">
        <v>535</v>
      </c>
      <c r="H25" s="1502"/>
      <c r="I25" s="1502"/>
      <c r="J25" s="1503"/>
      <c r="K25" s="274" t="s">
        <v>201</v>
      </c>
      <c r="L25" s="283" t="s">
        <v>201</v>
      </c>
      <c r="M25" s="122" t="s">
        <v>201</v>
      </c>
      <c r="N25" s="1039"/>
      <c r="O25" s="1039"/>
      <c r="P25" s="992"/>
      <c r="Q25" s="299" t="s">
        <v>658</v>
      </c>
      <c r="R25" s="1067" t="s">
        <v>659</v>
      </c>
      <c r="S25" s="1106"/>
      <c r="T25" s="1146"/>
      <c r="U25" s="381">
        <v>4.5599999999999996</v>
      </c>
      <c r="V25" s="383" t="s">
        <v>662</v>
      </c>
      <c r="W25" s="363">
        <f>4.56/5</f>
        <v>0.91199999999999992</v>
      </c>
      <c r="X25" s="1039"/>
      <c r="Y25" s="1039"/>
      <c r="Z25" s="992"/>
      <c r="AA25" s="425" t="s">
        <v>658</v>
      </c>
      <c r="AB25" s="1215" t="s">
        <v>659</v>
      </c>
      <c r="AC25" s="1216"/>
      <c r="AD25" s="1217"/>
      <c r="AE25" s="381">
        <v>4.5599999999999996</v>
      </c>
      <c r="AF25" s="383" t="s">
        <v>662</v>
      </c>
      <c r="AG25" s="363">
        <f>4.56/5</f>
        <v>0.91199999999999992</v>
      </c>
      <c r="AH25" s="1039"/>
      <c r="AI25" s="1039"/>
      <c r="AJ25" s="992"/>
      <c r="AK25" s="680" t="s">
        <v>658</v>
      </c>
      <c r="AL25" s="1340" t="s">
        <v>659</v>
      </c>
      <c r="AM25" s="1344"/>
      <c r="AN25" s="1341"/>
      <c r="AO25" s="381">
        <v>4.5599999999999996</v>
      </c>
      <c r="AP25" s="383" t="s">
        <v>662</v>
      </c>
      <c r="AQ25" s="363">
        <f>4.56/5</f>
        <v>0.91199999999999992</v>
      </c>
      <c r="AR25" s="1039"/>
      <c r="AS25" s="1039"/>
      <c r="AT25" s="992"/>
      <c r="AU25" s="299" t="s">
        <v>658</v>
      </c>
      <c r="AV25" s="1067" t="s">
        <v>659</v>
      </c>
      <c r="AW25" s="1106"/>
      <c r="AX25" s="1146"/>
      <c r="AY25" s="381">
        <v>4.5599999999999996</v>
      </c>
      <c r="AZ25" s="383" t="s">
        <v>662</v>
      </c>
      <c r="BA25" s="363">
        <f>4.56/5</f>
        <v>0.91199999999999992</v>
      </c>
      <c r="BB25" s="1039"/>
      <c r="BC25" s="1039"/>
      <c r="BD25" s="992"/>
      <c r="BE25" s="299" t="s">
        <v>658</v>
      </c>
      <c r="BF25" s="910"/>
      <c r="BG25" s="1067" t="s">
        <v>659</v>
      </c>
      <c r="BH25" s="1106"/>
      <c r="BI25" s="1146"/>
      <c r="BJ25" s="381">
        <v>4.5599999999999996</v>
      </c>
      <c r="BK25" s="383" t="s">
        <v>662</v>
      </c>
      <c r="BL25" s="363">
        <f>4.56/5</f>
        <v>0.91199999999999992</v>
      </c>
      <c r="BM25" s="1039"/>
      <c r="BN25" s="1039"/>
      <c r="BO25" s="992"/>
    </row>
    <row r="26" spans="1:67" ht="39.6" customHeight="1" x14ac:dyDescent="0.3">
      <c r="A26" s="993">
        <v>0.25</v>
      </c>
      <c r="B26" s="996" t="s">
        <v>126</v>
      </c>
      <c r="C26" s="999" t="s">
        <v>40</v>
      </c>
      <c r="D26" s="1023" t="s">
        <v>539</v>
      </c>
      <c r="E26" s="1023" t="s">
        <v>488</v>
      </c>
      <c r="F26" s="1025" t="s">
        <v>536</v>
      </c>
      <c r="G26" s="224" t="s">
        <v>174</v>
      </c>
      <c r="H26" s="225" t="s">
        <v>579</v>
      </c>
      <c r="I26" s="256" t="s">
        <v>580</v>
      </c>
      <c r="J26" s="256"/>
      <c r="K26" s="1384">
        <v>0.84</v>
      </c>
      <c r="L26" s="1333" t="s">
        <v>583</v>
      </c>
      <c r="M26" s="1011">
        <f>(K26/90)*80</f>
        <v>0.74666666666666659</v>
      </c>
      <c r="N26" s="1038">
        <v>0.4</v>
      </c>
      <c r="O26" s="1038">
        <f>+M26</f>
        <v>0.74666666666666659</v>
      </c>
      <c r="P26" s="991">
        <f>+N26*O26</f>
        <v>0.29866666666666664</v>
      </c>
      <c r="Q26" s="385" t="s">
        <v>171</v>
      </c>
      <c r="R26" s="386" t="s">
        <v>665</v>
      </c>
      <c r="S26" s="386" t="s">
        <v>672</v>
      </c>
      <c r="T26" s="387">
        <v>1</v>
      </c>
      <c r="U26" s="1384">
        <v>0.72360000000000002</v>
      </c>
      <c r="V26" s="1333" t="s">
        <v>683</v>
      </c>
      <c r="W26" s="1011">
        <f>+U26</f>
        <v>0.72360000000000002</v>
      </c>
      <c r="X26" s="1038">
        <v>0.25</v>
      </c>
      <c r="Y26" s="1038">
        <f>+W26</f>
        <v>0.72360000000000002</v>
      </c>
      <c r="Z26" s="991">
        <f>+X26*Y26</f>
        <v>0.18090000000000001</v>
      </c>
      <c r="AA26" s="589" t="s">
        <v>171</v>
      </c>
      <c r="AB26" s="592" t="s">
        <v>793</v>
      </c>
      <c r="AC26" s="592" t="s">
        <v>672</v>
      </c>
      <c r="AD26" s="556">
        <v>1</v>
      </c>
      <c r="AE26" s="1384">
        <v>0</v>
      </c>
      <c r="AF26" s="1333" t="s">
        <v>683</v>
      </c>
      <c r="AG26" s="1011">
        <f>+AE26</f>
        <v>0</v>
      </c>
      <c r="AH26" s="1038">
        <v>0.25</v>
      </c>
      <c r="AI26" s="1038">
        <f>+AG26</f>
        <v>0</v>
      </c>
      <c r="AJ26" s="991">
        <f>+AH26*AI26</f>
        <v>0</v>
      </c>
      <c r="AK26" s="717" t="s">
        <v>812</v>
      </c>
      <c r="AL26" s="718">
        <v>1</v>
      </c>
      <c r="AM26" s="729"/>
      <c r="AN26" s="707"/>
      <c r="AO26" s="1384">
        <v>0</v>
      </c>
      <c r="AP26" s="1333" t="s">
        <v>683</v>
      </c>
      <c r="AQ26" s="1011">
        <f>+AO26</f>
        <v>0</v>
      </c>
      <c r="AR26" s="1038">
        <v>0.25</v>
      </c>
      <c r="AS26" s="1038">
        <f>+AQ26</f>
        <v>0</v>
      </c>
      <c r="AT26" s="991">
        <f>+AR26*AS26</f>
        <v>0</v>
      </c>
      <c r="AU26" s="1517" t="s">
        <v>378</v>
      </c>
      <c r="AV26" s="1518"/>
      <c r="AW26" s="1518"/>
      <c r="AX26" s="1519"/>
      <c r="AY26" s="1028">
        <v>0.85</v>
      </c>
      <c r="AZ26" s="1031" t="s">
        <v>959</v>
      </c>
      <c r="BA26" s="1011">
        <f>+AY26</f>
        <v>0.85</v>
      </c>
      <c r="BB26" s="1038">
        <v>0.25</v>
      </c>
      <c r="BC26" s="1038">
        <f>+BA26</f>
        <v>0.85</v>
      </c>
      <c r="BD26" s="991">
        <f>+BB26*BC26</f>
        <v>0.21249999999999999</v>
      </c>
      <c r="BE26" s="1517" t="s">
        <v>378</v>
      </c>
      <c r="BF26" s="1518"/>
      <c r="BG26" s="1518"/>
      <c r="BH26" s="1518"/>
      <c r="BI26" s="1519"/>
      <c r="BJ26" s="1028">
        <v>0.85</v>
      </c>
      <c r="BK26" s="1031" t="s">
        <v>959</v>
      </c>
      <c r="BL26" s="1011">
        <f>+BJ26</f>
        <v>0.85</v>
      </c>
      <c r="BM26" s="1038">
        <v>0.25</v>
      </c>
      <c r="BN26" s="1038">
        <f>+BL26</f>
        <v>0.85</v>
      </c>
      <c r="BO26" s="991">
        <f>+BM26*BN26</f>
        <v>0.21249999999999999</v>
      </c>
    </row>
    <row r="27" spans="1:67" ht="39.6" customHeight="1" x14ac:dyDescent="0.3">
      <c r="A27" s="994"/>
      <c r="B27" s="997"/>
      <c r="C27" s="1000"/>
      <c r="D27" s="986"/>
      <c r="E27" s="986"/>
      <c r="F27" s="987"/>
      <c r="G27" s="226" t="s">
        <v>171</v>
      </c>
      <c r="H27" s="214" t="s">
        <v>581</v>
      </c>
      <c r="I27" s="253" t="s">
        <v>582</v>
      </c>
      <c r="J27" s="253"/>
      <c r="K27" s="1385"/>
      <c r="L27" s="1193"/>
      <c r="M27" s="1012"/>
      <c r="N27" s="976"/>
      <c r="O27" s="976"/>
      <c r="P27" s="978"/>
      <c r="Q27" s="385" t="s">
        <v>174</v>
      </c>
      <c r="R27" s="386" t="s">
        <v>668</v>
      </c>
      <c r="S27" s="386" t="s">
        <v>678</v>
      </c>
      <c r="T27" s="387">
        <v>0.40186915887850466</v>
      </c>
      <c r="U27" s="1385"/>
      <c r="V27" s="1193"/>
      <c r="W27" s="1012"/>
      <c r="X27" s="976"/>
      <c r="Y27" s="976"/>
      <c r="Z27" s="978"/>
      <c r="AA27" s="589" t="s">
        <v>174</v>
      </c>
      <c r="AB27" s="592" t="s">
        <v>668</v>
      </c>
      <c r="AC27" s="592" t="s">
        <v>794</v>
      </c>
      <c r="AD27" s="556">
        <v>0.36752136752136755</v>
      </c>
      <c r="AE27" s="1385"/>
      <c r="AF27" s="1193"/>
      <c r="AG27" s="1012"/>
      <c r="AH27" s="976"/>
      <c r="AI27" s="976"/>
      <c r="AJ27" s="978"/>
      <c r="AK27" s="714" t="s">
        <v>813</v>
      </c>
      <c r="AL27" s="681">
        <v>0</v>
      </c>
      <c r="AM27" s="729"/>
      <c r="AN27" s="707"/>
      <c r="AO27" s="1385"/>
      <c r="AP27" s="1193"/>
      <c r="AQ27" s="1012"/>
      <c r="AR27" s="976"/>
      <c r="AS27" s="976"/>
      <c r="AT27" s="978"/>
      <c r="AU27" s="892" t="s">
        <v>951</v>
      </c>
      <c r="AV27" s="309" t="s">
        <v>952</v>
      </c>
      <c r="AW27" s="309" t="s">
        <v>953</v>
      </c>
      <c r="AX27" s="899" t="s">
        <v>963</v>
      </c>
      <c r="AY27" s="1029"/>
      <c r="AZ27" s="1032"/>
      <c r="BA27" s="1012"/>
      <c r="BB27" s="976"/>
      <c r="BC27" s="976"/>
      <c r="BD27" s="978"/>
      <c r="BE27" s="892" t="s">
        <v>951</v>
      </c>
      <c r="BF27" s="920" t="s">
        <v>972</v>
      </c>
      <c r="BG27" s="309" t="s">
        <v>952</v>
      </c>
      <c r="BH27" s="309" t="s">
        <v>953</v>
      </c>
      <c r="BI27" s="899" t="s">
        <v>963</v>
      </c>
      <c r="BJ27" s="1029"/>
      <c r="BK27" s="1032"/>
      <c r="BL27" s="1012"/>
      <c r="BM27" s="976"/>
      <c r="BN27" s="976"/>
      <c r="BO27" s="978"/>
    </row>
    <row r="28" spans="1:67" ht="39.6" customHeight="1" x14ac:dyDescent="0.3">
      <c r="A28" s="994"/>
      <c r="B28" s="997"/>
      <c r="C28" s="1000"/>
      <c r="D28" s="986"/>
      <c r="E28" s="986"/>
      <c r="F28" s="987"/>
      <c r="G28" s="226" t="s">
        <v>178</v>
      </c>
      <c r="H28" s="214" t="s">
        <v>383</v>
      </c>
      <c r="I28" s="214" t="s">
        <v>384</v>
      </c>
      <c r="J28" s="253"/>
      <c r="K28" s="1385"/>
      <c r="L28" s="1193"/>
      <c r="M28" s="1012"/>
      <c r="N28" s="976"/>
      <c r="O28" s="976"/>
      <c r="P28" s="978"/>
      <c r="Q28" s="388" t="s">
        <v>178</v>
      </c>
      <c r="R28" s="389" t="s">
        <v>670</v>
      </c>
      <c r="S28" s="389" t="s">
        <v>677</v>
      </c>
      <c r="T28" s="387">
        <v>0.8</v>
      </c>
      <c r="U28" s="1385"/>
      <c r="V28" s="1193"/>
      <c r="W28" s="1012"/>
      <c r="X28" s="976"/>
      <c r="Y28" s="976"/>
      <c r="Z28" s="978"/>
      <c r="AA28" s="593" t="s">
        <v>178</v>
      </c>
      <c r="AB28" s="594" t="s">
        <v>768</v>
      </c>
      <c r="AC28" s="594" t="s">
        <v>769</v>
      </c>
      <c r="AD28" s="556">
        <v>0.91666666666666663</v>
      </c>
      <c r="AE28" s="1385"/>
      <c r="AF28" s="1193"/>
      <c r="AG28" s="1012"/>
      <c r="AH28" s="976"/>
      <c r="AI28" s="976"/>
      <c r="AJ28" s="978"/>
      <c r="AK28" s="730" t="s">
        <v>178</v>
      </c>
      <c r="AL28" s="731" t="s">
        <v>768</v>
      </c>
      <c r="AM28" s="731" t="s">
        <v>769</v>
      </c>
      <c r="AN28" s="707">
        <v>0.91666666666666663</v>
      </c>
      <c r="AO28" s="1385"/>
      <c r="AP28" s="1193"/>
      <c r="AQ28" s="1012"/>
      <c r="AR28" s="976"/>
      <c r="AS28" s="976"/>
      <c r="AT28" s="978"/>
      <c r="AU28" s="299" t="s">
        <v>165</v>
      </c>
      <c r="AV28" s="321">
        <v>6</v>
      </c>
      <c r="AW28" s="675">
        <v>0.13600000000000001</v>
      </c>
      <c r="AX28" s="342">
        <v>0.6</v>
      </c>
      <c r="AY28" s="1029"/>
      <c r="AZ28" s="1032"/>
      <c r="BA28" s="1012"/>
      <c r="BB28" s="976"/>
      <c r="BC28" s="976"/>
      <c r="BD28" s="978"/>
      <c r="BE28" s="299" t="s">
        <v>165</v>
      </c>
      <c r="BF28" s="854">
        <v>10</v>
      </c>
      <c r="BG28" s="321">
        <v>7</v>
      </c>
      <c r="BH28" s="675">
        <v>0.31</v>
      </c>
      <c r="BI28" s="342">
        <f>+BG28/BF28</f>
        <v>0.7</v>
      </c>
      <c r="BJ28" s="1029"/>
      <c r="BK28" s="1032"/>
      <c r="BL28" s="1012"/>
      <c r="BM28" s="976"/>
      <c r="BN28" s="976"/>
      <c r="BO28" s="978"/>
    </row>
    <row r="29" spans="1:67" ht="39.6" customHeight="1" x14ac:dyDescent="0.3">
      <c r="A29" s="994"/>
      <c r="B29" s="997"/>
      <c r="C29" s="1000"/>
      <c r="D29" s="986"/>
      <c r="E29" s="986"/>
      <c r="F29" s="987"/>
      <c r="G29" s="263" t="s">
        <v>377</v>
      </c>
      <c r="H29" s="227" t="s">
        <v>385</v>
      </c>
      <c r="I29" s="214"/>
      <c r="J29" s="253"/>
      <c r="K29" s="1385"/>
      <c r="L29" s="1193"/>
      <c r="M29" s="1012"/>
      <c r="N29" s="976"/>
      <c r="O29" s="976"/>
      <c r="P29" s="978"/>
      <c r="Q29" s="347" t="s">
        <v>377</v>
      </c>
      <c r="R29" s="1067">
        <v>0</v>
      </c>
      <c r="S29" s="1106"/>
      <c r="T29" s="1146"/>
      <c r="U29" s="1385"/>
      <c r="V29" s="1193"/>
      <c r="W29" s="1012"/>
      <c r="X29" s="976"/>
      <c r="Y29" s="976"/>
      <c r="Z29" s="978"/>
      <c r="AA29" s="589" t="s">
        <v>377</v>
      </c>
      <c r="AB29" s="1215">
        <v>0</v>
      </c>
      <c r="AC29" s="1216"/>
      <c r="AD29" s="1217"/>
      <c r="AE29" s="1385"/>
      <c r="AF29" s="1193"/>
      <c r="AG29" s="1012"/>
      <c r="AH29" s="976"/>
      <c r="AI29" s="976"/>
      <c r="AJ29" s="978"/>
      <c r="AK29" s="708" t="s">
        <v>377</v>
      </c>
      <c r="AL29" s="1340">
        <v>0</v>
      </c>
      <c r="AM29" s="1344"/>
      <c r="AN29" s="1341"/>
      <c r="AO29" s="1385"/>
      <c r="AP29" s="1193"/>
      <c r="AQ29" s="1012"/>
      <c r="AR29" s="976"/>
      <c r="AS29" s="976"/>
      <c r="AT29" s="978"/>
      <c r="AU29" s="1520" t="s">
        <v>954</v>
      </c>
      <c r="AV29" s="1521"/>
      <c r="AW29" s="1521"/>
      <c r="AX29" s="1522"/>
      <c r="AY29" s="1029"/>
      <c r="AZ29" s="1032"/>
      <c r="BA29" s="1012"/>
      <c r="BB29" s="976"/>
      <c r="BC29" s="976"/>
      <c r="BD29" s="978"/>
      <c r="BE29" s="921" t="s">
        <v>954</v>
      </c>
      <c r="BF29" s="12">
        <v>24</v>
      </c>
      <c r="BG29" s="911">
        <v>21</v>
      </c>
      <c r="BH29" s="922">
        <f>+BG29/95</f>
        <v>0.22105263157894736</v>
      </c>
      <c r="BI29" s="923">
        <f>+BG29/BF29</f>
        <v>0.875</v>
      </c>
      <c r="BJ29" s="1029"/>
      <c r="BK29" s="1032"/>
      <c r="BL29" s="1012"/>
      <c r="BM29" s="976"/>
      <c r="BN29" s="976"/>
      <c r="BO29" s="978"/>
    </row>
    <row r="30" spans="1:67" ht="39.6" customHeight="1" x14ac:dyDescent="0.3">
      <c r="A30" s="994"/>
      <c r="B30" s="997"/>
      <c r="C30" s="1000"/>
      <c r="D30" s="986"/>
      <c r="E30" s="986"/>
      <c r="F30" s="987"/>
      <c r="G30" s="263" t="s">
        <v>378</v>
      </c>
      <c r="H30" s="227" t="s">
        <v>385</v>
      </c>
      <c r="I30" s="214"/>
      <c r="J30" s="253"/>
      <c r="K30" s="1385"/>
      <c r="L30" s="1193"/>
      <c r="M30" s="1012"/>
      <c r="N30" s="976"/>
      <c r="O30" s="976"/>
      <c r="P30" s="978"/>
      <c r="Q30" s="1370" t="s">
        <v>378</v>
      </c>
      <c r="R30" s="321">
        <v>2</v>
      </c>
      <c r="S30" s="1374" t="s">
        <v>609</v>
      </c>
      <c r="T30" s="1376"/>
      <c r="U30" s="1385"/>
      <c r="V30" s="1193"/>
      <c r="W30" s="1012"/>
      <c r="X30" s="976"/>
      <c r="Y30" s="976"/>
      <c r="Z30" s="978"/>
      <c r="AA30" s="1389" t="s">
        <v>378</v>
      </c>
      <c r="AB30" s="473">
        <v>2</v>
      </c>
      <c r="AC30" s="1387" t="s">
        <v>609</v>
      </c>
      <c r="AD30" s="1388"/>
      <c r="AE30" s="1385"/>
      <c r="AF30" s="1193"/>
      <c r="AG30" s="1012"/>
      <c r="AH30" s="976"/>
      <c r="AI30" s="976"/>
      <c r="AJ30" s="978"/>
      <c r="AK30" s="1338" t="s">
        <v>378</v>
      </c>
      <c r="AL30" s="681">
        <v>11</v>
      </c>
      <c r="AM30" s="1461" t="s">
        <v>818</v>
      </c>
      <c r="AN30" s="1462"/>
      <c r="AO30" s="1385"/>
      <c r="AP30" s="1193"/>
      <c r="AQ30" s="1012"/>
      <c r="AR30" s="976"/>
      <c r="AS30" s="976"/>
      <c r="AT30" s="978"/>
      <c r="AU30" s="892" t="s">
        <v>951</v>
      </c>
      <c r="AV30" s="309" t="s">
        <v>955</v>
      </c>
      <c r="AW30" s="309" t="s">
        <v>953</v>
      </c>
      <c r="AX30" s="893"/>
      <c r="AY30" s="1029"/>
      <c r="AZ30" s="1032"/>
      <c r="BA30" s="1012"/>
      <c r="BB30" s="976"/>
      <c r="BC30" s="976"/>
      <c r="BD30" s="978"/>
      <c r="BE30" s="892"/>
      <c r="BF30" s="920"/>
      <c r="BG30" s="309"/>
      <c r="BH30" s="309"/>
      <c r="BI30" s="893"/>
      <c r="BJ30" s="1029"/>
      <c r="BK30" s="1032"/>
      <c r="BL30" s="1012"/>
      <c r="BM30" s="976"/>
      <c r="BN30" s="976"/>
      <c r="BO30" s="978"/>
    </row>
    <row r="31" spans="1:67" ht="39.6" customHeight="1" x14ac:dyDescent="0.3">
      <c r="A31" s="994"/>
      <c r="B31" s="997"/>
      <c r="C31" s="1000"/>
      <c r="D31" s="986"/>
      <c r="E31" s="986"/>
      <c r="F31" s="987"/>
      <c r="G31" s="263" t="s">
        <v>379</v>
      </c>
      <c r="H31" s="227" t="s">
        <v>385</v>
      </c>
      <c r="I31" s="214"/>
      <c r="J31" s="253"/>
      <c r="K31" s="1385"/>
      <c r="L31" s="1193"/>
      <c r="M31" s="1012"/>
      <c r="N31" s="976"/>
      <c r="O31" s="976"/>
      <c r="P31" s="978"/>
      <c r="Q31" s="1371"/>
      <c r="R31" s="321">
        <v>4</v>
      </c>
      <c r="S31" s="1372" t="s">
        <v>606</v>
      </c>
      <c r="T31" s="1373"/>
      <c r="U31" s="1385"/>
      <c r="V31" s="1193"/>
      <c r="W31" s="1012"/>
      <c r="X31" s="976"/>
      <c r="Y31" s="976"/>
      <c r="Z31" s="978"/>
      <c r="AA31" s="1390"/>
      <c r="AB31" s="473">
        <v>4</v>
      </c>
      <c r="AC31" s="1391" t="s">
        <v>606</v>
      </c>
      <c r="AD31" s="1392"/>
      <c r="AE31" s="1385"/>
      <c r="AF31" s="1193"/>
      <c r="AG31" s="1012"/>
      <c r="AH31" s="976"/>
      <c r="AI31" s="976"/>
      <c r="AJ31" s="978"/>
      <c r="AK31" s="1339"/>
      <c r="AL31" s="681">
        <v>4</v>
      </c>
      <c r="AM31" s="1463" t="s">
        <v>606</v>
      </c>
      <c r="AN31" s="1464"/>
      <c r="AO31" s="1385"/>
      <c r="AP31" s="1193"/>
      <c r="AQ31" s="1012"/>
      <c r="AR31" s="976"/>
      <c r="AS31" s="976"/>
      <c r="AT31" s="978"/>
      <c r="AU31" s="341" t="s">
        <v>165</v>
      </c>
      <c r="AV31" s="321">
        <v>17</v>
      </c>
      <c r="AW31" s="894">
        <v>0.28799999999999998</v>
      </c>
      <c r="AX31" s="893"/>
      <c r="AY31" s="1029"/>
      <c r="AZ31" s="1032"/>
      <c r="BA31" s="1012"/>
      <c r="BB31" s="976"/>
      <c r="BC31" s="976"/>
      <c r="BD31" s="978"/>
      <c r="BE31" s="341"/>
      <c r="BF31" s="855"/>
      <c r="BG31" s="321"/>
      <c r="BH31" s="894"/>
      <c r="BI31" s="893"/>
      <c r="BJ31" s="1029"/>
      <c r="BK31" s="1032"/>
      <c r="BL31" s="1012"/>
      <c r="BM31" s="976"/>
      <c r="BN31" s="976"/>
      <c r="BO31" s="978"/>
    </row>
    <row r="32" spans="1:67" ht="39.6" customHeight="1" thickBot="1" x14ac:dyDescent="0.35">
      <c r="A32" s="995"/>
      <c r="B32" s="998"/>
      <c r="C32" s="1001"/>
      <c r="D32" s="1024"/>
      <c r="E32" s="1024"/>
      <c r="F32" s="1026"/>
      <c r="G32" s="264"/>
      <c r="H32" s="247"/>
      <c r="I32" s="248"/>
      <c r="J32" s="254"/>
      <c r="K32" s="1386"/>
      <c r="L32" s="1211"/>
      <c r="M32" s="1013"/>
      <c r="N32" s="1039"/>
      <c r="O32" s="1039"/>
      <c r="P32" s="992"/>
      <c r="Q32" s="348" t="s">
        <v>379</v>
      </c>
      <c r="R32" s="1403" t="s">
        <v>629</v>
      </c>
      <c r="S32" s="1497"/>
      <c r="T32" s="1404"/>
      <c r="U32" s="1386"/>
      <c r="V32" s="1211"/>
      <c r="W32" s="1013"/>
      <c r="X32" s="1039"/>
      <c r="Y32" s="1039"/>
      <c r="Z32" s="992"/>
      <c r="AA32" s="590" t="s">
        <v>379</v>
      </c>
      <c r="AB32" s="1394" t="s">
        <v>629</v>
      </c>
      <c r="AC32" s="1478"/>
      <c r="AD32" s="1395"/>
      <c r="AE32" s="1386"/>
      <c r="AF32" s="1211"/>
      <c r="AG32" s="1013"/>
      <c r="AH32" s="1039"/>
      <c r="AI32" s="1039"/>
      <c r="AJ32" s="992"/>
      <c r="AK32" s="709" t="s">
        <v>379</v>
      </c>
      <c r="AL32" s="1465" t="s">
        <v>819</v>
      </c>
      <c r="AM32" s="1466"/>
      <c r="AN32" s="1467"/>
      <c r="AO32" s="1386"/>
      <c r="AP32" s="1211"/>
      <c r="AQ32" s="1013"/>
      <c r="AR32" s="1039"/>
      <c r="AS32" s="1039"/>
      <c r="AT32" s="992"/>
      <c r="AU32" s="1523" t="s">
        <v>958</v>
      </c>
      <c r="AV32" s="1524"/>
      <c r="AW32" s="1524"/>
      <c r="AX32" s="1525"/>
      <c r="AY32" s="1030"/>
      <c r="AZ32" s="1033"/>
      <c r="BA32" s="1013"/>
      <c r="BB32" s="1039"/>
      <c r="BC32" s="1039"/>
      <c r="BD32" s="992"/>
      <c r="BE32" s="1523" t="s">
        <v>973</v>
      </c>
      <c r="BF32" s="1524"/>
      <c r="BG32" s="1524"/>
      <c r="BH32" s="1524"/>
      <c r="BI32" s="1525"/>
      <c r="BJ32" s="1030"/>
      <c r="BK32" s="1033"/>
      <c r="BL32" s="1013"/>
      <c r="BM32" s="1039"/>
      <c r="BN32" s="1039"/>
      <c r="BO32" s="992"/>
    </row>
    <row r="33" spans="1:67" x14ac:dyDescent="0.3">
      <c r="A33" s="169"/>
      <c r="B33" s="170"/>
      <c r="C33" s="168"/>
      <c r="D33" s="168"/>
      <c r="E33" s="54"/>
      <c r="F33" s="168"/>
      <c r="P33" s="284">
        <f>SUM(P3:P32)</f>
        <v>0.74425820105820106</v>
      </c>
      <c r="Z33" s="284">
        <f>SUM(Z3:Z32)</f>
        <v>0.68847182591151457</v>
      </c>
      <c r="AJ33" s="591">
        <f>SUM(AJ3:AJ32)</f>
        <v>0.58010148971731701</v>
      </c>
      <c r="AT33" s="591">
        <f>SUM(AT3:AT32)</f>
        <v>0.54045088744588732</v>
      </c>
      <c r="BA33" s="12"/>
      <c r="BD33" s="393">
        <f>SUM(BD3:BD32)</f>
        <v>0.89086623093681916</v>
      </c>
      <c r="BL33" s="12"/>
      <c r="BO33" s="393">
        <f>SUM(BO3:BO32)</f>
        <v>0.86618278145695371</v>
      </c>
    </row>
    <row r="35" spans="1:67" x14ac:dyDescent="0.3">
      <c r="A35" s="1027" t="s">
        <v>312</v>
      </c>
      <c r="B35" s="165" t="s">
        <v>344</v>
      </c>
      <c r="C35" s="165" t="s">
        <v>345</v>
      </c>
      <c r="D35" s="166" t="s">
        <v>346</v>
      </c>
      <c r="E35" s="165" t="s">
        <v>347</v>
      </c>
      <c r="F35" s="166">
        <v>9</v>
      </c>
      <c r="Q35" s="166">
        <v>9</v>
      </c>
      <c r="AA35" s="166">
        <v>9</v>
      </c>
      <c r="AK35" s="166">
        <v>9</v>
      </c>
    </row>
    <row r="36" spans="1:67" x14ac:dyDescent="0.3">
      <c r="A36" s="1027"/>
      <c r="B36" s="167">
        <v>159</v>
      </c>
      <c r="C36" s="167">
        <f>+D43+D48+D49</f>
        <v>190</v>
      </c>
      <c r="D36" s="167">
        <v>0</v>
      </c>
      <c r="E36" s="166" t="s">
        <v>363</v>
      </c>
      <c r="F36" s="282">
        <f>30*D51</f>
        <v>6.0767590618336884</v>
      </c>
      <c r="Q36" s="282">
        <f>30*O51</f>
        <v>0</v>
      </c>
      <c r="AA36" s="282">
        <f>30*Y51</f>
        <v>0</v>
      </c>
      <c r="AK36" s="282">
        <f>30*AI51</f>
        <v>0</v>
      </c>
    </row>
    <row r="37" spans="1:67" x14ac:dyDescent="0.3">
      <c r="A37" s="1027"/>
      <c r="B37" s="165" t="s">
        <v>387</v>
      </c>
      <c r="C37" s="275"/>
      <c r="D37" s="4"/>
      <c r="E37" s="166" t="s">
        <v>364</v>
      </c>
      <c r="F37" s="166">
        <v>3</v>
      </c>
      <c r="Q37" s="166">
        <v>3</v>
      </c>
      <c r="AA37" s="166">
        <v>3</v>
      </c>
      <c r="AK37" s="166">
        <v>3</v>
      </c>
    </row>
    <row r="38" spans="1:67" x14ac:dyDescent="0.3">
      <c r="A38" s="1027"/>
      <c r="B38" s="167">
        <v>89</v>
      </c>
      <c r="D38" s="4"/>
      <c r="E38"/>
    </row>
    <row r="39" spans="1:67" x14ac:dyDescent="0.3">
      <c r="A39" s="1027"/>
      <c r="B39" s="165" t="s">
        <v>386</v>
      </c>
      <c r="D39" s="4"/>
      <c r="E39"/>
    </row>
    <row r="40" spans="1:67" x14ac:dyDescent="0.3">
      <c r="A40" s="1027"/>
      <c r="B40" s="171">
        <f>+B36-B38</f>
        <v>70</v>
      </c>
      <c r="D40" s="4"/>
      <c r="E40"/>
    </row>
    <row r="41" spans="1:67" ht="15" thickBot="1" x14ac:dyDescent="0.35">
      <c r="D41" s="4"/>
      <c r="E41"/>
    </row>
    <row r="42" spans="1:67" x14ac:dyDescent="0.3">
      <c r="B42" s="8" t="s">
        <v>561</v>
      </c>
      <c r="C42" s="9"/>
      <c r="D42" s="276" t="s">
        <v>165</v>
      </c>
      <c r="E42" s="277" t="s">
        <v>553</v>
      </c>
    </row>
    <row r="43" spans="1:67" s="12" customFormat="1" x14ac:dyDescent="0.3">
      <c r="B43" s="13" t="s">
        <v>555</v>
      </c>
      <c r="C43" t="s">
        <v>559</v>
      </c>
      <c r="D43" s="275">
        <v>58</v>
      </c>
      <c r="E43" s="278">
        <v>0</v>
      </c>
      <c r="F43"/>
      <c r="H43"/>
      <c r="I43">
        <v>0</v>
      </c>
      <c r="J43">
        <v>7</v>
      </c>
      <c r="K43">
        <v>15</v>
      </c>
      <c r="L43">
        <f>+I43+J43+K43</f>
        <v>22</v>
      </c>
      <c r="N43"/>
      <c r="O43"/>
      <c r="P43"/>
      <c r="Q43"/>
      <c r="R43"/>
      <c r="S43">
        <v>0</v>
      </c>
      <c r="T43">
        <v>7</v>
      </c>
      <c r="U43">
        <v>15</v>
      </c>
      <c r="V43">
        <f>+S43+T43+U43</f>
        <v>22</v>
      </c>
      <c r="X43"/>
      <c r="Y43"/>
      <c r="Z43"/>
      <c r="AA43"/>
      <c r="AB43"/>
      <c r="AC43">
        <v>0</v>
      </c>
      <c r="AD43">
        <v>7</v>
      </c>
      <c r="AE43">
        <v>15</v>
      </c>
      <c r="AF43">
        <f>+AC43+AD43+AE43</f>
        <v>22</v>
      </c>
      <c r="AH43"/>
      <c r="AI43"/>
      <c r="AJ43"/>
      <c r="AK43"/>
      <c r="AL43"/>
      <c r="AM43">
        <v>0</v>
      </c>
      <c r="AN43">
        <v>7</v>
      </c>
      <c r="AO43">
        <v>15</v>
      </c>
      <c r="AP43">
        <f>+AM43+AN43+AO43</f>
        <v>22</v>
      </c>
      <c r="AR43"/>
      <c r="AS43"/>
      <c r="AT43"/>
    </row>
    <row r="44" spans="1:67" s="12" customFormat="1" x14ac:dyDescent="0.3">
      <c r="B44" s="13" t="s">
        <v>556</v>
      </c>
      <c r="C44"/>
      <c r="D44" s="275"/>
      <c r="E44" s="278"/>
      <c r="F44"/>
      <c r="H44"/>
      <c r="I44">
        <v>26</v>
      </c>
      <c r="J44">
        <v>0</v>
      </c>
      <c r="K44">
        <v>16</v>
      </c>
      <c r="L44">
        <f>+I44+J44+K44</f>
        <v>42</v>
      </c>
      <c r="N44"/>
      <c r="O44"/>
      <c r="P44"/>
      <c r="Q44"/>
      <c r="R44"/>
      <c r="S44">
        <v>26</v>
      </c>
      <c r="T44">
        <v>0</v>
      </c>
      <c r="U44">
        <v>16</v>
      </c>
      <c r="V44">
        <f>+S44+T44+U44</f>
        <v>42</v>
      </c>
      <c r="X44"/>
      <c r="Y44"/>
      <c r="Z44"/>
      <c r="AA44"/>
      <c r="AB44"/>
      <c r="AC44">
        <v>26</v>
      </c>
      <c r="AD44">
        <v>0</v>
      </c>
      <c r="AE44">
        <v>16</v>
      </c>
      <c r="AF44">
        <f>+AC44+AD44+AE44</f>
        <v>42</v>
      </c>
      <c r="AH44"/>
      <c r="AI44"/>
      <c r="AJ44"/>
      <c r="AK44"/>
      <c r="AL44"/>
      <c r="AM44">
        <v>26</v>
      </c>
      <c r="AN44">
        <v>0</v>
      </c>
      <c r="AO44">
        <v>16</v>
      </c>
      <c r="AP44">
        <f>+AM44+AN44+AO44</f>
        <v>42</v>
      </c>
      <c r="AR44"/>
      <c r="AS44"/>
      <c r="AT44"/>
    </row>
    <row r="45" spans="1:67" s="12" customFormat="1" x14ac:dyDescent="0.3">
      <c r="B45" s="13"/>
      <c r="C45"/>
      <c r="D45" s="275"/>
      <c r="E45" s="278"/>
      <c r="F45"/>
      <c r="H45"/>
      <c r="I45"/>
      <c r="J45"/>
      <c r="K45"/>
      <c r="L45">
        <f>+L43/L44</f>
        <v>0.52380952380952384</v>
      </c>
      <c r="N45"/>
      <c r="O45"/>
      <c r="P45"/>
      <c r="Q45"/>
      <c r="R45"/>
      <c r="S45"/>
      <c r="T45"/>
      <c r="U45"/>
      <c r="V45">
        <f>+V43/V44</f>
        <v>0.52380952380952384</v>
      </c>
      <c r="X45"/>
      <c r="Y45"/>
      <c r="Z45"/>
      <c r="AA45"/>
      <c r="AB45"/>
      <c r="AC45"/>
      <c r="AD45"/>
      <c r="AE45"/>
      <c r="AF45">
        <f>+AF43/AF44</f>
        <v>0.52380952380952384</v>
      </c>
      <c r="AH45"/>
      <c r="AI45"/>
      <c r="AJ45"/>
      <c r="AK45"/>
      <c r="AL45"/>
      <c r="AM45"/>
      <c r="AN45"/>
      <c r="AO45"/>
      <c r="AP45">
        <f>+AP43/AP44</f>
        <v>0.52380952380952384</v>
      </c>
      <c r="AR45"/>
      <c r="AS45"/>
      <c r="AT45"/>
    </row>
    <row r="46" spans="1:67" x14ac:dyDescent="0.3">
      <c r="B46" s="13"/>
      <c r="D46" s="275"/>
      <c r="E46" s="278"/>
    </row>
    <row r="47" spans="1:67" x14ac:dyDescent="0.3">
      <c r="B47" s="13" t="s">
        <v>553</v>
      </c>
      <c r="C47" t="s">
        <v>557</v>
      </c>
      <c r="D47" s="275"/>
      <c r="E47" s="278"/>
    </row>
    <row r="48" spans="1:67" x14ac:dyDescent="0.3">
      <c r="B48" s="13" t="s">
        <v>554</v>
      </c>
      <c r="C48" t="s">
        <v>558</v>
      </c>
      <c r="D48" s="275">
        <v>0</v>
      </c>
      <c r="E48" s="278">
        <v>76</v>
      </c>
    </row>
    <row r="49" spans="1:6" ht="15" thickBot="1" x14ac:dyDescent="0.35">
      <c r="B49" s="22"/>
      <c r="C49" s="23" t="s">
        <v>560</v>
      </c>
      <c r="D49" s="279">
        <f>12*11</f>
        <v>132</v>
      </c>
      <c r="E49" s="280">
        <f>804-132</f>
        <v>672</v>
      </c>
    </row>
    <row r="50" spans="1:6" x14ac:dyDescent="0.3">
      <c r="B50">
        <v>938</v>
      </c>
      <c r="C50" t="s">
        <v>205</v>
      </c>
      <c r="D50" s="275">
        <f>SUM(D43:D49)</f>
        <v>190</v>
      </c>
      <c r="E50" s="275">
        <f>SUM(E43:E49)</f>
        <v>748</v>
      </c>
    </row>
    <row r="51" spans="1:6" x14ac:dyDescent="0.3">
      <c r="D51" s="281">
        <f>+D50/B50</f>
        <v>0.20255863539445629</v>
      </c>
      <c r="E51" s="281">
        <f>+E50/B50</f>
        <v>0.79744136460554371</v>
      </c>
    </row>
    <row r="52" spans="1:6" x14ac:dyDescent="0.3">
      <c r="D52" s="281"/>
      <c r="E52" s="281"/>
    </row>
    <row r="53" spans="1:6" x14ac:dyDescent="0.3">
      <c r="A53" s="1474" t="s">
        <v>591</v>
      </c>
      <c r="B53" s="165" t="s">
        <v>344</v>
      </c>
      <c r="C53" s="165" t="s">
        <v>345</v>
      </c>
      <c r="D53" s="166" t="s">
        <v>346</v>
      </c>
      <c r="E53" s="166" t="s">
        <v>363</v>
      </c>
      <c r="F53" s="166">
        <f>+F66</f>
        <v>38</v>
      </c>
    </row>
    <row r="54" spans="1:6" x14ac:dyDescent="0.3">
      <c r="A54" s="1474"/>
      <c r="B54" s="167">
        <v>88</v>
      </c>
      <c r="C54" s="167">
        <f>+D66</f>
        <v>257</v>
      </c>
      <c r="D54" s="167">
        <v>0</v>
      </c>
      <c r="E54" s="165" t="s">
        <v>347</v>
      </c>
      <c r="F54" s="166">
        <v>29</v>
      </c>
    </row>
    <row r="55" spans="1:6" x14ac:dyDescent="0.3">
      <c r="A55" s="1474"/>
      <c r="B55" s="165" t="s">
        <v>387</v>
      </c>
      <c r="D55" s="4"/>
      <c r="E55" s="166" t="s">
        <v>364</v>
      </c>
      <c r="F55" s="166">
        <v>4</v>
      </c>
    </row>
    <row r="56" spans="1:6" x14ac:dyDescent="0.3">
      <c r="A56" s="1474"/>
      <c r="B56" s="167">
        <v>0</v>
      </c>
      <c r="D56" s="4"/>
      <c r="E56"/>
    </row>
    <row r="57" spans="1:6" x14ac:dyDescent="0.3">
      <c r="A57" s="1474"/>
      <c r="B57" s="165" t="s">
        <v>386</v>
      </c>
      <c r="D57" s="4"/>
      <c r="E57"/>
    </row>
    <row r="58" spans="1:6" x14ac:dyDescent="0.3">
      <c r="A58" s="1474"/>
      <c r="B58" s="171">
        <f>+B54-B56</f>
        <v>88</v>
      </c>
      <c r="D58" s="4"/>
      <c r="E58"/>
    </row>
    <row r="59" spans="1:6" ht="15" thickBot="1" x14ac:dyDescent="0.35">
      <c r="A59" s="1474"/>
    </row>
    <row r="60" spans="1:6" x14ac:dyDescent="0.3">
      <c r="A60" s="1474"/>
      <c r="B60" s="8" t="s">
        <v>624</v>
      </c>
      <c r="C60" s="9"/>
      <c r="D60" s="276" t="s">
        <v>165</v>
      </c>
      <c r="E60" s="276" t="s">
        <v>553</v>
      </c>
      <c r="F60" s="10"/>
    </row>
    <row r="61" spans="1:6" x14ac:dyDescent="0.3">
      <c r="A61" s="1474"/>
      <c r="B61" s="358" t="s">
        <v>625</v>
      </c>
      <c r="D61" s="275"/>
      <c r="E61" s="275" t="s">
        <v>627</v>
      </c>
      <c r="F61" s="14"/>
    </row>
    <row r="62" spans="1:6" x14ac:dyDescent="0.3">
      <c r="A62" s="1474"/>
      <c r="B62" s="13"/>
      <c r="D62" s="275"/>
      <c r="E62" s="275"/>
      <c r="F62" s="14"/>
    </row>
    <row r="63" spans="1:6" x14ac:dyDescent="0.3">
      <c r="A63" s="1474"/>
      <c r="B63" s="13" t="s">
        <v>626</v>
      </c>
      <c r="D63" s="275"/>
      <c r="E63" s="275" t="s">
        <v>628</v>
      </c>
      <c r="F63" s="278" t="s">
        <v>363</v>
      </c>
    </row>
    <row r="64" spans="1:6" x14ac:dyDescent="0.3">
      <c r="A64" s="1474"/>
      <c r="B64" s="13"/>
      <c r="D64" s="29">
        <f>1460-432</f>
        <v>1028</v>
      </c>
      <c r="E64" s="29">
        <f>1460-432</f>
        <v>1028</v>
      </c>
      <c r="F64" s="361">
        <v>152</v>
      </c>
    </row>
    <row r="65" spans="1:6" x14ac:dyDescent="0.3">
      <c r="A65" s="1474"/>
      <c r="B65" s="13"/>
      <c r="D65" s="359">
        <v>0.25</v>
      </c>
      <c r="E65" s="359">
        <v>0.75</v>
      </c>
      <c r="F65" s="362">
        <v>0.25</v>
      </c>
    </row>
    <row r="66" spans="1:6" x14ac:dyDescent="0.3">
      <c r="A66" s="1474"/>
      <c r="B66" s="13"/>
      <c r="D66" s="360">
        <f>+D64*D65</f>
        <v>257</v>
      </c>
      <c r="E66" s="29">
        <f>+E64*E65</f>
        <v>771</v>
      </c>
      <c r="F66" s="361">
        <f>+F64*F65</f>
        <v>38</v>
      </c>
    </row>
    <row r="67" spans="1:6" ht="15" thickBot="1" x14ac:dyDescent="0.35">
      <c r="A67" s="1474"/>
      <c r="B67" s="22"/>
      <c r="C67" s="23"/>
      <c r="D67" s="279"/>
      <c r="E67" s="279"/>
      <c r="F67" s="24"/>
    </row>
    <row r="68" spans="1:6" x14ac:dyDescent="0.3">
      <c r="D68" s="275"/>
      <c r="E68" s="275"/>
    </row>
    <row r="69" spans="1:6" x14ac:dyDescent="0.3">
      <c r="D69" s="281"/>
      <c r="E69" s="281"/>
    </row>
    <row r="70" spans="1:6" x14ac:dyDescent="0.3">
      <c r="A70" s="1027" t="s">
        <v>692</v>
      </c>
      <c r="B70" s="165" t="s">
        <v>344</v>
      </c>
      <c r="C70" s="165" t="s">
        <v>345</v>
      </c>
      <c r="D70" s="166" t="s">
        <v>346</v>
      </c>
      <c r="E70" s="166" t="s">
        <v>363</v>
      </c>
      <c r="F70" s="166">
        <v>9</v>
      </c>
    </row>
    <row r="71" spans="1:6" x14ac:dyDescent="0.3">
      <c r="A71" s="1027"/>
      <c r="B71" s="167">
        <v>87</v>
      </c>
      <c r="C71" s="167">
        <v>313</v>
      </c>
      <c r="D71" s="167">
        <v>0</v>
      </c>
      <c r="E71" s="165" t="s">
        <v>347</v>
      </c>
      <c r="F71" s="166">
        <v>3</v>
      </c>
    </row>
    <row r="72" spans="1:6" x14ac:dyDescent="0.3">
      <c r="A72" s="1027"/>
      <c r="B72" s="165" t="s">
        <v>387</v>
      </c>
      <c r="D72" s="4"/>
      <c r="E72" s="166" t="s">
        <v>364</v>
      </c>
      <c r="F72" s="166">
        <v>5</v>
      </c>
    </row>
    <row r="73" spans="1:6" x14ac:dyDescent="0.3">
      <c r="A73" s="1027"/>
      <c r="B73" s="167">
        <v>27</v>
      </c>
      <c r="D73" s="4"/>
      <c r="E73"/>
    </row>
    <row r="74" spans="1:6" x14ac:dyDescent="0.3">
      <c r="A74" s="1027"/>
      <c r="B74" s="165" t="s">
        <v>386</v>
      </c>
      <c r="D74" s="4"/>
      <c r="E74"/>
    </row>
    <row r="75" spans="1:6" x14ac:dyDescent="0.3">
      <c r="A75" s="1027"/>
      <c r="B75" s="171">
        <f>+B71-B73</f>
        <v>60</v>
      </c>
      <c r="D75" s="4"/>
      <c r="E75"/>
    </row>
    <row r="77" spans="1:6" x14ac:dyDescent="0.3">
      <c r="D77" s="281"/>
      <c r="E77" s="281"/>
    </row>
    <row r="78" spans="1:6" x14ac:dyDescent="0.3">
      <c r="A78" s="1027" t="s">
        <v>693</v>
      </c>
      <c r="B78" s="165" t="s">
        <v>344</v>
      </c>
      <c r="C78" s="165" t="s">
        <v>345</v>
      </c>
      <c r="D78" s="166" t="s">
        <v>346</v>
      </c>
      <c r="E78" s="166" t="s">
        <v>363</v>
      </c>
      <c r="F78" s="166">
        <v>6</v>
      </c>
    </row>
    <row r="79" spans="1:6" x14ac:dyDescent="0.3">
      <c r="A79" s="1027"/>
      <c r="B79" s="167">
        <v>42</v>
      </c>
      <c r="C79" s="167">
        <v>382</v>
      </c>
      <c r="D79" s="167">
        <v>0</v>
      </c>
      <c r="E79" s="165" t="s">
        <v>347</v>
      </c>
      <c r="F79" s="166">
        <v>17</v>
      </c>
    </row>
    <row r="80" spans="1:6" x14ac:dyDescent="0.3">
      <c r="A80" s="1027"/>
      <c r="B80" s="165" t="s">
        <v>387</v>
      </c>
      <c r="D80" s="4"/>
      <c r="E80" s="166" t="s">
        <v>364</v>
      </c>
      <c r="F80" s="166">
        <v>2</v>
      </c>
    </row>
    <row r="81" spans="1:6" x14ac:dyDescent="0.3">
      <c r="A81" s="1027"/>
      <c r="B81" s="167">
        <v>22</v>
      </c>
      <c r="D81" s="4"/>
      <c r="E81"/>
    </row>
    <row r="82" spans="1:6" x14ac:dyDescent="0.3">
      <c r="A82" s="1027"/>
      <c r="B82" s="165" t="s">
        <v>386</v>
      </c>
      <c r="D82" s="4"/>
      <c r="E82"/>
    </row>
    <row r="83" spans="1:6" x14ac:dyDescent="0.3">
      <c r="A83" s="1027"/>
      <c r="B83" s="171">
        <f>+B79-B81</f>
        <v>20</v>
      </c>
      <c r="D83" s="4"/>
      <c r="E83"/>
    </row>
    <row r="85" spans="1:6" x14ac:dyDescent="0.3">
      <c r="A85" s="1027" t="s">
        <v>808</v>
      </c>
      <c r="B85" s="165" t="s">
        <v>344</v>
      </c>
      <c r="C85" s="165" t="s">
        <v>345</v>
      </c>
      <c r="D85" s="166" t="s">
        <v>346</v>
      </c>
      <c r="E85" s="166" t="s">
        <v>363</v>
      </c>
      <c r="F85" s="166">
        <v>34</v>
      </c>
    </row>
    <row r="86" spans="1:6" x14ac:dyDescent="0.3">
      <c r="A86" s="1027"/>
      <c r="B86" s="167">
        <v>120</v>
      </c>
      <c r="C86" s="167">
        <v>392</v>
      </c>
      <c r="D86" s="167">
        <v>0</v>
      </c>
      <c r="E86" s="165" t="s">
        <v>347</v>
      </c>
      <c r="F86" s="166">
        <v>91</v>
      </c>
    </row>
    <row r="87" spans="1:6" x14ac:dyDescent="0.3">
      <c r="A87" s="1027"/>
      <c r="B87" s="165" t="s">
        <v>387</v>
      </c>
      <c r="D87" s="4"/>
      <c r="E87" s="166" t="s">
        <v>364</v>
      </c>
      <c r="F87" s="166">
        <v>1</v>
      </c>
    </row>
    <row r="88" spans="1:6" x14ac:dyDescent="0.3">
      <c r="A88" s="1027"/>
      <c r="B88" s="167">
        <v>2</v>
      </c>
      <c r="D88" s="4"/>
      <c r="E88"/>
    </row>
    <row r="89" spans="1:6" x14ac:dyDescent="0.3">
      <c r="A89" s="1027"/>
      <c r="B89" s="165" t="s">
        <v>386</v>
      </c>
      <c r="D89" s="4"/>
      <c r="E89"/>
    </row>
    <row r="90" spans="1:6" x14ac:dyDescent="0.3">
      <c r="A90" s="1027"/>
      <c r="B90" s="171">
        <f>+B86-B88</f>
        <v>118</v>
      </c>
      <c r="D90" s="4"/>
      <c r="E90"/>
    </row>
    <row r="92" spans="1:6" x14ac:dyDescent="0.3">
      <c r="A92" s="1027" t="s">
        <v>889</v>
      </c>
      <c r="B92" s="165" t="s">
        <v>344</v>
      </c>
      <c r="C92" s="165" t="s">
        <v>345</v>
      </c>
      <c r="D92" s="166" t="s">
        <v>346</v>
      </c>
      <c r="E92" s="166" t="s">
        <v>363</v>
      </c>
      <c r="F92" s="166">
        <v>19</v>
      </c>
    </row>
    <row r="93" spans="1:6" x14ac:dyDescent="0.3">
      <c r="A93" s="1027"/>
      <c r="B93" s="167">
        <v>255</v>
      </c>
      <c r="C93" s="167">
        <v>654</v>
      </c>
      <c r="D93" s="167">
        <v>0</v>
      </c>
      <c r="E93" s="165" t="s">
        <v>347</v>
      </c>
      <c r="F93" s="166">
        <v>14</v>
      </c>
    </row>
    <row r="94" spans="1:6" x14ac:dyDescent="0.3">
      <c r="A94" s="1027"/>
      <c r="B94" s="165" t="s">
        <v>387</v>
      </c>
      <c r="D94" s="4"/>
      <c r="E94" s="166" t="s">
        <v>364</v>
      </c>
      <c r="F94" s="166">
        <v>6</v>
      </c>
    </row>
    <row r="95" spans="1:6" x14ac:dyDescent="0.3">
      <c r="A95" s="1027"/>
      <c r="B95" s="167">
        <v>0</v>
      </c>
      <c r="D95" s="4"/>
      <c r="E95"/>
    </row>
    <row r="96" spans="1:6" x14ac:dyDescent="0.3">
      <c r="A96" s="1027"/>
      <c r="B96" s="165" t="s">
        <v>386</v>
      </c>
      <c r="D96" s="4"/>
      <c r="E96"/>
    </row>
    <row r="97" spans="1:6" x14ac:dyDescent="0.3">
      <c r="A97" s="1027"/>
      <c r="B97" s="171">
        <f>+B93-B95</f>
        <v>255</v>
      </c>
      <c r="D97" s="4"/>
      <c r="E97"/>
    </row>
    <row r="99" spans="1:6" x14ac:dyDescent="0.3">
      <c r="A99" s="1027" t="s">
        <v>968</v>
      </c>
      <c r="B99" s="165" t="s">
        <v>344</v>
      </c>
      <c r="C99" s="165" t="s">
        <v>345</v>
      </c>
      <c r="D99" s="166" t="s">
        <v>346</v>
      </c>
      <c r="E99" s="166" t="s">
        <v>363</v>
      </c>
      <c r="F99" s="166">
        <v>84</v>
      </c>
    </row>
    <row r="100" spans="1:6" x14ac:dyDescent="0.3">
      <c r="A100" s="1027"/>
      <c r="B100" s="167">
        <v>302</v>
      </c>
      <c r="C100" s="167">
        <v>538</v>
      </c>
      <c r="D100" s="167">
        <v>0</v>
      </c>
      <c r="E100" s="165" t="s">
        <v>347</v>
      </c>
      <c r="F100" s="166">
        <v>95</v>
      </c>
    </row>
    <row r="101" spans="1:6" x14ac:dyDescent="0.3">
      <c r="A101" s="1027"/>
      <c r="B101" s="165" t="s">
        <v>387</v>
      </c>
      <c r="D101" s="4"/>
      <c r="E101" s="166" t="s">
        <v>364</v>
      </c>
      <c r="F101" s="166">
        <v>5</v>
      </c>
    </row>
    <row r="102" spans="1:6" x14ac:dyDescent="0.3">
      <c r="A102" s="1027"/>
      <c r="B102" s="167">
        <f>+B100-B104</f>
        <v>0</v>
      </c>
      <c r="D102" s="4"/>
      <c r="E102"/>
    </row>
    <row r="103" spans="1:6" x14ac:dyDescent="0.3">
      <c r="A103" s="1027"/>
      <c r="B103" s="165" t="s">
        <v>386</v>
      </c>
      <c r="D103" s="4"/>
      <c r="E103"/>
    </row>
    <row r="104" spans="1:6" x14ac:dyDescent="0.3">
      <c r="A104" s="1027"/>
      <c r="B104" s="171">
        <v>302</v>
      </c>
      <c r="D104" s="4"/>
      <c r="E104"/>
    </row>
  </sheetData>
  <mergeCells count="296">
    <mergeCell ref="BN24:BN25"/>
    <mergeCell ref="BO24:BO25"/>
    <mergeCell ref="BG25:BI25"/>
    <mergeCell ref="BE26:BI26"/>
    <mergeCell ref="BJ26:BJ32"/>
    <mergeCell ref="BK26:BK32"/>
    <mergeCell ref="BL26:BL32"/>
    <mergeCell ref="BM26:BM32"/>
    <mergeCell ref="BN26:BN32"/>
    <mergeCell ref="BO26:BO32"/>
    <mergeCell ref="BE32:BI32"/>
    <mergeCell ref="BI8:BI9"/>
    <mergeCell ref="BJ8:BJ9"/>
    <mergeCell ref="BK8:BK9"/>
    <mergeCell ref="BL8:BL9"/>
    <mergeCell ref="BJ12:BJ19"/>
    <mergeCell ref="BK12:BK19"/>
    <mergeCell ref="BL12:BL19"/>
    <mergeCell ref="BE24:BI24"/>
    <mergeCell ref="BM24:BM25"/>
    <mergeCell ref="A99:A104"/>
    <mergeCell ref="BE1:BO1"/>
    <mergeCell ref="BE2:BI2"/>
    <mergeCell ref="BJ2:BK2"/>
    <mergeCell ref="BM3:BM23"/>
    <mergeCell ref="BN3:BN23"/>
    <mergeCell ref="BO3:BO23"/>
    <mergeCell ref="BE4:BE5"/>
    <mergeCell ref="BG4:BG5"/>
    <mergeCell ref="BH4:BH5"/>
    <mergeCell ref="BI4:BI5"/>
    <mergeCell ref="BJ4:BJ5"/>
    <mergeCell ref="BK4:BK5"/>
    <mergeCell ref="BL4:BL5"/>
    <mergeCell ref="BE6:BE7"/>
    <mergeCell ref="BG6:BG7"/>
    <mergeCell ref="BH6:BH7"/>
    <mergeCell ref="BI6:BI7"/>
    <mergeCell ref="BJ6:BJ7"/>
    <mergeCell ref="BK6:BK7"/>
    <mergeCell ref="BL6:BL7"/>
    <mergeCell ref="BE8:BE9"/>
    <mergeCell ref="BG8:BG9"/>
    <mergeCell ref="BH8:BH9"/>
    <mergeCell ref="BB24:BB25"/>
    <mergeCell ref="BC24:BC25"/>
    <mergeCell ref="BD24:BD25"/>
    <mergeCell ref="AV25:AX25"/>
    <mergeCell ref="AY26:AY32"/>
    <mergeCell ref="AZ26:AZ32"/>
    <mergeCell ref="BA26:BA32"/>
    <mergeCell ref="BB26:BB32"/>
    <mergeCell ref="BC26:BC32"/>
    <mergeCell ref="BD26:BD32"/>
    <mergeCell ref="AU26:AX26"/>
    <mergeCell ref="AU29:AX29"/>
    <mergeCell ref="AU32:AX32"/>
    <mergeCell ref="AW8:AW9"/>
    <mergeCell ref="AX8:AX9"/>
    <mergeCell ref="AY8:AY9"/>
    <mergeCell ref="AZ8:AZ9"/>
    <mergeCell ref="BA8:BA9"/>
    <mergeCell ref="AY12:AY19"/>
    <mergeCell ref="AZ12:AZ19"/>
    <mergeCell ref="BA12:BA19"/>
    <mergeCell ref="AU24:AX24"/>
    <mergeCell ref="L8:L9"/>
    <mergeCell ref="A92:A97"/>
    <mergeCell ref="AU1:BD1"/>
    <mergeCell ref="AU2:AX2"/>
    <mergeCell ref="AY2:AZ2"/>
    <mergeCell ref="BB3:BB23"/>
    <mergeCell ref="BC3:BC23"/>
    <mergeCell ref="BD3:BD23"/>
    <mergeCell ref="AU4:AU5"/>
    <mergeCell ref="AV4:AV5"/>
    <mergeCell ref="AW4:AW5"/>
    <mergeCell ref="AX4:AX5"/>
    <mergeCell ref="AY4:AY5"/>
    <mergeCell ref="AZ4:AZ5"/>
    <mergeCell ref="BA4:BA5"/>
    <mergeCell ref="AU6:AU7"/>
    <mergeCell ref="AV6:AV7"/>
    <mergeCell ref="AW6:AW7"/>
    <mergeCell ref="AX6:AX7"/>
    <mergeCell ref="AY6:AY7"/>
    <mergeCell ref="AZ6:AZ7"/>
    <mergeCell ref="BA6:BA7"/>
    <mergeCell ref="AU8:AU9"/>
    <mergeCell ref="AV8:AV9"/>
    <mergeCell ref="W12:W19"/>
    <mergeCell ref="I6:I7"/>
    <mergeCell ref="A1:F1"/>
    <mergeCell ref="G1:P1"/>
    <mergeCell ref="G2:J2"/>
    <mergeCell ref="K2:L2"/>
    <mergeCell ref="N3:N21"/>
    <mergeCell ref="O3:O21"/>
    <mergeCell ref="P3:P21"/>
    <mergeCell ref="D4:D5"/>
    <mergeCell ref="K4:K5"/>
    <mergeCell ref="L4:L5"/>
    <mergeCell ref="M4:M5"/>
    <mergeCell ref="D6:D7"/>
    <mergeCell ref="E6:E7"/>
    <mergeCell ref="F6:F7"/>
    <mergeCell ref="J6:J7"/>
    <mergeCell ref="E4:E5"/>
    <mergeCell ref="F4:F5"/>
    <mergeCell ref="G4:G5"/>
    <mergeCell ref="H4:H5"/>
    <mergeCell ref="I4:I5"/>
    <mergeCell ref="J8:J9"/>
    <mergeCell ref="K8:K9"/>
    <mergeCell ref="X24:X25"/>
    <mergeCell ref="Q1:Z1"/>
    <mergeCell ref="Q2:T2"/>
    <mergeCell ref="U2:V2"/>
    <mergeCell ref="X3:X21"/>
    <mergeCell ref="Y3:Y21"/>
    <mergeCell ref="Z3:Z21"/>
    <mergeCell ref="Q4:Q5"/>
    <mergeCell ref="R4:R5"/>
    <mergeCell ref="S4:S5"/>
    <mergeCell ref="T4:T5"/>
    <mergeCell ref="U4:U5"/>
    <mergeCell ref="V4:V5"/>
    <mergeCell ref="W4:W5"/>
    <mergeCell ref="Q6:Q7"/>
    <mergeCell ref="R6:R7"/>
    <mergeCell ref="S6:S7"/>
    <mergeCell ref="U12:U19"/>
    <mergeCell ref="T6:T7"/>
    <mergeCell ref="U6:U7"/>
    <mergeCell ref="V6:V7"/>
    <mergeCell ref="W6:W7"/>
    <mergeCell ref="Q8:Q9"/>
    <mergeCell ref="V12:V19"/>
    <mergeCell ref="R29:T29"/>
    <mergeCell ref="R32:T32"/>
    <mergeCell ref="S30:T30"/>
    <mergeCell ref="S31:T31"/>
    <mergeCell ref="G24:J24"/>
    <mergeCell ref="N24:N25"/>
    <mergeCell ref="G25:J25"/>
    <mergeCell ref="Q24:T24"/>
    <mergeCell ref="R25:T25"/>
    <mergeCell ref="P26:P32"/>
    <mergeCell ref="C26:C32"/>
    <mergeCell ref="D26:D32"/>
    <mergeCell ref="E26:E32"/>
    <mergeCell ref="F26:F32"/>
    <mergeCell ref="K26:K32"/>
    <mergeCell ref="L26:L32"/>
    <mergeCell ref="M26:M32"/>
    <mergeCell ref="N26:N32"/>
    <mergeCell ref="O26:O32"/>
    <mergeCell ref="R8:R9"/>
    <mergeCell ref="S8:S9"/>
    <mergeCell ref="T8:T9"/>
    <mergeCell ref="U8:U9"/>
    <mergeCell ref="V8:V9"/>
    <mergeCell ref="W8:W9"/>
    <mergeCell ref="Q30:Q31"/>
    <mergeCell ref="A35:A40"/>
    <mergeCell ref="L12:L19"/>
    <mergeCell ref="M12:M19"/>
    <mergeCell ref="C12:C19"/>
    <mergeCell ref="D12:D19"/>
    <mergeCell ref="E12:E19"/>
    <mergeCell ref="F12:F19"/>
    <mergeCell ref="K12:K19"/>
    <mergeCell ref="A3:A23"/>
    <mergeCell ref="B3:B23"/>
    <mergeCell ref="D8:D9"/>
    <mergeCell ref="E8:E9"/>
    <mergeCell ref="F8:F9"/>
    <mergeCell ref="G8:G9"/>
    <mergeCell ref="H8:H9"/>
    <mergeCell ref="I8:I9"/>
    <mergeCell ref="A24:A25"/>
    <mergeCell ref="J4:J5"/>
    <mergeCell ref="K6:K7"/>
    <mergeCell ref="L6:L7"/>
    <mergeCell ref="M6:M7"/>
    <mergeCell ref="M8:M9"/>
    <mergeCell ref="G6:G7"/>
    <mergeCell ref="H6:H7"/>
    <mergeCell ref="AA1:AJ1"/>
    <mergeCell ref="AA2:AD2"/>
    <mergeCell ref="AE2:AF2"/>
    <mergeCell ref="AH3:AH21"/>
    <mergeCell ref="AI3:AI21"/>
    <mergeCell ref="AJ3:AJ21"/>
    <mergeCell ref="AA4:AA5"/>
    <mergeCell ref="AB4:AB5"/>
    <mergeCell ref="AC4:AC5"/>
    <mergeCell ref="AD4:AD5"/>
    <mergeCell ref="AE4:AE5"/>
    <mergeCell ref="AF4:AF5"/>
    <mergeCell ref="AG4:AG5"/>
    <mergeCell ref="AA6:AA7"/>
    <mergeCell ref="AB6:AB7"/>
    <mergeCell ref="AC6:AC7"/>
    <mergeCell ref="AD6:AD7"/>
    <mergeCell ref="AE6:AE7"/>
    <mergeCell ref="AF6:AF7"/>
    <mergeCell ref="AG6:AG7"/>
    <mergeCell ref="AA8:AA9"/>
    <mergeCell ref="AB8:AB9"/>
    <mergeCell ref="AC8:AC9"/>
    <mergeCell ref="AD8:AD9"/>
    <mergeCell ref="AE8:AE9"/>
    <mergeCell ref="AF8:AF9"/>
    <mergeCell ref="AG8:AG9"/>
    <mergeCell ref="AE12:AE19"/>
    <mergeCell ref="AF12:AF19"/>
    <mergeCell ref="AG12:AG19"/>
    <mergeCell ref="AA24:AD24"/>
    <mergeCell ref="AH24:AH25"/>
    <mergeCell ref="AI24:AI25"/>
    <mergeCell ref="AA30:AA31"/>
    <mergeCell ref="AC30:AD30"/>
    <mergeCell ref="AC31:AD31"/>
    <mergeCell ref="AB32:AD32"/>
    <mergeCell ref="A70:A75"/>
    <mergeCell ref="A78:A83"/>
    <mergeCell ref="AJ24:AJ25"/>
    <mergeCell ref="AB25:AD25"/>
    <mergeCell ref="AE26:AE32"/>
    <mergeCell ref="AF26:AF32"/>
    <mergeCell ref="AG26:AG32"/>
    <mergeCell ref="AH26:AH32"/>
    <mergeCell ref="AI26:AI32"/>
    <mergeCell ref="AJ26:AJ32"/>
    <mergeCell ref="AB29:AD29"/>
    <mergeCell ref="Z24:Z25"/>
    <mergeCell ref="U26:U32"/>
    <mergeCell ref="V26:V32"/>
    <mergeCell ref="W26:W32"/>
    <mergeCell ref="X26:X32"/>
    <mergeCell ref="Y26:Y32"/>
    <mergeCell ref="Z26:Z32"/>
    <mergeCell ref="O24:O25"/>
    <mergeCell ref="P24:P25"/>
    <mergeCell ref="Y24:Y25"/>
    <mergeCell ref="A26:A32"/>
    <mergeCell ref="B26:B32"/>
    <mergeCell ref="AP12:AP19"/>
    <mergeCell ref="AQ12:AQ19"/>
    <mergeCell ref="AK24:AN24"/>
    <mergeCell ref="A85:A90"/>
    <mergeCell ref="A53:A67"/>
    <mergeCell ref="AK1:AT1"/>
    <mergeCell ref="AK2:AN2"/>
    <mergeCell ref="AO2:AP2"/>
    <mergeCell ref="AK4:AK5"/>
    <mergeCell ref="AL4:AL5"/>
    <mergeCell ref="AM4:AM5"/>
    <mergeCell ref="AN4:AN5"/>
    <mergeCell ref="AO4:AO5"/>
    <mergeCell ref="AP4:AP5"/>
    <mergeCell ref="AQ4:AQ5"/>
    <mergeCell ref="AK6:AK7"/>
    <mergeCell ref="AL6:AL7"/>
    <mergeCell ref="AM6:AM7"/>
    <mergeCell ref="AN6:AN7"/>
    <mergeCell ref="AO6:AO7"/>
    <mergeCell ref="AP6:AP7"/>
    <mergeCell ref="AQ6:AQ7"/>
    <mergeCell ref="AK8:AK9"/>
    <mergeCell ref="AL8:AL9"/>
    <mergeCell ref="AR3:AR23"/>
    <mergeCell ref="AS3:AS23"/>
    <mergeCell ref="AT3:AT23"/>
    <mergeCell ref="AK30:AK31"/>
    <mergeCell ref="AM30:AN30"/>
    <mergeCell ref="AM31:AN31"/>
    <mergeCell ref="AL32:AN32"/>
    <mergeCell ref="AR24:AR25"/>
    <mergeCell ref="AS24:AS25"/>
    <mergeCell ref="AT24:AT25"/>
    <mergeCell ref="AL25:AN25"/>
    <mergeCell ref="AO26:AO32"/>
    <mergeCell ref="AP26:AP32"/>
    <mergeCell ref="AQ26:AQ32"/>
    <mergeCell ref="AR26:AR32"/>
    <mergeCell ref="AS26:AS32"/>
    <mergeCell ref="AT26:AT32"/>
    <mergeCell ref="AL29:AN29"/>
    <mergeCell ref="AM8:AM9"/>
    <mergeCell ref="AN8:AN9"/>
    <mergeCell ref="AO8:AO9"/>
    <mergeCell ref="AP8:AP9"/>
    <mergeCell ref="AQ8:AQ9"/>
    <mergeCell ref="AO12:AO19"/>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D846-1ED7-4231-ABB6-35539D2D25C1}">
  <dimension ref="A1:AA47"/>
  <sheetViews>
    <sheetView topLeftCell="C22" zoomScale="70" zoomScaleNormal="70" workbookViewId="0">
      <selection activeCell="Z23" sqref="Z23"/>
    </sheetView>
  </sheetViews>
  <sheetFormatPr baseColWidth="10" defaultRowHeight="14.4" outlineLevelCol="1" x14ac:dyDescent="0.3"/>
  <cols>
    <col min="2" max="2" width="26.44140625" customWidth="1"/>
    <col min="3" max="3" width="24" customWidth="1"/>
    <col min="4" max="4" width="31.21875" customWidth="1"/>
    <col min="5" max="5" width="33.44140625" style="4" customWidth="1"/>
    <col min="6" max="6" width="45.33203125" customWidth="1"/>
    <col min="7" max="7" width="18.6640625" hidden="1" customWidth="1" outlineLevel="1"/>
    <col min="8" max="8" width="21.21875" hidden="1" customWidth="1" outlineLevel="1"/>
    <col min="9" max="9" width="21.33203125" hidden="1" customWidth="1" outlineLevel="1"/>
    <col min="10" max="11" width="11.5546875" hidden="1" customWidth="1" outlineLevel="1"/>
    <col min="12" max="12" width="73.88671875" hidden="1" customWidth="1" outlineLevel="1"/>
    <col min="13" max="13" width="17.88671875" style="12" hidden="1" customWidth="1" outlineLevel="1"/>
    <col min="14" max="14" width="16.44140625" hidden="1" customWidth="1" outlineLevel="1"/>
    <col min="15" max="15" width="11.5546875" hidden="1" customWidth="1" outlineLevel="1"/>
    <col min="16" max="16" width="17.44140625" hidden="1" customWidth="1" collapsed="1"/>
    <col min="17" max="18" width="18.6640625" customWidth="1" outlineLevel="1"/>
    <col min="19" max="19" width="21.21875" customWidth="1" outlineLevel="1"/>
    <col min="20" max="20" width="21.33203125" customWidth="1" outlineLevel="1"/>
    <col min="21" max="22" width="11.5546875" outlineLevel="1"/>
    <col min="23" max="23" width="73.88671875" customWidth="1" outlineLevel="1"/>
    <col min="24" max="24" width="17.88671875" style="12" customWidth="1" outlineLevel="1"/>
    <col min="25" max="25" width="16.44140625" customWidth="1" outlineLevel="1"/>
    <col min="26" max="26" width="11.5546875" outlineLevel="1"/>
    <col min="27" max="27" width="17.44140625" customWidth="1"/>
  </cols>
  <sheetData>
    <row r="1" spans="1:27" s="172" customFormat="1" ht="18.600000000000001" thickBot="1" x14ac:dyDescent="0.4">
      <c r="A1" s="960" t="s">
        <v>242</v>
      </c>
      <c r="B1" s="961"/>
      <c r="C1" s="961"/>
      <c r="D1" s="961"/>
      <c r="E1" s="961"/>
      <c r="F1" s="961"/>
      <c r="G1" s="962">
        <v>46082</v>
      </c>
      <c r="H1" s="962"/>
      <c r="I1" s="962"/>
      <c r="J1" s="962"/>
      <c r="K1" s="962"/>
      <c r="L1" s="962"/>
      <c r="M1" s="962"/>
      <c r="N1" s="962"/>
      <c r="O1" s="962"/>
      <c r="P1" s="963"/>
      <c r="Q1" s="962">
        <v>46113</v>
      </c>
      <c r="R1" s="962"/>
      <c r="S1" s="962"/>
      <c r="T1" s="962"/>
      <c r="U1" s="962"/>
      <c r="V1" s="962"/>
      <c r="W1" s="962"/>
      <c r="X1" s="962"/>
      <c r="Y1" s="962"/>
      <c r="Z1" s="962"/>
      <c r="AA1" s="963"/>
    </row>
    <row r="2" spans="1:27" ht="28.8" x14ac:dyDescent="0.3">
      <c r="A2" s="1" t="s">
        <v>92</v>
      </c>
      <c r="B2" s="60" t="s">
        <v>0</v>
      </c>
      <c r="C2" s="60" t="s">
        <v>1</v>
      </c>
      <c r="D2" s="60" t="s">
        <v>73</v>
      </c>
      <c r="E2" s="249" t="s">
        <v>3</v>
      </c>
      <c r="F2" s="633" t="s">
        <v>4</v>
      </c>
      <c r="G2" s="964" t="s">
        <v>132</v>
      </c>
      <c r="H2" s="965"/>
      <c r="I2" s="965"/>
      <c r="J2" s="966"/>
      <c r="K2" s="967" t="s">
        <v>875</v>
      </c>
      <c r="L2" s="968"/>
      <c r="M2" s="268" t="s">
        <v>88</v>
      </c>
      <c r="N2" s="60" t="s">
        <v>92</v>
      </c>
      <c r="O2" s="60" t="s">
        <v>220</v>
      </c>
      <c r="P2" s="68" t="s">
        <v>876</v>
      </c>
      <c r="Q2" s="964" t="s">
        <v>132</v>
      </c>
      <c r="R2" s="1040"/>
      <c r="S2" s="965"/>
      <c r="T2" s="965"/>
      <c r="U2" s="966"/>
      <c r="V2" s="967" t="s">
        <v>974</v>
      </c>
      <c r="W2" s="968"/>
      <c r="X2" s="268" t="s">
        <v>88</v>
      </c>
      <c r="Y2" s="60" t="s">
        <v>92</v>
      </c>
      <c r="Z2" s="60" t="s">
        <v>220</v>
      </c>
      <c r="AA2" s="68" t="s">
        <v>970</v>
      </c>
    </row>
    <row r="3" spans="1:27" ht="274.8" customHeight="1" x14ac:dyDescent="0.3">
      <c r="A3" s="969">
        <v>0.7</v>
      </c>
      <c r="B3" s="972" t="s">
        <v>74</v>
      </c>
      <c r="C3" s="159" t="s">
        <v>362</v>
      </c>
      <c r="D3" s="2" t="s">
        <v>501</v>
      </c>
      <c r="E3" s="7" t="s">
        <v>503</v>
      </c>
      <c r="F3" s="173" t="s">
        <v>502</v>
      </c>
      <c r="G3" s="91" t="s">
        <v>360</v>
      </c>
      <c r="H3" s="110">
        <f>+B36</f>
        <v>190</v>
      </c>
      <c r="I3" s="88" t="s">
        <v>361</v>
      </c>
      <c r="J3" s="196">
        <f>+B40</f>
        <v>190</v>
      </c>
      <c r="K3" s="638">
        <f>+J3/H3</f>
        <v>1</v>
      </c>
      <c r="L3" s="55" t="s">
        <v>939</v>
      </c>
      <c r="M3" s="269">
        <f>+K3</f>
        <v>1</v>
      </c>
      <c r="N3" s="976">
        <v>0.6</v>
      </c>
      <c r="O3" s="976">
        <f>SUM(M3:M22)/9</f>
        <v>0.93037280701754377</v>
      </c>
      <c r="P3" s="978">
        <f>+N3*O3</f>
        <v>0.55822368421052626</v>
      </c>
      <c r="Q3" s="91" t="s">
        <v>360</v>
      </c>
      <c r="R3" s="350"/>
      <c r="S3" s="110">
        <f>+B43</f>
        <v>349</v>
      </c>
      <c r="T3" s="88" t="s">
        <v>361</v>
      </c>
      <c r="U3" s="196">
        <f>+B47</f>
        <v>349</v>
      </c>
      <c r="V3" s="638">
        <f>+U3/S3</f>
        <v>1</v>
      </c>
      <c r="W3" s="55" t="s">
        <v>939</v>
      </c>
      <c r="X3" s="269">
        <f>+V3</f>
        <v>1</v>
      </c>
      <c r="Y3" s="976">
        <v>0.6</v>
      </c>
      <c r="Z3" s="976">
        <f>SUM(X3:X22)/9</f>
        <v>0.88597883597883598</v>
      </c>
      <c r="AA3" s="978">
        <f>+Y3*Z3</f>
        <v>0.53158730158730161</v>
      </c>
    </row>
    <row r="4" spans="1:27" ht="98.4" customHeight="1" x14ac:dyDescent="0.3">
      <c r="A4" s="970"/>
      <c r="B4" s="973"/>
      <c r="C4" s="6" t="s">
        <v>139</v>
      </c>
      <c r="D4" s="985" t="s">
        <v>505</v>
      </c>
      <c r="E4" s="986" t="s">
        <v>506</v>
      </c>
      <c r="F4" s="987" t="s">
        <v>507</v>
      </c>
      <c r="G4" s="988" t="s">
        <v>366</v>
      </c>
      <c r="H4" s="955">
        <f>+F36</f>
        <v>16</v>
      </c>
      <c r="I4" s="956" t="s">
        <v>365</v>
      </c>
      <c r="J4" s="957">
        <f>+H4/J3</f>
        <v>8.4210526315789472E-2</v>
      </c>
      <c r="K4" s="958">
        <f>+J4</f>
        <v>8.4210526315789472E-2</v>
      </c>
      <c r="L4" s="959" t="s">
        <v>940</v>
      </c>
      <c r="M4" s="984">
        <f>+K4*10</f>
        <v>0.84210526315789469</v>
      </c>
      <c r="N4" s="976"/>
      <c r="O4" s="976"/>
      <c r="P4" s="978"/>
      <c r="Q4" s="988" t="s">
        <v>366</v>
      </c>
      <c r="R4" s="350"/>
      <c r="S4" s="955">
        <f>+F42</f>
        <v>83</v>
      </c>
      <c r="T4" s="956" t="s">
        <v>365</v>
      </c>
      <c r="U4" s="957">
        <f>+S4/U3</f>
        <v>0.23782234957020057</v>
      </c>
      <c r="V4" s="989">
        <f>+U4</f>
        <v>0.23782234957020057</v>
      </c>
      <c r="W4" s="959" t="s">
        <v>940</v>
      </c>
      <c r="X4" s="984">
        <v>1</v>
      </c>
      <c r="Y4" s="976"/>
      <c r="Z4" s="976"/>
      <c r="AA4" s="978"/>
    </row>
    <row r="5" spans="1:27" ht="98.4" customHeight="1" x14ac:dyDescent="0.3">
      <c r="A5" s="970"/>
      <c r="B5" s="973"/>
      <c r="C5" s="6" t="s">
        <v>143</v>
      </c>
      <c r="D5" s="985"/>
      <c r="E5" s="986"/>
      <c r="F5" s="987"/>
      <c r="G5" s="988"/>
      <c r="H5" s="955"/>
      <c r="I5" s="956"/>
      <c r="J5" s="957"/>
      <c r="K5" s="958"/>
      <c r="L5" s="959"/>
      <c r="M5" s="984"/>
      <c r="N5" s="976"/>
      <c r="O5" s="976"/>
      <c r="P5" s="978"/>
      <c r="Q5" s="988"/>
      <c r="R5" s="350"/>
      <c r="S5" s="955"/>
      <c r="T5" s="956"/>
      <c r="U5" s="957"/>
      <c r="V5" s="989"/>
      <c r="W5" s="959"/>
      <c r="X5" s="984"/>
      <c r="Y5" s="976"/>
      <c r="Z5" s="976"/>
      <c r="AA5" s="978"/>
    </row>
    <row r="6" spans="1:27" ht="91.8" customHeight="1" x14ac:dyDescent="0.3">
      <c r="A6" s="970"/>
      <c r="B6" s="973"/>
      <c r="C6" s="6" t="s">
        <v>145</v>
      </c>
      <c r="D6" s="986" t="s">
        <v>509</v>
      </c>
      <c r="E6" s="986" t="s">
        <v>511</v>
      </c>
      <c r="F6" s="987" t="s">
        <v>510</v>
      </c>
      <c r="G6" s="988" t="s">
        <v>367</v>
      </c>
      <c r="H6" s="955">
        <f>+F35</f>
        <v>16</v>
      </c>
      <c r="I6" s="956" t="s">
        <v>368</v>
      </c>
      <c r="J6" s="957">
        <f>+H6/H4</f>
        <v>1</v>
      </c>
      <c r="K6" s="989">
        <f>+J6</f>
        <v>1</v>
      </c>
      <c r="L6" s="959" t="s">
        <v>941</v>
      </c>
      <c r="M6" s="990">
        <v>1</v>
      </c>
      <c r="N6" s="976"/>
      <c r="O6" s="976"/>
      <c r="P6" s="978"/>
      <c r="Q6" s="988" t="s">
        <v>367</v>
      </c>
      <c r="R6" s="350"/>
      <c r="S6" s="955">
        <f>+F43</f>
        <v>71</v>
      </c>
      <c r="T6" s="956" t="s">
        <v>368</v>
      </c>
      <c r="U6" s="957">
        <f>+S6/S4</f>
        <v>0.85542168674698793</v>
      </c>
      <c r="V6" s="989">
        <f>+U6</f>
        <v>0.85542168674698793</v>
      </c>
      <c r="W6" s="959" t="s">
        <v>941</v>
      </c>
      <c r="X6" s="990">
        <v>1</v>
      </c>
      <c r="Y6" s="976"/>
      <c r="Z6" s="976"/>
      <c r="AA6" s="978"/>
    </row>
    <row r="7" spans="1:27" ht="91.8" customHeight="1" x14ac:dyDescent="0.3">
      <c r="A7" s="970"/>
      <c r="B7" s="973"/>
      <c r="C7" s="6" t="s">
        <v>148</v>
      </c>
      <c r="D7" s="986"/>
      <c r="E7" s="986"/>
      <c r="F7" s="987"/>
      <c r="G7" s="988"/>
      <c r="H7" s="955"/>
      <c r="I7" s="956"/>
      <c r="J7" s="957"/>
      <c r="K7" s="989"/>
      <c r="L7" s="959"/>
      <c r="M7" s="990"/>
      <c r="N7" s="976"/>
      <c r="O7" s="976"/>
      <c r="P7" s="978"/>
      <c r="Q7" s="988"/>
      <c r="R7" s="350"/>
      <c r="S7" s="955"/>
      <c r="T7" s="956"/>
      <c r="U7" s="957"/>
      <c r="V7" s="989"/>
      <c r="W7" s="959"/>
      <c r="X7" s="990"/>
      <c r="Y7" s="976"/>
      <c r="Z7" s="976"/>
      <c r="AA7" s="978"/>
    </row>
    <row r="8" spans="1:27" ht="96" customHeight="1" x14ac:dyDescent="0.3">
      <c r="A8" s="970"/>
      <c r="B8" s="973"/>
      <c r="C8" s="6" t="s">
        <v>150</v>
      </c>
      <c r="D8" s="986" t="s">
        <v>513</v>
      </c>
      <c r="E8" s="986" t="s">
        <v>515</v>
      </c>
      <c r="F8" s="987" t="s">
        <v>514</v>
      </c>
      <c r="G8" s="988" t="s">
        <v>369</v>
      </c>
      <c r="H8" s="955">
        <f>+F37</f>
        <v>4</v>
      </c>
      <c r="I8" s="956" t="s">
        <v>370</v>
      </c>
      <c r="J8" s="957">
        <f>+H8/H6</f>
        <v>0.25</v>
      </c>
      <c r="K8" s="989">
        <f>+J8</f>
        <v>0.25</v>
      </c>
      <c r="L8" s="959" t="s">
        <v>942</v>
      </c>
      <c r="M8" s="990">
        <v>1</v>
      </c>
      <c r="N8" s="976"/>
      <c r="O8" s="976"/>
      <c r="P8" s="978"/>
      <c r="Q8" s="988" t="s">
        <v>369</v>
      </c>
      <c r="R8" s="350"/>
      <c r="S8" s="955">
        <f>+F44</f>
        <v>8</v>
      </c>
      <c r="T8" s="956" t="s">
        <v>370</v>
      </c>
      <c r="U8" s="957">
        <f>+S8/S6</f>
        <v>0.11267605633802817</v>
      </c>
      <c r="V8" s="989">
        <f>+U8</f>
        <v>0.11267605633802817</v>
      </c>
      <c r="W8" s="959" t="s">
        <v>942</v>
      </c>
      <c r="X8" s="990">
        <v>1</v>
      </c>
      <c r="Y8" s="976"/>
      <c r="Z8" s="976"/>
      <c r="AA8" s="978"/>
    </row>
    <row r="9" spans="1:27" ht="96" customHeight="1" x14ac:dyDescent="0.3">
      <c r="A9" s="970"/>
      <c r="B9" s="973"/>
      <c r="C9" s="6" t="s">
        <v>153</v>
      </c>
      <c r="D9" s="986"/>
      <c r="E9" s="1002"/>
      <c r="F9" s="987"/>
      <c r="G9" s="988"/>
      <c r="H9" s="955"/>
      <c r="I9" s="956"/>
      <c r="J9" s="957"/>
      <c r="K9" s="989"/>
      <c r="L9" s="959"/>
      <c r="M9" s="990"/>
      <c r="N9" s="976"/>
      <c r="O9" s="976"/>
      <c r="P9" s="978"/>
      <c r="Q9" s="988"/>
      <c r="R9" s="350"/>
      <c r="S9" s="955"/>
      <c r="T9" s="956"/>
      <c r="U9" s="957"/>
      <c r="V9" s="989"/>
      <c r="W9" s="959"/>
      <c r="X9" s="990"/>
      <c r="Y9" s="976"/>
      <c r="Z9" s="976"/>
      <c r="AA9" s="978"/>
    </row>
    <row r="10" spans="1:27" ht="260.39999999999998" customHeight="1" x14ac:dyDescent="0.3">
      <c r="A10" s="970"/>
      <c r="B10" s="973"/>
      <c r="C10" s="6" t="s">
        <v>371</v>
      </c>
      <c r="D10" s="6" t="s">
        <v>517</v>
      </c>
      <c r="E10" s="6" t="s">
        <v>569</v>
      </c>
      <c r="F10" s="173" t="s">
        <v>518</v>
      </c>
      <c r="G10" s="91" t="s">
        <v>360</v>
      </c>
      <c r="H10" s="191">
        <f>+H3</f>
        <v>190</v>
      </c>
      <c r="I10" s="88" t="s">
        <v>372</v>
      </c>
      <c r="J10" s="250">
        <f>+H3-J3</f>
        <v>0</v>
      </c>
      <c r="K10" s="640">
        <f>+J10/H10</f>
        <v>0</v>
      </c>
      <c r="L10" s="173" t="s">
        <v>943</v>
      </c>
      <c r="M10" s="177">
        <v>1</v>
      </c>
      <c r="N10" s="976"/>
      <c r="O10" s="976"/>
      <c r="P10" s="978"/>
      <c r="Q10" s="91" t="s">
        <v>360</v>
      </c>
      <c r="R10" s="350"/>
      <c r="S10" s="191">
        <f>+S3</f>
        <v>349</v>
      </c>
      <c r="T10" s="88" t="s">
        <v>372</v>
      </c>
      <c r="U10" s="250">
        <f>+S3-U3</f>
        <v>0</v>
      </c>
      <c r="V10" s="640">
        <f>+U10/S10</f>
        <v>0</v>
      </c>
      <c r="W10" s="173" t="s">
        <v>943</v>
      </c>
      <c r="X10" s="177">
        <v>1</v>
      </c>
      <c r="Y10" s="976"/>
      <c r="Z10" s="976"/>
      <c r="AA10" s="978"/>
    </row>
    <row r="11" spans="1:27" ht="250.8" customHeight="1" x14ac:dyDescent="0.3">
      <c r="A11" s="970"/>
      <c r="B11" s="973"/>
      <c r="C11" s="6" t="s">
        <v>520</v>
      </c>
      <c r="D11" s="6" t="s">
        <v>521</v>
      </c>
      <c r="E11" s="6" t="s">
        <v>523</v>
      </c>
      <c r="F11" s="173" t="s">
        <v>522</v>
      </c>
      <c r="G11" s="251" t="s">
        <v>3</v>
      </c>
      <c r="H11" s="98">
        <f>20*16</f>
        <v>320</v>
      </c>
      <c r="I11" s="88" t="s">
        <v>374</v>
      </c>
      <c r="J11" s="250">
        <f>+C36</f>
        <v>170</v>
      </c>
      <c r="K11" s="605">
        <f>+J11/H11</f>
        <v>0.53125</v>
      </c>
      <c r="L11" s="173" t="s">
        <v>944</v>
      </c>
      <c r="M11" s="270">
        <f>+K11</f>
        <v>0.53125</v>
      </c>
      <c r="N11" s="976"/>
      <c r="O11" s="976"/>
      <c r="P11" s="978"/>
      <c r="Q11" s="251" t="s">
        <v>3</v>
      </c>
      <c r="R11" s="568"/>
      <c r="S11" s="98">
        <f>20*21</f>
        <v>420</v>
      </c>
      <c r="T11" s="88" t="s">
        <v>374</v>
      </c>
      <c r="U11" s="250">
        <f>+C43</f>
        <v>409</v>
      </c>
      <c r="V11" s="640">
        <f>+U11/S11</f>
        <v>0.97380952380952379</v>
      </c>
      <c r="W11" s="173" t="s">
        <v>944</v>
      </c>
      <c r="X11" s="270">
        <f>+V11</f>
        <v>0.97380952380952379</v>
      </c>
      <c r="Y11" s="976"/>
      <c r="Z11" s="976"/>
      <c r="AA11" s="978"/>
    </row>
    <row r="12" spans="1:27" ht="30" customHeight="1" x14ac:dyDescent="0.3">
      <c r="A12" s="970"/>
      <c r="B12" s="973"/>
      <c r="C12" s="986" t="s">
        <v>75</v>
      </c>
      <c r="D12" s="986" t="s">
        <v>525</v>
      </c>
      <c r="E12" s="986" t="s">
        <v>526</v>
      </c>
      <c r="F12" s="987" t="s">
        <v>528</v>
      </c>
      <c r="G12" s="210" t="s">
        <v>373</v>
      </c>
      <c r="H12" s="144" t="s">
        <v>210</v>
      </c>
      <c r="I12" s="213" t="s">
        <v>211</v>
      </c>
      <c r="J12" s="252" t="s">
        <v>212</v>
      </c>
      <c r="K12" s="1003">
        <f>AVERAGE(J13:J16)</f>
        <v>2.5</v>
      </c>
      <c r="L12" s="987" t="s">
        <v>945</v>
      </c>
      <c r="M12" s="990">
        <v>1</v>
      </c>
      <c r="N12" s="976"/>
      <c r="O12" s="976"/>
      <c r="P12" s="979"/>
      <c r="Q12" s="144" t="s">
        <v>373</v>
      </c>
      <c r="R12" s="144"/>
      <c r="S12" s="144" t="s">
        <v>210</v>
      </c>
      <c r="T12" s="213" t="s">
        <v>211</v>
      </c>
      <c r="U12" s="616" t="s">
        <v>212</v>
      </c>
      <c r="V12" s="1003">
        <f>AVERAGE(U13:U20)</f>
        <v>3</v>
      </c>
      <c r="W12" s="987" t="s">
        <v>945</v>
      </c>
      <c r="X12" s="990">
        <v>1</v>
      </c>
      <c r="Y12" s="976"/>
      <c r="Z12" s="976"/>
      <c r="AA12" s="978"/>
    </row>
    <row r="13" spans="1:27" ht="30" customHeight="1" x14ac:dyDescent="0.3">
      <c r="A13" s="970"/>
      <c r="B13" s="973"/>
      <c r="C13" s="986"/>
      <c r="D13" s="986"/>
      <c r="E13" s="986"/>
      <c r="F13" s="987"/>
      <c r="G13" s="865" t="s">
        <v>886</v>
      </c>
      <c r="H13" s="866">
        <v>46102</v>
      </c>
      <c r="I13" s="866">
        <v>46105</v>
      </c>
      <c r="J13" s="118">
        <v>3</v>
      </c>
      <c r="K13" s="1003"/>
      <c r="L13" s="1004"/>
      <c r="M13" s="990"/>
      <c r="N13" s="976"/>
      <c r="O13" s="976"/>
      <c r="P13" s="979"/>
      <c r="Q13" s="927" t="s">
        <v>886</v>
      </c>
      <c r="R13" s="927"/>
      <c r="S13" s="928">
        <v>46112</v>
      </c>
      <c r="T13" s="929">
        <v>46120</v>
      </c>
      <c r="U13" s="98">
        <f>_xlfn.DAYS(T13,S13)</f>
        <v>8</v>
      </c>
      <c r="V13" s="1003"/>
      <c r="W13" s="1004"/>
      <c r="X13" s="990"/>
      <c r="Y13" s="976"/>
      <c r="Z13" s="976"/>
      <c r="AA13" s="978"/>
    </row>
    <row r="14" spans="1:27" ht="30" customHeight="1" x14ac:dyDescent="0.3">
      <c r="A14" s="970"/>
      <c r="B14" s="973"/>
      <c r="C14" s="986"/>
      <c r="D14" s="986"/>
      <c r="E14" s="986"/>
      <c r="F14" s="987"/>
      <c r="G14" s="867" t="s">
        <v>886</v>
      </c>
      <c r="H14" s="868">
        <v>46103</v>
      </c>
      <c r="I14" s="868">
        <v>46107</v>
      </c>
      <c r="J14" s="118">
        <v>4</v>
      </c>
      <c r="K14" s="1003"/>
      <c r="L14" s="1004"/>
      <c r="M14" s="990"/>
      <c r="N14" s="976"/>
      <c r="O14" s="976"/>
      <c r="P14" s="979"/>
      <c r="Q14" s="927" t="s">
        <v>886</v>
      </c>
      <c r="R14" s="927"/>
      <c r="S14" s="929">
        <v>46126</v>
      </c>
      <c r="T14" s="929">
        <v>46132</v>
      </c>
      <c r="U14" s="98">
        <f t="shared" ref="U14:U20" si="0">_xlfn.DAYS(T14,S14)</f>
        <v>6</v>
      </c>
      <c r="V14" s="1003"/>
      <c r="W14" s="1004"/>
      <c r="X14" s="990"/>
      <c r="Y14" s="976"/>
      <c r="Z14" s="976"/>
      <c r="AA14" s="978"/>
    </row>
    <row r="15" spans="1:27" ht="30" customHeight="1" x14ac:dyDescent="0.3">
      <c r="A15" s="970"/>
      <c r="B15" s="973"/>
      <c r="C15" s="986"/>
      <c r="D15" s="986"/>
      <c r="E15" s="986"/>
      <c r="F15" s="987"/>
      <c r="G15" s="867" t="s">
        <v>886</v>
      </c>
      <c r="H15" s="869">
        <v>46108</v>
      </c>
      <c r="I15" s="868">
        <v>46111</v>
      </c>
      <c r="J15" s="118">
        <v>3</v>
      </c>
      <c r="K15" s="1003"/>
      <c r="L15" s="1004"/>
      <c r="M15" s="990"/>
      <c r="N15" s="976"/>
      <c r="O15" s="976"/>
      <c r="P15" s="979"/>
      <c r="Q15" s="930" t="s">
        <v>886</v>
      </c>
      <c r="R15" s="930"/>
      <c r="S15" s="931">
        <v>46127</v>
      </c>
      <c r="T15" s="931">
        <v>46132</v>
      </c>
      <c r="U15" s="98">
        <f t="shared" si="0"/>
        <v>5</v>
      </c>
      <c r="V15" s="1003"/>
      <c r="W15" s="1004"/>
      <c r="X15" s="990"/>
      <c r="Y15" s="976"/>
      <c r="Z15" s="976"/>
      <c r="AA15" s="978"/>
    </row>
    <row r="16" spans="1:27" ht="30" customHeight="1" x14ac:dyDescent="0.3">
      <c r="A16" s="970"/>
      <c r="B16" s="973"/>
      <c r="C16" s="986"/>
      <c r="D16" s="986"/>
      <c r="E16" s="986"/>
      <c r="F16" s="987"/>
      <c r="G16" s="865" t="s">
        <v>886</v>
      </c>
      <c r="H16" s="870">
        <v>46112</v>
      </c>
      <c r="I16" s="866">
        <v>46112</v>
      </c>
      <c r="J16" s="118">
        <v>0</v>
      </c>
      <c r="K16" s="1003"/>
      <c r="L16" s="1004"/>
      <c r="M16" s="990"/>
      <c r="N16" s="976"/>
      <c r="O16" s="976"/>
      <c r="P16" s="979"/>
      <c r="Q16" s="930" t="s">
        <v>886</v>
      </c>
      <c r="R16" s="930"/>
      <c r="S16" s="932">
        <v>46132</v>
      </c>
      <c r="T16" s="932">
        <v>46133</v>
      </c>
      <c r="U16" s="98">
        <f t="shared" si="0"/>
        <v>1</v>
      </c>
      <c r="V16" s="1003"/>
      <c r="W16" s="1004"/>
      <c r="X16" s="990"/>
      <c r="Y16" s="976"/>
      <c r="Z16" s="976"/>
      <c r="AA16" s="978"/>
    </row>
    <row r="17" spans="1:27" ht="30" customHeight="1" x14ac:dyDescent="0.3">
      <c r="A17" s="970"/>
      <c r="B17" s="973"/>
      <c r="C17" s="986"/>
      <c r="D17" s="986"/>
      <c r="E17" s="986"/>
      <c r="F17" s="987"/>
      <c r="G17" s="924"/>
      <c r="H17" s="925"/>
      <c r="I17" s="926"/>
      <c r="J17" s="118"/>
      <c r="K17" s="1003"/>
      <c r="L17" s="1004"/>
      <c r="M17" s="990"/>
      <c r="N17" s="976"/>
      <c r="O17" s="976"/>
      <c r="P17" s="979"/>
      <c r="Q17" s="927" t="s">
        <v>886</v>
      </c>
      <c r="R17" s="927"/>
      <c r="S17" s="928">
        <v>46133</v>
      </c>
      <c r="T17" s="928">
        <v>46133</v>
      </c>
      <c r="U17" s="98">
        <f t="shared" si="0"/>
        <v>0</v>
      </c>
      <c r="V17" s="1003"/>
      <c r="W17" s="1004"/>
      <c r="X17" s="990"/>
      <c r="Y17" s="976"/>
      <c r="Z17" s="976"/>
      <c r="AA17" s="978"/>
    </row>
    <row r="18" spans="1:27" ht="30" customHeight="1" x14ac:dyDescent="0.3">
      <c r="A18" s="970"/>
      <c r="B18" s="973"/>
      <c r="C18" s="986"/>
      <c r="D18" s="986"/>
      <c r="E18" s="986"/>
      <c r="F18" s="987"/>
      <c r="G18" s="91"/>
      <c r="H18" s="142"/>
      <c r="I18" s="142"/>
      <c r="J18" s="118"/>
      <c r="K18" s="1003"/>
      <c r="L18" s="1004"/>
      <c r="M18" s="990"/>
      <c r="N18" s="976"/>
      <c r="O18" s="976"/>
      <c r="P18" s="979"/>
      <c r="Q18" s="927" t="s">
        <v>886</v>
      </c>
      <c r="R18" s="927"/>
      <c r="S18" s="928">
        <v>46133</v>
      </c>
      <c r="T18" s="928">
        <v>46135</v>
      </c>
      <c r="U18" s="98">
        <f t="shared" si="0"/>
        <v>2</v>
      </c>
      <c r="V18" s="1003"/>
      <c r="W18" s="1004"/>
      <c r="X18" s="990"/>
      <c r="Y18" s="976"/>
      <c r="Z18" s="976"/>
      <c r="AA18" s="978"/>
    </row>
    <row r="19" spans="1:27" ht="30" customHeight="1" x14ac:dyDescent="0.3">
      <c r="A19" s="970"/>
      <c r="B19" s="973"/>
      <c r="C19" s="986"/>
      <c r="D19" s="986"/>
      <c r="E19" s="986"/>
      <c r="F19" s="987"/>
      <c r="G19" s="91"/>
      <c r="H19" s="142"/>
      <c r="I19" s="142"/>
      <c r="J19" s="118"/>
      <c r="K19" s="1003"/>
      <c r="L19" s="1004"/>
      <c r="M19" s="990"/>
      <c r="N19" s="976"/>
      <c r="O19" s="976"/>
      <c r="P19" s="979"/>
      <c r="Q19" s="930" t="s">
        <v>886</v>
      </c>
      <c r="R19" s="930"/>
      <c r="S19" s="932">
        <v>46135</v>
      </c>
      <c r="T19" s="932">
        <v>46135</v>
      </c>
      <c r="U19" s="98">
        <f t="shared" si="0"/>
        <v>0</v>
      </c>
      <c r="V19" s="1003"/>
      <c r="W19" s="1004"/>
      <c r="X19" s="990"/>
      <c r="Y19" s="976"/>
      <c r="Z19" s="976"/>
      <c r="AA19" s="978"/>
    </row>
    <row r="20" spans="1:27" ht="30" customHeight="1" x14ac:dyDescent="0.3">
      <c r="A20" s="970"/>
      <c r="B20" s="973"/>
      <c r="C20" s="986"/>
      <c r="D20" s="986"/>
      <c r="E20" s="986"/>
      <c r="F20" s="987"/>
      <c r="G20" s="91"/>
      <c r="H20" s="142"/>
      <c r="I20" s="142"/>
      <c r="J20" s="118"/>
      <c r="K20" s="1003"/>
      <c r="L20" s="1004"/>
      <c r="M20" s="990"/>
      <c r="N20" s="976"/>
      <c r="O20" s="976"/>
      <c r="P20" s="979"/>
      <c r="Q20" s="930" t="s">
        <v>886</v>
      </c>
      <c r="R20" s="930"/>
      <c r="S20" s="932">
        <v>46139</v>
      </c>
      <c r="T20" s="932">
        <v>46141</v>
      </c>
      <c r="U20" s="98">
        <f t="shared" si="0"/>
        <v>2</v>
      </c>
      <c r="V20" s="1003"/>
      <c r="W20" s="1004"/>
      <c r="X20" s="990"/>
      <c r="Y20" s="976"/>
      <c r="Z20" s="976"/>
      <c r="AA20" s="978"/>
    </row>
    <row r="21" spans="1:27" ht="144" x14ac:dyDescent="0.3">
      <c r="A21" s="970"/>
      <c r="B21" s="973"/>
      <c r="C21" s="2" t="s">
        <v>36</v>
      </c>
      <c r="D21" s="2" t="s">
        <v>529</v>
      </c>
      <c r="E21" s="2" t="s">
        <v>530</v>
      </c>
      <c r="F21" s="55" t="s">
        <v>532</v>
      </c>
      <c r="G21" s="91" t="s">
        <v>369</v>
      </c>
      <c r="H21" s="110">
        <f>+F37</f>
        <v>4</v>
      </c>
      <c r="I21" s="110" t="s">
        <v>3</v>
      </c>
      <c r="J21" s="118">
        <v>2</v>
      </c>
      <c r="K21" s="638">
        <f>+H21/J21</f>
        <v>2</v>
      </c>
      <c r="L21" s="55" t="s">
        <v>550</v>
      </c>
      <c r="M21" s="269">
        <f>+K21</f>
        <v>2</v>
      </c>
      <c r="N21" s="976"/>
      <c r="O21" s="976"/>
      <c r="P21" s="978"/>
      <c r="Q21" s="91" t="s">
        <v>369</v>
      </c>
      <c r="R21" s="350"/>
      <c r="S21" s="110">
        <f>+F44</f>
        <v>8</v>
      </c>
      <c r="T21" s="110" t="s">
        <v>3</v>
      </c>
      <c r="U21" s="118">
        <v>6</v>
      </c>
      <c r="V21" s="638">
        <f>+S21/U21</f>
        <v>1.3333333333333333</v>
      </c>
      <c r="W21" s="55" t="s">
        <v>550</v>
      </c>
      <c r="X21" s="269">
        <v>1</v>
      </c>
      <c r="Y21" s="976"/>
      <c r="Z21" s="976"/>
      <c r="AA21" s="978"/>
    </row>
    <row r="22" spans="1:27" ht="159" thickBot="1" x14ac:dyDescent="0.35">
      <c r="A22" s="970"/>
      <c r="B22" s="973"/>
      <c r="C22" s="160" t="s">
        <v>341</v>
      </c>
      <c r="D22" s="160" t="s">
        <v>603</v>
      </c>
      <c r="E22" s="157" t="s">
        <v>533</v>
      </c>
      <c r="F22" s="265" t="s">
        <v>342</v>
      </c>
      <c r="G22" s="128" t="s">
        <v>361</v>
      </c>
      <c r="H22" s="255">
        <f>+J3</f>
        <v>190</v>
      </c>
      <c r="I22" s="257" t="s">
        <v>376</v>
      </c>
      <c r="J22" s="258">
        <v>49</v>
      </c>
      <c r="K22" s="885">
        <f>+J22/H22</f>
        <v>0.25789473684210529</v>
      </c>
      <c r="L22" s="887" t="s">
        <v>947</v>
      </c>
      <c r="M22" s="180">
        <v>0</v>
      </c>
      <c r="N22" s="977"/>
      <c r="O22" s="977"/>
      <c r="P22" s="980"/>
      <c r="Q22" s="128" t="s">
        <v>361</v>
      </c>
      <c r="R22" s="571"/>
      <c r="S22" s="255">
        <f>+U3</f>
        <v>349</v>
      </c>
      <c r="T22" s="257" t="s">
        <v>376</v>
      </c>
      <c r="U22" s="258">
        <v>135</v>
      </c>
      <c r="V22" s="885">
        <f>+U22/S22</f>
        <v>0.38681948424068768</v>
      </c>
      <c r="W22" s="887" t="s">
        <v>947</v>
      </c>
      <c r="X22" s="180">
        <v>0</v>
      </c>
      <c r="Y22" s="977"/>
      <c r="Z22" s="977"/>
      <c r="AA22" s="980"/>
    </row>
    <row r="23" spans="1:27" x14ac:dyDescent="0.3">
      <c r="A23" s="970"/>
      <c r="B23" s="974"/>
      <c r="C23" s="882" t="s">
        <v>725</v>
      </c>
      <c r="D23" s="57"/>
      <c r="E23" s="174" t="s">
        <v>833</v>
      </c>
      <c r="F23" s="63"/>
      <c r="G23" s="1008" t="s">
        <v>946</v>
      </c>
      <c r="H23" s="1009"/>
      <c r="I23" s="1009"/>
      <c r="J23" s="1010"/>
      <c r="K23" s="886" t="s">
        <v>201</v>
      </c>
      <c r="L23" s="57" t="s">
        <v>201</v>
      </c>
      <c r="M23" s="883" t="s">
        <v>201</v>
      </c>
      <c r="N23" s="783"/>
      <c r="O23" s="783"/>
      <c r="P23" s="784"/>
      <c r="Q23" s="1008" t="s">
        <v>946</v>
      </c>
      <c r="R23" s="1009"/>
      <c r="S23" s="1009"/>
      <c r="T23" s="1009"/>
      <c r="U23" s="1010"/>
      <c r="V23" s="886" t="s">
        <v>201</v>
      </c>
      <c r="W23" s="57" t="s">
        <v>201</v>
      </c>
      <c r="X23" s="883" t="s">
        <v>201</v>
      </c>
      <c r="Y23" s="783"/>
      <c r="Z23" s="783"/>
      <c r="AA23" s="784"/>
    </row>
    <row r="24" spans="1:27" ht="15" thickBot="1" x14ac:dyDescent="0.35">
      <c r="A24" s="971"/>
      <c r="B24" s="975"/>
      <c r="C24" s="884" t="s">
        <v>727</v>
      </c>
      <c r="D24" s="59"/>
      <c r="E24" s="551" t="s">
        <v>833</v>
      </c>
      <c r="F24" s="64"/>
      <c r="G24" s="981" t="s">
        <v>946</v>
      </c>
      <c r="H24" s="982"/>
      <c r="I24" s="982"/>
      <c r="J24" s="983"/>
      <c r="K24" s="608" t="s">
        <v>201</v>
      </c>
      <c r="L24" s="59" t="s">
        <v>201</v>
      </c>
      <c r="M24" s="626" t="s">
        <v>201</v>
      </c>
      <c r="N24" s="563"/>
      <c r="O24" s="563"/>
      <c r="P24" s="565"/>
      <c r="Q24" s="981" t="s">
        <v>946</v>
      </c>
      <c r="R24" s="982"/>
      <c r="S24" s="982"/>
      <c r="T24" s="982"/>
      <c r="U24" s="983"/>
      <c r="V24" s="608" t="s">
        <v>201</v>
      </c>
      <c r="W24" s="59" t="s">
        <v>201</v>
      </c>
      <c r="X24" s="626" t="s">
        <v>201</v>
      </c>
      <c r="Y24" s="563"/>
      <c r="Z24" s="563"/>
      <c r="AA24" s="565"/>
    </row>
    <row r="25" spans="1:27" ht="28.8" x14ac:dyDescent="0.3">
      <c r="A25" s="993">
        <v>0.05</v>
      </c>
      <c r="B25" s="259" t="s">
        <v>77</v>
      </c>
      <c r="C25" s="127" t="s">
        <v>78</v>
      </c>
      <c r="D25" s="127" t="s">
        <v>79</v>
      </c>
      <c r="E25" s="550" t="s">
        <v>80</v>
      </c>
      <c r="F25" s="241" t="s">
        <v>343</v>
      </c>
      <c r="G25" s="1034" t="s">
        <v>535</v>
      </c>
      <c r="H25" s="1036"/>
      <c r="I25" s="1036"/>
      <c r="J25" s="1037"/>
      <c r="K25" s="880" t="s">
        <v>201</v>
      </c>
      <c r="L25" s="881" t="s">
        <v>201</v>
      </c>
      <c r="M25" s="582" t="s">
        <v>201</v>
      </c>
      <c r="N25" s="1038">
        <v>0</v>
      </c>
      <c r="O25" s="1038">
        <v>0</v>
      </c>
      <c r="P25" s="991">
        <f>+N25*O25</f>
        <v>0</v>
      </c>
      <c r="Q25" s="1034" t="s">
        <v>535</v>
      </c>
      <c r="R25" s="1035"/>
      <c r="S25" s="1036"/>
      <c r="T25" s="1036"/>
      <c r="U25" s="1037"/>
      <c r="V25" s="880" t="s">
        <v>201</v>
      </c>
      <c r="W25" s="881" t="s">
        <v>201</v>
      </c>
      <c r="X25" s="582" t="s">
        <v>201</v>
      </c>
      <c r="Y25" s="1038">
        <v>0</v>
      </c>
      <c r="Z25" s="1038">
        <v>0</v>
      </c>
      <c r="AA25" s="991">
        <f>+Y25*Z25</f>
        <v>0</v>
      </c>
    </row>
    <row r="26" spans="1:27" ht="127.2" customHeight="1" thickBot="1" x14ac:dyDescent="0.35">
      <c r="A26" s="995"/>
      <c r="B26" s="261" t="s">
        <v>77</v>
      </c>
      <c r="C26" s="2" t="s">
        <v>81</v>
      </c>
      <c r="D26" s="2" t="s">
        <v>82</v>
      </c>
      <c r="E26" s="6" t="s">
        <v>83</v>
      </c>
      <c r="F26" s="2" t="s">
        <v>84</v>
      </c>
      <c r="G26" s="1005" t="s">
        <v>535</v>
      </c>
      <c r="H26" s="1006"/>
      <c r="I26" s="1006"/>
      <c r="J26" s="1007"/>
      <c r="K26" s="355" t="s">
        <v>201</v>
      </c>
      <c r="L26" s="288" t="s">
        <v>201</v>
      </c>
      <c r="M26" s="122" t="s">
        <v>201</v>
      </c>
      <c r="N26" s="1039"/>
      <c r="O26" s="1039"/>
      <c r="P26" s="992"/>
      <c r="Q26" s="1005" t="s">
        <v>535</v>
      </c>
      <c r="R26" s="1041"/>
      <c r="S26" s="1006"/>
      <c r="T26" s="1006"/>
      <c r="U26" s="1007"/>
      <c r="V26" s="355" t="s">
        <v>201</v>
      </c>
      <c r="W26" s="288" t="s">
        <v>201</v>
      </c>
      <c r="X26" s="122" t="s">
        <v>201</v>
      </c>
      <c r="Y26" s="1039"/>
      <c r="Z26" s="1039"/>
      <c r="AA26" s="992"/>
    </row>
    <row r="27" spans="1:27" ht="28.8" customHeight="1" x14ac:dyDescent="0.3">
      <c r="A27" s="993">
        <v>0.25</v>
      </c>
      <c r="B27" s="996" t="s">
        <v>126</v>
      </c>
      <c r="C27" s="999" t="s">
        <v>40</v>
      </c>
      <c r="D27" s="1023" t="s">
        <v>539</v>
      </c>
      <c r="E27" s="1023" t="s">
        <v>488</v>
      </c>
      <c r="F27" s="1025" t="s">
        <v>536</v>
      </c>
      <c r="G27" s="1014" t="s">
        <v>378</v>
      </c>
      <c r="H27" s="1015"/>
      <c r="I27" s="1015"/>
      <c r="J27" s="1016"/>
      <c r="K27" s="1028">
        <v>0.6</v>
      </c>
      <c r="L27" s="1031" t="s">
        <v>961</v>
      </c>
      <c r="M27" s="1011">
        <f>+K27</f>
        <v>0.6</v>
      </c>
      <c r="N27" s="1038">
        <v>0.4</v>
      </c>
      <c r="O27" s="1038">
        <f>+M27</f>
        <v>0.6</v>
      </c>
      <c r="P27" s="991">
        <f>+N27*O27</f>
        <v>0.24</v>
      </c>
      <c r="Q27" s="1014" t="s">
        <v>378</v>
      </c>
      <c r="R27" s="1015"/>
      <c r="S27" s="1015"/>
      <c r="T27" s="1015"/>
      <c r="U27" s="1016"/>
      <c r="V27" s="1028">
        <v>0.6</v>
      </c>
      <c r="W27" s="1031" t="s">
        <v>961</v>
      </c>
      <c r="X27" s="1011">
        <f>+V27</f>
        <v>0.6</v>
      </c>
      <c r="Y27" s="1038">
        <v>0.4</v>
      </c>
      <c r="Z27" s="1038">
        <f>+X27</f>
        <v>0.6</v>
      </c>
      <c r="AA27" s="991">
        <f>+Y27*Z27</f>
        <v>0.24</v>
      </c>
    </row>
    <row r="28" spans="1:27" ht="28.8" customHeight="1" x14ac:dyDescent="0.3">
      <c r="A28" s="994"/>
      <c r="B28" s="997"/>
      <c r="C28" s="1000"/>
      <c r="D28" s="986"/>
      <c r="E28" s="986"/>
      <c r="F28" s="987"/>
      <c r="G28" s="195" t="s">
        <v>951</v>
      </c>
      <c r="H28" s="213" t="s">
        <v>952</v>
      </c>
      <c r="I28" s="213" t="s">
        <v>953</v>
      </c>
      <c r="J28" s="220" t="s">
        <v>963</v>
      </c>
      <c r="K28" s="1029"/>
      <c r="L28" s="1032"/>
      <c r="M28" s="1012"/>
      <c r="N28" s="976"/>
      <c r="O28" s="976"/>
      <c r="P28" s="978"/>
      <c r="Q28" s="195" t="s">
        <v>951</v>
      </c>
      <c r="R28" s="933" t="s">
        <v>975</v>
      </c>
      <c r="S28" s="213" t="s">
        <v>952</v>
      </c>
      <c r="T28" s="213" t="s">
        <v>953</v>
      </c>
      <c r="U28" s="220" t="s">
        <v>963</v>
      </c>
      <c r="V28" s="1029"/>
      <c r="W28" s="1032"/>
      <c r="X28" s="1012"/>
      <c r="Y28" s="976"/>
      <c r="Z28" s="976"/>
      <c r="AA28" s="978"/>
    </row>
    <row r="29" spans="1:27" ht="28.8" customHeight="1" x14ac:dyDescent="0.3">
      <c r="A29" s="994"/>
      <c r="B29" s="997"/>
      <c r="C29" s="1000"/>
      <c r="D29" s="986"/>
      <c r="E29" s="986"/>
      <c r="F29" s="987"/>
      <c r="G29" s="91" t="s">
        <v>882</v>
      </c>
      <c r="H29" s="98">
        <v>0</v>
      </c>
      <c r="I29" s="896">
        <v>0</v>
      </c>
      <c r="J29" s="252">
        <v>0</v>
      </c>
      <c r="K29" s="1029"/>
      <c r="L29" s="1032"/>
      <c r="M29" s="1012"/>
      <c r="N29" s="976"/>
      <c r="O29" s="976"/>
      <c r="P29" s="978"/>
      <c r="Q29" s="91" t="s">
        <v>882</v>
      </c>
      <c r="R29" s="934">
        <v>1</v>
      </c>
      <c r="S29" s="98">
        <v>0</v>
      </c>
      <c r="T29" s="896">
        <f>+R29/31</f>
        <v>3.2258064516129031E-2</v>
      </c>
      <c r="U29" s="252">
        <v>0</v>
      </c>
      <c r="V29" s="1029"/>
      <c r="W29" s="1032"/>
      <c r="X29" s="1012"/>
      <c r="Y29" s="976"/>
      <c r="Z29" s="976"/>
      <c r="AA29" s="978"/>
    </row>
    <row r="30" spans="1:27" ht="28.8" customHeight="1" x14ac:dyDescent="0.3">
      <c r="A30" s="994"/>
      <c r="B30" s="997"/>
      <c r="C30" s="1000"/>
      <c r="D30" s="986"/>
      <c r="E30" s="986"/>
      <c r="F30" s="987"/>
      <c r="G30" s="1017" t="s">
        <v>954</v>
      </c>
      <c r="H30" s="1018"/>
      <c r="I30" s="1018"/>
      <c r="J30" s="1019"/>
      <c r="K30" s="1029"/>
      <c r="L30" s="1032"/>
      <c r="M30" s="1012"/>
      <c r="N30" s="976"/>
      <c r="O30" s="976"/>
      <c r="P30" s="978"/>
      <c r="Q30" s="1017" t="s">
        <v>954</v>
      </c>
      <c r="R30" s="1018"/>
      <c r="S30" s="1018"/>
      <c r="T30" s="1018"/>
      <c r="U30" s="1019"/>
      <c r="V30" s="1029"/>
      <c r="W30" s="1032"/>
      <c r="X30" s="1012"/>
      <c r="Y30" s="976"/>
      <c r="Z30" s="976"/>
      <c r="AA30" s="978"/>
    </row>
    <row r="31" spans="1:27" ht="28.8" customHeight="1" x14ac:dyDescent="0.3">
      <c r="A31" s="994"/>
      <c r="B31" s="997"/>
      <c r="C31" s="1000"/>
      <c r="D31" s="986"/>
      <c r="E31" s="986"/>
      <c r="F31" s="987"/>
      <c r="G31" s="195" t="s">
        <v>951</v>
      </c>
      <c r="H31" s="213" t="s">
        <v>955</v>
      </c>
      <c r="I31" s="213" t="s">
        <v>953</v>
      </c>
      <c r="J31" s="895"/>
      <c r="K31" s="1029"/>
      <c r="L31" s="1032"/>
      <c r="M31" s="1012"/>
      <c r="N31" s="976"/>
      <c r="O31" s="976"/>
      <c r="P31" s="978"/>
      <c r="Q31" s="195" t="s">
        <v>951</v>
      </c>
      <c r="R31" s="933" t="s">
        <v>975</v>
      </c>
      <c r="S31" s="213" t="s">
        <v>955</v>
      </c>
      <c r="T31" s="213" t="s">
        <v>953</v>
      </c>
      <c r="U31" s="220" t="s">
        <v>963</v>
      </c>
      <c r="V31" s="1029"/>
      <c r="W31" s="1032"/>
      <c r="X31" s="1012"/>
      <c r="Y31" s="976"/>
      <c r="Z31" s="976"/>
      <c r="AA31" s="978"/>
    </row>
    <row r="32" spans="1:27" ht="28.8" customHeight="1" x14ac:dyDescent="0.3">
      <c r="A32" s="994"/>
      <c r="B32" s="997"/>
      <c r="C32" s="1000"/>
      <c r="D32" s="986"/>
      <c r="E32" s="986"/>
      <c r="F32" s="987"/>
      <c r="G32" s="251" t="s">
        <v>882</v>
      </c>
      <c r="H32" s="98">
        <v>12</v>
      </c>
      <c r="I32" s="897">
        <v>0.20300000000000001</v>
      </c>
      <c r="J32" s="895"/>
      <c r="K32" s="1029"/>
      <c r="L32" s="1032"/>
      <c r="M32" s="1012"/>
      <c r="N32" s="976"/>
      <c r="O32" s="976"/>
      <c r="P32" s="978"/>
      <c r="Q32" s="251" t="s">
        <v>882</v>
      </c>
      <c r="R32" s="934">
        <v>17</v>
      </c>
      <c r="S32" s="98">
        <v>14</v>
      </c>
      <c r="T32" s="897">
        <f>+R32/95</f>
        <v>0.17894736842105263</v>
      </c>
      <c r="U32" s="252">
        <f>+S32/R32</f>
        <v>0.82352941176470584</v>
      </c>
      <c r="V32" s="1029"/>
      <c r="W32" s="1032"/>
      <c r="X32" s="1012"/>
      <c r="Y32" s="976"/>
      <c r="Z32" s="976"/>
      <c r="AA32" s="978"/>
    </row>
    <row r="33" spans="1:27" ht="28.8" customHeight="1" thickBot="1" x14ac:dyDescent="0.35">
      <c r="A33" s="995"/>
      <c r="B33" s="998"/>
      <c r="C33" s="1001"/>
      <c r="D33" s="1024"/>
      <c r="E33" s="1024"/>
      <c r="F33" s="1026"/>
      <c r="G33" s="1020" t="s">
        <v>960</v>
      </c>
      <c r="H33" s="1021"/>
      <c r="I33" s="1021"/>
      <c r="J33" s="1022"/>
      <c r="K33" s="1030"/>
      <c r="L33" s="1033"/>
      <c r="M33" s="1013"/>
      <c r="N33" s="1039"/>
      <c r="O33" s="1039"/>
      <c r="P33" s="992"/>
      <c r="Q33" s="1020" t="s">
        <v>976</v>
      </c>
      <c r="R33" s="1021"/>
      <c r="S33" s="1021"/>
      <c r="T33" s="1021"/>
      <c r="U33" s="1022"/>
      <c r="V33" s="1030"/>
      <c r="W33" s="1033"/>
      <c r="X33" s="1013"/>
      <c r="Y33" s="1039"/>
      <c r="Z33" s="1039"/>
      <c r="AA33" s="992"/>
    </row>
    <row r="34" spans="1:27" x14ac:dyDescent="0.3">
      <c r="A34" s="169"/>
      <c r="B34" s="170"/>
      <c r="C34" s="168"/>
      <c r="D34" s="168"/>
      <c r="E34" s="54"/>
      <c r="F34" s="168"/>
      <c r="P34" s="393">
        <f>SUM(P3:P33)</f>
        <v>0.79822368421052625</v>
      </c>
      <c r="AA34" s="393">
        <f>SUM(AA3:AA33)</f>
        <v>0.7715873015873016</v>
      </c>
    </row>
    <row r="35" spans="1:27" x14ac:dyDescent="0.3">
      <c r="A35" s="1027" t="s">
        <v>889</v>
      </c>
      <c r="B35" s="165" t="s">
        <v>344</v>
      </c>
      <c r="C35" s="165" t="s">
        <v>345</v>
      </c>
      <c r="D35" s="166" t="s">
        <v>346</v>
      </c>
      <c r="E35" s="165" t="s">
        <v>347</v>
      </c>
      <c r="F35" s="166">
        <v>16</v>
      </c>
    </row>
    <row r="36" spans="1:27" x14ac:dyDescent="0.3">
      <c r="A36" s="1027"/>
      <c r="B36" s="167">
        <v>190</v>
      </c>
      <c r="C36" s="167">
        <v>170</v>
      </c>
      <c r="D36" s="167">
        <v>0</v>
      </c>
      <c r="E36" s="166" t="s">
        <v>363</v>
      </c>
      <c r="F36" s="166">
        <v>16</v>
      </c>
    </row>
    <row r="37" spans="1:27" x14ac:dyDescent="0.3">
      <c r="A37" s="1027"/>
      <c r="B37" s="165" t="s">
        <v>387</v>
      </c>
      <c r="D37" s="4"/>
      <c r="E37" s="166" t="s">
        <v>364</v>
      </c>
      <c r="F37" s="166">
        <v>4</v>
      </c>
    </row>
    <row r="38" spans="1:27" x14ac:dyDescent="0.3">
      <c r="A38" s="1027"/>
      <c r="B38" s="167">
        <v>0</v>
      </c>
      <c r="D38" s="4"/>
      <c r="E38"/>
    </row>
    <row r="39" spans="1:27" x14ac:dyDescent="0.3">
      <c r="A39" s="1027"/>
      <c r="B39" s="165" t="s">
        <v>386</v>
      </c>
      <c r="D39" s="4"/>
      <c r="E39"/>
    </row>
    <row r="40" spans="1:27" x14ac:dyDescent="0.3">
      <c r="A40" s="1027"/>
      <c r="B40" s="171">
        <f>+B36-B38</f>
        <v>190</v>
      </c>
      <c r="D40" s="4"/>
      <c r="E40"/>
    </row>
    <row r="41" spans="1:27" x14ac:dyDescent="0.3">
      <c r="D41" s="4"/>
      <c r="E41"/>
    </row>
    <row r="42" spans="1:27" x14ac:dyDescent="0.3">
      <c r="A42" s="1027" t="s">
        <v>968</v>
      </c>
      <c r="B42" s="165" t="s">
        <v>344</v>
      </c>
      <c r="C42" s="165" t="s">
        <v>345</v>
      </c>
      <c r="D42" s="166" t="s">
        <v>346</v>
      </c>
      <c r="E42" s="166" t="s">
        <v>363</v>
      </c>
      <c r="F42" s="166">
        <v>83</v>
      </c>
    </row>
    <row r="43" spans="1:27" x14ac:dyDescent="0.3">
      <c r="A43" s="1027"/>
      <c r="B43" s="167">
        <v>349</v>
      </c>
      <c r="C43" s="167">
        <v>409</v>
      </c>
      <c r="D43" s="167">
        <v>0</v>
      </c>
      <c r="E43" s="165" t="s">
        <v>347</v>
      </c>
      <c r="F43" s="166">
        <v>71</v>
      </c>
    </row>
    <row r="44" spans="1:27" x14ac:dyDescent="0.3">
      <c r="A44" s="1027"/>
      <c r="B44" s="165" t="s">
        <v>387</v>
      </c>
      <c r="D44" s="4"/>
      <c r="E44" s="166" t="s">
        <v>364</v>
      </c>
      <c r="F44" s="166">
        <v>8</v>
      </c>
    </row>
    <row r="45" spans="1:27" x14ac:dyDescent="0.3">
      <c r="A45" s="1027"/>
      <c r="B45" s="167">
        <f>+B43-B47</f>
        <v>0</v>
      </c>
      <c r="D45" s="4"/>
      <c r="E45"/>
    </row>
    <row r="46" spans="1:27" x14ac:dyDescent="0.3">
      <c r="A46" s="1027"/>
      <c r="B46" s="165" t="s">
        <v>386</v>
      </c>
      <c r="D46" s="4"/>
      <c r="E46"/>
    </row>
    <row r="47" spans="1:27" x14ac:dyDescent="0.3">
      <c r="A47" s="1027"/>
      <c r="B47" s="171">
        <v>349</v>
      </c>
      <c r="D47" s="4"/>
      <c r="E47"/>
    </row>
  </sheetData>
  <mergeCells count="117">
    <mergeCell ref="AA25:AA26"/>
    <mergeCell ref="Q26:U26"/>
    <mergeCell ref="Q27:U27"/>
    <mergeCell ref="V27:V33"/>
    <mergeCell ref="W27:W33"/>
    <mergeCell ref="X27:X33"/>
    <mergeCell ref="Y27:Y33"/>
    <mergeCell ref="Z27:Z33"/>
    <mergeCell ref="AA27:AA33"/>
    <mergeCell ref="Q30:U30"/>
    <mergeCell ref="Q33:U33"/>
    <mergeCell ref="Y25:Y26"/>
    <mergeCell ref="Z25:Z26"/>
    <mergeCell ref="Q1:AA1"/>
    <mergeCell ref="Q2:U2"/>
    <mergeCell ref="V2:W2"/>
    <mergeCell ref="Y3:Y22"/>
    <mergeCell ref="Z3:Z22"/>
    <mergeCell ref="AA3:AA22"/>
    <mergeCell ref="Q4:Q5"/>
    <mergeCell ref="S4:S5"/>
    <mergeCell ref="T4:T5"/>
    <mergeCell ref="U4:U5"/>
    <mergeCell ref="V4:V5"/>
    <mergeCell ref="W4:W5"/>
    <mergeCell ref="X4:X5"/>
    <mergeCell ref="Q6:Q7"/>
    <mergeCell ref="S6:S7"/>
    <mergeCell ref="W8:W9"/>
    <mergeCell ref="X8:X9"/>
    <mergeCell ref="V12:V20"/>
    <mergeCell ref="W12:W20"/>
    <mergeCell ref="X12:X20"/>
    <mergeCell ref="Q8:Q9"/>
    <mergeCell ref="S8:S9"/>
    <mergeCell ref="T8:T9"/>
    <mergeCell ref="U8:U9"/>
    <mergeCell ref="T6:T7"/>
    <mergeCell ref="U6:U7"/>
    <mergeCell ref="V6:V7"/>
    <mergeCell ref="W6:W7"/>
    <mergeCell ref="X6:X7"/>
    <mergeCell ref="A42:A47"/>
    <mergeCell ref="A35:A40"/>
    <mergeCell ref="K27:K33"/>
    <mergeCell ref="L27:L33"/>
    <mergeCell ref="Q23:U23"/>
    <mergeCell ref="Q24:U24"/>
    <mergeCell ref="Q25:U25"/>
    <mergeCell ref="A25:A26"/>
    <mergeCell ref="G25:J25"/>
    <mergeCell ref="N25:N26"/>
    <mergeCell ref="O25:O26"/>
    <mergeCell ref="N27:N33"/>
    <mergeCell ref="O27:O33"/>
    <mergeCell ref="P25:P26"/>
    <mergeCell ref="M12:M20"/>
    <mergeCell ref="C12:C20"/>
    <mergeCell ref="V8:V9"/>
    <mergeCell ref="L12:L20"/>
    <mergeCell ref="G26:J26"/>
    <mergeCell ref="G23:J23"/>
    <mergeCell ref="M27:M33"/>
    <mergeCell ref="G27:J27"/>
    <mergeCell ref="G30:J30"/>
    <mergeCell ref="G33:J33"/>
    <mergeCell ref="D27:D33"/>
    <mergeCell ref="E27:E33"/>
    <mergeCell ref="F27:F33"/>
    <mergeCell ref="P27:P33"/>
    <mergeCell ref="A27:A33"/>
    <mergeCell ref="B27:B33"/>
    <mergeCell ref="C27:C33"/>
    <mergeCell ref="D6:D7"/>
    <mergeCell ref="E6:E7"/>
    <mergeCell ref="F6:F7"/>
    <mergeCell ref="G6:G7"/>
    <mergeCell ref="H6:H7"/>
    <mergeCell ref="I6:I7"/>
    <mergeCell ref="M8:M9"/>
    <mergeCell ref="D8:D9"/>
    <mergeCell ref="E8:E9"/>
    <mergeCell ref="F8:F9"/>
    <mergeCell ref="G8:G9"/>
    <mergeCell ref="H8:H9"/>
    <mergeCell ref="I8:I9"/>
    <mergeCell ref="J8:J9"/>
    <mergeCell ref="K8:K9"/>
    <mergeCell ref="L8:L9"/>
    <mergeCell ref="D12:D20"/>
    <mergeCell ref="E12:E20"/>
    <mergeCell ref="F12:F20"/>
    <mergeCell ref="K12:K20"/>
    <mergeCell ref="H4:H5"/>
    <mergeCell ref="I4:I5"/>
    <mergeCell ref="J4:J5"/>
    <mergeCell ref="K4:K5"/>
    <mergeCell ref="L4:L5"/>
    <mergeCell ref="A1:F1"/>
    <mergeCell ref="G1:P1"/>
    <mergeCell ref="G2:J2"/>
    <mergeCell ref="K2:L2"/>
    <mergeCell ref="A3:A24"/>
    <mergeCell ref="B3:B24"/>
    <mergeCell ref="N3:N22"/>
    <mergeCell ref="O3:O22"/>
    <mergeCell ref="P3:P22"/>
    <mergeCell ref="G24:J24"/>
    <mergeCell ref="M4:M5"/>
    <mergeCell ref="D4:D5"/>
    <mergeCell ref="E4:E5"/>
    <mergeCell ref="F4:F5"/>
    <mergeCell ref="G4:G5"/>
    <mergeCell ref="J6:J7"/>
    <mergeCell ref="K6:K7"/>
    <mergeCell ref="L6:L7"/>
    <mergeCell ref="M6:M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FBD7C-7559-477F-B84E-76347EBBA462}">
  <dimension ref="A1:AT67"/>
  <sheetViews>
    <sheetView zoomScale="80" zoomScaleNormal="80" workbookViewId="0">
      <selection activeCell="AT33" sqref="A1:AT33"/>
    </sheetView>
  </sheetViews>
  <sheetFormatPr baseColWidth="10" defaultRowHeight="14.4" outlineLevelCol="1" x14ac:dyDescent="0.3"/>
  <cols>
    <col min="2" max="2" width="26.44140625" customWidth="1"/>
    <col min="3" max="3" width="24" customWidth="1"/>
    <col min="4" max="4" width="31.21875" customWidth="1"/>
    <col min="5" max="5" width="33.44140625" style="4" customWidth="1"/>
    <col min="6" max="6" width="45.33203125" customWidth="1"/>
    <col min="7" max="7" width="18.6640625" hidden="1" customWidth="1" outlineLevel="1"/>
    <col min="8" max="8" width="21.21875" hidden="1" customWidth="1" outlineLevel="1"/>
    <col min="9" max="9" width="21.33203125" hidden="1" customWidth="1" outlineLevel="1"/>
    <col min="10" max="11" width="11.5546875" hidden="1" customWidth="1" outlineLevel="1"/>
    <col min="12" max="12" width="73.88671875" hidden="1" customWidth="1" outlineLevel="1"/>
    <col min="13" max="13" width="13.88671875" style="12" hidden="1" customWidth="1" outlineLevel="1"/>
    <col min="14" max="15" width="11.5546875" hidden="1" customWidth="1" outlineLevel="1"/>
    <col min="16" max="16" width="17.44140625" customWidth="1" collapsed="1"/>
    <col min="17" max="17" width="18.6640625" hidden="1" customWidth="1" outlineLevel="1"/>
    <col min="18" max="18" width="21.21875" hidden="1" customWidth="1" outlineLevel="1"/>
    <col min="19" max="19" width="21.33203125" hidden="1" customWidth="1" outlineLevel="1"/>
    <col min="20" max="21" width="11.5546875" hidden="1" customWidth="1" outlineLevel="1"/>
    <col min="22" max="22" width="73.88671875" hidden="1" customWidth="1" outlineLevel="1"/>
    <col min="23" max="23" width="13.88671875" style="12" hidden="1" customWidth="1" outlineLevel="1"/>
    <col min="24" max="25" width="11.5546875" hidden="1" customWidth="1" outlineLevel="1"/>
    <col min="26" max="26" width="17.44140625" customWidth="1" collapsed="1"/>
    <col min="27" max="27" width="18.6640625" hidden="1" customWidth="1" outlineLevel="1"/>
    <col min="28" max="28" width="21.21875" hidden="1" customWidth="1" outlineLevel="1"/>
    <col min="29" max="29" width="21.33203125" hidden="1" customWidth="1" outlineLevel="1"/>
    <col min="30" max="31" width="11.5546875" hidden="1" customWidth="1" outlineLevel="1"/>
    <col min="32" max="32" width="73.88671875" hidden="1" customWidth="1" outlineLevel="1"/>
    <col min="33" max="33" width="13.88671875" style="12" hidden="1" customWidth="1" outlineLevel="1"/>
    <col min="34" max="35" width="11.5546875" hidden="1" customWidth="1" outlineLevel="1"/>
    <col min="36" max="36" width="17.44140625" customWidth="1" collapsed="1"/>
    <col min="37" max="37" width="18.6640625" customWidth="1"/>
    <col min="38" max="38" width="21.21875" customWidth="1"/>
    <col min="39" max="39" width="21.33203125" bestFit="1" customWidth="1"/>
    <col min="42" max="42" width="73.88671875" bestFit="1" customWidth="1"/>
    <col min="43" max="43" width="13.88671875" style="12" customWidth="1"/>
    <col min="44" max="44" width="14.33203125" customWidth="1"/>
    <col min="46" max="46" width="17.44140625" customWidth="1"/>
  </cols>
  <sheetData>
    <row r="1" spans="1:46" s="172" customFormat="1" ht="18.600000000000001" thickBot="1" x14ac:dyDescent="0.4">
      <c r="A1" s="960" t="s">
        <v>242</v>
      </c>
      <c r="B1" s="961"/>
      <c r="C1" s="961"/>
      <c r="D1" s="961"/>
      <c r="E1" s="961"/>
      <c r="F1" s="961"/>
      <c r="G1" s="962">
        <v>45931</v>
      </c>
      <c r="H1" s="962"/>
      <c r="I1" s="962"/>
      <c r="J1" s="962"/>
      <c r="K1" s="962"/>
      <c r="L1" s="962"/>
      <c r="M1" s="962"/>
      <c r="N1" s="962"/>
      <c r="O1" s="962"/>
      <c r="P1" s="963"/>
      <c r="Q1" s="1410">
        <v>45962</v>
      </c>
      <c r="R1" s="1410"/>
      <c r="S1" s="1410"/>
      <c r="T1" s="1410"/>
      <c r="U1" s="1410"/>
      <c r="V1" s="1410"/>
      <c r="W1" s="1410"/>
      <c r="X1" s="1410"/>
      <c r="Y1" s="1410"/>
      <c r="Z1" s="1411"/>
      <c r="AA1" s="1396" t="s">
        <v>724</v>
      </c>
      <c r="AB1" s="1396"/>
      <c r="AC1" s="1396"/>
      <c r="AD1" s="1396"/>
      <c r="AE1" s="1396"/>
      <c r="AF1" s="1396"/>
      <c r="AG1" s="1396"/>
      <c r="AH1" s="1396"/>
      <c r="AI1" s="1396"/>
      <c r="AJ1" s="1397"/>
      <c r="AK1" s="1432">
        <v>46054</v>
      </c>
      <c r="AL1" s="1432"/>
      <c r="AM1" s="1432"/>
      <c r="AN1" s="1432"/>
      <c r="AO1" s="1432"/>
      <c r="AP1" s="1432"/>
      <c r="AQ1" s="1432"/>
      <c r="AR1" s="1432"/>
      <c r="AS1" s="1432"/>
      <c r="AT1" s="1433"/>
    </row>
    <row r="2" spans="1:46" ht="28.8" x14ac:dyDescent="0.3">
      <c r="A2" s="1" t="s">
        <v>92</v>
      </c>
      <c r="B2" s="60" t="s">
        <v>0</v>
      </c>
      <c r="C2" s="60" t="s">
        <v>1</v>
      </c>
      <c r="D2" s="60" t="s">
        <v>73</v>
      </c>
      <c r="E2" s="249" t="s">
        <v>3</v>
      </c>
      <c r="F2" s="68" t="s">
        <v>4</v>
      </c>
      <c r="G2" s="964" t="s">
        <v>132</v>
      </c>
      <c r="H2" s="965"/>
      <c r="I2" s="965"/>
      <c r="J2" s="966"/>
      <c r="K2" s="1287" t="s">
        <v>317</v>
      </c>
      <c r="L2" s="968"/>
      <c r="M2" s="268" t="s">
        <v>88</v>
      </c>
      <c r="N2" s="60" t="s">
        <v>92</v>
      </c>
      <c r="O2" s="60" t="s">
        <v>220</v>
      </c>
      <c r="P2" s="68" t="s">
        <v>318</v>
      </c>
      <c r="Q2" s="1412" t="s">
        <v>132</v>
      </c>
      <c r="R2" s="1413"/>
      <c r="S2" s="1413"/>
      <c r="T2" s="1414"/>
      <c r="U2" s="1287" t="s">
        <v>594</v>
      </c>
      <c r="V2" s="968"/>
      <c r="W2" s="268" t="s">
        <v>88</v>
      </c>
      <c r="X2" s="60" t="s">
        <v>92</v>
      </c>
      <c r="Y2" s="60" t="s">
        <v>220</v>
      </c>
      <c r="Z2" s="633" t="s">
        <v>595</v>
      </c>
      <c r="AA2" s="1398" t="s">
        <v>132</v>
      </c>
      <c r="AB2" s="1399"/>
      <c r="AC2" s="1399"/>
      <c r="AD2" s="1530"/>
      <c r="AE2" s="1287" t="s">
        <v>728</v>
      </c>
      <c r="AF2" s="1288"/>
      <c r="AG2" s="69" t="s">
        <v>88</v>
      </c>
      <c r="AH2" s="60" t="s">
        <v>92</v>
      </c>
      <c r="AI2" s="60" t="s">
        <v>220</v>
      </c>
      <c r="AJ2" s="68" t="s">
        <v>729</v>
      </c>
      <c r="AK2" s="1434" t="s">
        <v>132</v>
      </c>
      <c r="AL2" s="1435"/>
      <c r="AM2" s="1435"/>
      <c r="AN2" s="1531"/>
      <c r="AO2" s="1287" t="s">
        <v>809</v>
      </c>
      <c r="AP2" s="968"/>
      <c r="AQ2" s="268" t="s">
        <v>88</v>
      </c>
      <c r="AR2" s="60" t="s">
        <v>92</v>
      </c>
      <c r="AS2" s="60" t="s">
        <v>220</v>
      </c>
      <c r="AT2" s="68" t="s">
        <v>799</v>
      </c>
    </row>
    <row r="3" spans="1:46" ht="274.8" customHeight="1" x14ac:dyDescent="0.3">
      <c r="A3" s="969">
        <v>0.7</v>
      </c>
      <c r="B3" s="972" t="s">
        <v>74</v>
      </c>
      <c r="C3" s="159" t="s">
        <v>362</v>
      </c>
      <c r="D3" s="2" t="s">
        <v>501</v>
      </c>
      <c r="E3" s="7" t="s">
        <v>503</v>
      </c>
      <c r="F3" s="190" t="s">
        <v>502</v>
      </c>
      <c r="G3" s="91" t="s">
        <v>360</v>
      </c>
      <c r="H3" s="110">
        <f>+B35</f>
        <v>165</v>
      </c>
      <c r="I3" s="88" t="s">
        <v>361</v>
      </c>
      <c r="J3" s="196">
        <f>+B39</f>
        <v>110</v>
      </c>
      <c r="K3" s="116">
        <f>+J3/H3</f>
        <v>0.66666666666666663</v>
      </c>
      <c r="L3" s="55" t="s">
        <v>541</v>
      </c>
      <c r="M3" s="269">
        <f>+K3</f>
        <v>0.66666666666666663</v>
      </c>
      <c r="N3" s="976">
        <v>0.6</v>
      </c>
      <c r="O3" s="976">
        <f>SUM(M3:M21)/9</f>
        <v>0.60529100529100532</v>
      </c>
      <c r="P3" s="978">
        <f>+N3*O3</f>
        <v>0.36317460317460321</v>
      </c>
      <c r="Q3" s="299" t="s">
        <v>360</v>
      </c>
      <c r="R3" s="322">
        <f>+B42</f>
        <v>400</v>
      </c>
      <c r="S3" s="300" t="s">
        <v>361</v>
      </c>
      <c r="T3" s="339">
        <f>+B46</f>
        <v>400</v>
      </c>
      <c r="U3" s="74">
        <f>+T3/R3</f>
        <v>1</v>
      </c>
      <c r="V3" s="55" t="s">
        <v>617</v>
      </c>
      <c r="W3" s="269">
        <f>+U3</f>
        <v>1</v>
      </c>
      <c r="X3" s="976">
        <v>0.7</v>
      </c>
      <c r="Y3" s="976">
        <f>SUM(W3:W21)/9</f>
        <v>0.89712962962962939</v>
      </c>
      <c r="Z3" s="979">
        <f>+X3*Y3</f>
        <v>0.62799074074074057</v>
      </c>
      <c r="AA3" s="425" t="s">
        <v>360</v>
      </c>
      <c r="AB3" s="474">
        <f>+B49+B56</f>
        <v>132</v>
      </c>
      <c r="AC3" s="426" t="s">
        <v>361</v>
      </c>
      <c r="AD3" s="576">
        <f>+B53+B60</f>
        <v>89</v>
      </c>
      <c r="AE3" s="116">
        <f>+AD3/AB3</f>
        <v>0.6742424242424242</v>
      </c>
      <c r="AF3" s="66" t="s">
        <v>770</v>
      </c>
      <c r="AG3" s="70">
        <f>+AE3</f>
        <v>0.6742424242424242</v>
      </c>
      <c r="AH3" s="976">
        <v>0.7</v>
      </c>
      <c r="AI3" s="976">
        <f>SUM(AG3:AG21)/9</f>
        <v>0.66083066960765557</v>
      </c>
      <c r="AJ3" s="978">
        <f>+AH3*AI3</f>
        <v>0.46258146872535888</v>
      </c>
      <c r="AK3" s="735" t="s">
        <v>360</v>
      </c>
      <c r="AL3" s="736">
        <f>+B63</f>
        <v>105</v>
      </c>
      <c r="AM3" s="737" t="s">
        <v>361</v>
      </c>
      <c r="AN3" s="738">
        <f>+B67</f>
        <v>102</v>
      </c>
      <c r="AO3" s="74">
        <f>+AN3/AL3</f>
        <v>0.97142857142857142</v>
      </c>
      <c r="AP3" s="55" t="s">
        <v>824</v>
      </c>
      <c r="AQ3" s="269">
        <f>+AO3</f>
        <v>0.97142857142857142</v>
      </c>
      <c r="AR3" s="976">
        <v>0.7</v>
      </c>
      <c r="AS3" s="976">
        <f>SUM(AQ3:AQ23)/10</f>
        <v>0.44725271493017954</v>
      </c>
      <c r="AT3" s="978">
        <f>+AR3*AS3</f>
        <v>0.31307690045112568</v>
      </c>
    </row>
    <row r="4" spans="1:46" ht="98.4" customHeight="1" x14ac:dyDescent="0.3">
      <c r="A4" s="970"/>
      <c r="B4" s="973"/>
      <c r="C4" s="6" t="s">
        <v>139</v>
      </c>
      <c r="D4" s="985" t="s">
        <v>505</v>
      </c>
      <c r="E4" s="986" t="s">
        <v>506</v>
      </c>
      <c r="F4" s="1100" t="s">
        <v>507</v>
      </c>
      <c r="G4" s="988" t="s">
        <v>366</v>
      </c>
      <c r="H4" s="955">
        <f>+F35</f>
        <v>30</v>
      </c>
      <c r="I4" s="956" t="s">
        <v>365</v>
      </c>
      <c r="J4" s="957">
        <f>+H4/J3</f>
        <v>0.27272727272727271</v>
      </c>
      <c r="K4" s="1153">
        <f>+J4</f>
        <v>0.27272727272727271</v>
      </c>
      <c r="L4" s="959" t="s">
        <v>562</v>
      </c>
      <c r="M4" s="984">
        <v>1</v>
      </c>
      <c r="N4" s="976"/>
      <c r="O4" s="976"/>
      <c r="P4" s="978"/>
      <c r="Q4" s="1418" t="s">
        <v>366</v>
      </c>
      <c r="R4" s="1419">
        <f>+F41</f>
        <v>18</v>
      </c>
      <c r="S4" s="1062" t="s">
        <v>365</v>
      </c>
      <c r="T4" s="1157">
        <f>+R4/T3</f>
        <v>4.4999999999999998E-2</v>
      </c>
      <c r="U4" s="1107">
        <f>+T4</f>
        <v>4.4999999999999998E-2</v>
      </c>
      <c r="V4" s="959" t="s">
        <v>618</v>
      </c>
      <c r="W4" s="984">
        <v>0.6</v>
      </c>
      <c r="X4" s="976"/>
      <c r="Y4" s="976"/>
      <c r="Z4" s="979"/>
      <c r="AA4" s="1377" t="s">
        <v>366</v>
      </c>
      <c r="AB4" s="1378">
        <f>+F48+F55</f>
        <v>8</v>
      </c>
      <c r="AC4" s="1076" t="s">
        <v>365</v>
      </c>
      <c r="AD4" s="1380">
        <f>+AB4/AD3</f>
        <v>8.98876404494382E-2</v>
      </c>
      <c r="AE4" s="1440">
        <f>+AD4</f>
        <v>8.98876404494382E-2</v>
      </c>
      <c r="AF4" s="1090" t="s">
        <v>771</v>
      </c>
      <c r="AG4" s="1491">
        <f>+AE4</f>
        <v>8.98876404494382E-2</v>
      </c>
      <c r="AH4" s="976"/>
      <c r="AI4" s="976"/>
      <c r="AJ4" s="978"/>
      <c r="AK4" s="1437" t="s">
        <v>366</v>
      </c>
      <c r="AL4" s="1438">
        <f>+F62</f>
        <v>35</v>
      </c>
      <c r="AM4" s="1263" t="s">
        <v>365</v>
      </c>
      <c r="AN4" s="1439">
        <f>+AL4/AN3</f>
        <v>0.34313725490196079</v>
      </c>
      <c r="AO4" s="1153">
        <f>+AN4</f>
        <v>0.34313725490196079</v>
      </c>
      <c r="AP4" s="959" t="s">
        <v>825</v>
      </c>
      <c r="AQ4" s="984">
        <f>+AO4</f>
        <v>0.34313725490196079</v>
      </c>
      <c r="AR4" s="976"/>
      <c r="AS4" s="976"/>
      <c r="AT4" s="978"/>
    </row>
    <row r="5" spans="1:46" ht="98.4" customHeight="1" x14ac:dyDescent="0.3">
      <c r="A5" s="970"/>
      <c r="B5" s="973"/>
      <c r="C5" s="6" t="s">
        <v>143</v>
      </c>
      <c r="D5" s="985"/>
      <c r="E5" s="986"/>
      <c r="F5" s="1100"/>
      <c r="G5" s="988"/>
      <c r="H5" s="955"/>
      <c r="I5" s="956"/>
      <c r="J5" s="957"/>
      <c r="K5" s="1153"/>
      <c r="L5" s="959"/>
      <c r="M5" s="984"/>
      <c r="N5" s="976"/>
      <c r="O5" s="976"/>
      <c r="P5" s="978"/>
      <c r="Q5" s="1418"/>
      <c r="R5" s="1419"/>
      <c r="S5" s="1062"/>
      <c r="T5" s="1157"/>
      <c r="U5" s="1107"/>
      <c r="V5" s="959"/>
      <c r="W5" s="984"/>
      <c r="X5" s="976"/>
      <c r="Y5" s="976"/>
      <c r="Z5" s="979"/>
      <c r="AA5" s="1377"/>
      <c r="AB5" s="1378"/>
      <c r="AC5" s="1076"/>
      <c r="AD5" s="1380"/>
      <c r="AE5" s="1440"/>
      <c r="AF5" s="1090"/>
      <c r="AG5" s="1491"/>
      <c r="AH5" s="976"/>
      <c r="AI5" s="976"/>
      <c r="AJ5" s="978"/>
      <c r="AK5" s="1437"/>
      <c r="AL5" s="1438"/>
      <c r="AM5" s="1263"/>
      <c r="AN5" s="1439"/>
      <c r="AO5" s="1153"/>
      <c r="AP5" s="959"/>
      <c r="AQ5" s="984"/>
      <c r="AR5" s="976"/>
      <c r="AS5" s="976"/>
      <c r="AT5" s="978"/>
    </row>
    <row r="6" spans="1:46" ht="91.8" customHeight="1" x14ac:dyDescent="0.3">
      <c r="A6" s="970"/>
      <c r="B6" s="973"/>
      <c r="C6" s="6" t="s">
        <v>145</v>
      </c>
      <c r="D6" s="986" t="s">
        <v>509</v>
      </c>
      <c r="E6" s="986" t="s">
        <v>511</v>
      </c>
      <c r="F6" s="1100" t="s">
        <v>510</v>
      </c>
      <c r="G6" s="988" t="s">
        <v>367</v>
      </c>
      <c r="H6" s="955">
        <f>+F34+F36</f>
        <v>9</v>
      </c>
      <c r="I6" s="956" t="s">
        <v>368</v>
      </c>
      <c r="J6" s="957">
        <f>+H6/H4</f>
        <v>0.3</v>
      </c>
      <c r="K6" s="1153">
        <f>+J6</f>
        <v>0.3</v>
      </c>
      <c r="L6" s="959" t="s">
        <v>563</v>
      </c>
      <c r="M6" s="990">
        <v>1</v>
      </c>
      <c r="N6" s="976"/>
      <c r="O6" s="976"/>
      <c r="P6" s="978"/>
      <c r="Q6" s="1418" t="s">
        <v>367</v>
      </c>
      <c r="R6" s="1419">
        <f>+F42</f>
        <v>8</v>
      </c>
      <c r="S6" s="1062" t="s">
        <v>368</v>
      </c>
      <c r="T6" s="1157">
        <f>+R6/R4</f>
        <v>0.44444444444444442</v>
      </c>
      <c r="U6" s="1153">
        <f>+T6</f>
        <v>0.44444444444444442</v>
      </c>
      <c r="V6" s="959" t="s">
        <v>619</v>
      </c>
      <c r="W6" s="990">
        <v>1</v>
      </c>
      <c r="X6" s="976"/>
      <c r="Y6" s="976"/>
      <c r="Z6" s="979"/>
      <c r="AA6" s="1377" t="s">
        <v>367</v>
      </c>
      <c r="AB6" s="1378">
        <f>+F49+F56</f>
        <v>7</v>
      </c>
      <c r="AC6" s="1076" t="s">
        <v>368</v>
      </c>
      <c r="AD6" s="1380">
        <f>+AB6/AB4</f>
        <v>0.875</v>
      </c>
      <c r="AE6" s="1153">
        <f>+AD6</f>
        <v>0.875</v>
      </c>
      <c r="AF6" s="1090" t="s">
        <v>772</v>
      </c>
      <c r="AG6" s="1097">
        <f>+AE6</f>
        <v>0.875</v>
      </c>
      <c r="AH6" s="976"/>
      <c r="AI6" s="976"/>
      <c r="AJ6" s="978"/>
      <c r="AK6" s="1437" t="s">
        <v>367</v>
      </c>
      <c r="AL6" s="1438">
        <f>+F63</f>
        <v>49</v>
      </c>
      <c r="AM6" s="1263" t="s">
        <v>368</v>
      </c>
      <c r="AN6" s="1439">
        <f>+AL6/AL4</f>
        <v>1.4</v>
      </c>
      <c r="AO6" s="1153">
        <f>+AN6</f>
        <v>1.4</v>
      </c>
      <c r="AP6" s="959" t="s">
        <v>826</v>
      </c>
      <c r="AQ6" s="990">
        <v>1</v>
      </c>
      <c r="AR6" s="976"/>
      <c r="AS6" s="976"/>
      <c r="AT6" s="978"/>
    </row>
    <row r="7" spans="1:46" ht="91.8" customHeight="1" x14ac:dyDescent="0.3">
      <c r="A7" s="970"/>
      <c r="B7" s="973"/>
      <c r="C7" s="6" t="s">
        <v>148</v>
      </c>
      <c r="D7" s="986"/>
      <c r="E7" s="986"/>
      <c r="F7" s="1100"/>
      <c r="G7" s="988"/>
      <c r="H7" s="955"/>
      <c r="I7" s="956"/>
      <c r="J7" s="957"/>
      <c r="K7" s="1153"/>
      <c r="L7" s="959"/>
      <c r="M7" s="990"/>
      <c r="N7" s="976"/>
      <c r="O7" s="976"/>
      <c r="P7" s="978"/>
      <c r="Q7" s="1418"/>
      <c r="R7" s="1419"/>
      <c r="S7" s="1062"/>
      <c r="T7" s="1157"/>
      <c r="U7" s="1153"/>
      <c r="V7" s="959"/>
      <c r="W7" s="990"/>
      <c r="X7" s="976"/>
      <c r="Y7" s="976"/>
      <c r="Z7" s="979"/>
      <c r="AA7" s="1377"/>
      <c r="AB7" s="1378"/>
      <c r="AC7" s="1076"/>
      <c r="AD7" s="1380"/>
      <c r="AE7" s="1153"/>
      <c r="AF7" s="1090"/>
      <c r="AG7" s="1097"/>
      <c r="AH7" s="976"/>
      <c r="AI7" s="976"/>
      <c r="AJ7" s="978"/>
      <c r="AK7" s="1437"/>
      <c r="AL7" s="1438"/>
      <c r="AM7" s="1263"/>
      <c r="AN7" s="1439"/>
      <c r="AO7" s="1153"/>
      <c r="AP7" s="959"/>
      <c r="AQ7" s="990"/>
      <c r="AR7" s="976"/>
      <c r="AS7" s="976"/>
      <c r="AT7" s="978"/>
    </row>
    <row r="8" spans="1:46" ht="96" customHeight="1" x14ac:dyDescent="0.3">
      <c r="A8" s="970"/>
      <c r="B8" s="973"/>
      <c r="C8" s="6" t="s">
        <v>150</v>
      </c>
      <c r="D8" s="986" t="s">
        <v>513</v>
      </c>
      <c r="E8" s="986" t="s">
        <v>515</v>
      </c>
      <c r="F8" s="1100" t="s">
        <v>514</v>
      </c>
      <c r="G8" s="988" t="s">
        <v>369</v>
      </c>
      <c r="H8" s="955">
        <f>+F36</f>
        <v>3</v>
      </c>
      <c r="I8" s="956" t="s">
        <v>370</v>
      </c>
      <c r="J8" s="957">
        <f>+H8/H6</f>
        <v>0.33333333333333331</v>
      </c>
      <c r="K8" s="1153">
        <f>+J8</f>
        <v>0.33333333333333331</v>
      </c>
      <c r="L8" s="959" t="s">
        <v>564</v>
      </c>
      <c r="M8" s="990">
        <v>1</v>
      </c>
      <c r="N8" s="976"/>
      <c r="O8" s="976"/>
      <c r="P8" s="978"/>
      <c r="Q8" s="1418" t="s">
        <v>369</v>
      </c>
      <c r="R8" s="1419">
        <f>+F43</f>
        <v>4</v>
      </c>
      <c r="S8" s="1062" t="s">
        <v>370</v>
      </c>
      <c r="T8" s="1157">
        <f>+R8/R6</f>
        <v>0.5</v>
      </c>
      <c r="U8" s="1153">
        <f>+T8</f>
        <v>0.5</v>
      </c>
      <c r="V8" s="959" t="s">
        <v>620</v>
      </c>
      <c r="W8" s="990">
        <v>1</v>
      </c>
      <c r="X8" s="976"/>
      <c r="Y8" s="976"/>
      <c r="Z8" s="979"/>
      <c r="AA8" s="1377" t="s">
        <v>369</v>
      </c>
      <c r="AB8" s="1378">
        <f>+F50+F57</f>
        <v>7</v>
      </c>
      <c r="AC8" s="1076" t="s">
        <v>370</v>
      </c>
      <c r="AD8" s="1380">
        <f>+AB8/AB6</f>
        <v>1</v>
      </c>
      <c r="AE8" s="1153">
        <f>+AD8</f>
        <v>1</v>
      </c>
      <c r="AF8" s="1090" t="s">
        <v>773</v>
      </c>
      <c r="AG8" s="1097">
        <f>+AE8</f>
        <v>1</v>
      </c>
      <c r="AH8" s="976"/>
      <c r="AI8" s="976"/>
      <c r="AJ8" s="978"/>
      <c r="AK8" s="1437" t="s">
        <v>369</v>
      </c>
      <c r="AL8" s="1438">
        <f>+F64</f>
        <v>0</v>
      </c>
      <c r="AM8" s="1263" t="s">
        <v>370</v>
      </c>
      <c r="AN8" s="1439">
        <f>+AL8/AL6</f>
        <v>0</v>
      </c>
      <c r="AO8" s="1107">
        <f>+AN8</f>
        <v>0</v>
      </c>
      <c r="AP8" s="959" t="s">
        <v>827</v>
      </c>
      <c r="AQ8" s="990">
        <f>+AO8</f>
        <v>0</v>
      </c>
      <c r="AR8" s="976"/>
      <c r="AS8" s="976"/>
      <c r="AT8" s="978"/>
    </row>
    <row r="9" spans="1:46" ht="96" customHeight="1" x14ac:dyDescent="0.3">
      <c r="A9" s="970"/>
      <c r="B9" s="973"/>
      <c r="C9" s="6" t="s">
        <v>153</v>
      </c>
      <c r="D9" s="986"/>
      <c r="E9" s="1002"/>
      <c r="F9" s="1100"/>
      <c r="G9" s="988"/>
      <c r="H9" s="955"/>
      <c r="I9" s="956"/>
      <c r="J9" s="957"/>
      <c r="K9" s="1153"/>
      <c r="L9" s="959"/>
      <c r="M9" s="990"/>
      <c r="N9" s="976"/>
      <c r="O9" s="976"/>
      <c r="P9" s="978"/>
      <c r="Q9" s="1418"/>
      <c r="R9" s="1419"/>
      <c r="S9" s="1062"/>
      <c r="T9" s="1157"/>
      <c r="U9" s="1153"/>
      <c r="V9" s="959"/>
      <c r="W9" s="990"/>
      <c r="X9" s="976"/>
      <c r="Y9" s="976"/>
      <c r="Z9" s="979"/>
      <c r="AA9" s="1377"/>
      <c r="AB9" s="1378"/>
      <c r="AC9" s="1076"/>
      <c r="AD9" s="1380"/>
      <c r="AE9" s="1153"/>
      <c r="AF9" s="1090"/>
      <c r="AG9" s="1097"/>
      <c r="AH9" s="976"/>
      <c r="AI9" s="976"/>
      <c r="AJ9" s="978"/>
      <c r="AK9" s="1437"/>
      <c r="AL9" s="1438"/>
      <c r="AM9" s="1263"/>
      <c r="AN9" s="1439"/>
      <c r="AO9" s="1107"/>
      <c r="AP9" s="959"/>
      <c r="AQ9" s="990"/>
      <c r="AR9" s="976"/>
      <c r="AS9" s="976"/>
      <c r="AT9" s="978"/>
    </row>
    <row r="10" spans="1:46" ht="260.39999999999998" customHeight="1" x14ac:dyDescent="0.3">
      <c r="A10" s="970"/>
      <c r="B10" s="973"/>
      <c r="C10" s="6" t="s">
        <v>371</v>
      </c>
      <c r="D10" s="6" t="s">
        <v>517</v>
      </c>
      <c r="E10" s="6" t="s">
        <v>569</v>
      </c>
      <c r="F10" s="190" t="s">
        <v>518</v>
      </c>
      <c r="G10" s="91" t="s">
        <v>360</v>
      </c>
      <c r="H10" s="191">
        <f>+H3</f>
        <v>165</v>
      </c>
      <c r="I10" s="88" t="s">
        <v>372</v>
      </c>
      <c r="J10" s="250">
        <f>+H3-J3</f>
        <v>55</v>
      </c>
      <c r="K10" s="178">
        <f>+J10/H10</f>
        <v>0.33333333333333331</v>
      </c>
      <c r="L10" s="173" t="s">
        <v>547</v>
      </c>
      <c r="M10" s="177">
        <v>0</v>
      </c>
      <c r="N10" s="976"/>
      <c r="O10" s="976"/>
      <c r="P10" s="978"/>
      <c r="Q10" s="299" t="s">
        <v>360</v>
      </c>
      <c r="R10" s="308">
        <f>+R3</f>
        <v>400</v>
      </c>
      <c r="S10" s="300" t="s">
        <v>372</v>
      </c>
      <c r="T10" s="340">
        <f>+R3-T3</f>
        <v>0</v>
      </c>
      <c r="U10" s="187">
        <f>+T10/R10</f>
        <v>0</v>
      </c>
      <c r="V10" s="173" t="s">
        <v>621</v>
      </c>
      <c r="W10" s="177">
        <v>1</v>
      </c>
      <c r="X10" s="976"/>
      <c r="Y10" s="976"/>
      <c r="Z10" s="979"/>
      <c r="AA10" s="425" t="s">
        <v>360</v>
      </c>
      <c r="AB10" s="440">
        <f>+AB3</f>
        <v>132</v>
      </c>
      <c r="AC10" s="426" t="s">
        <v>372</v>
      </c>
      <c r="AD10" s="577">
        <f>+AB3-AD3</f>
        <v>43</v>
      </c>
      <c r="AE10" s="178">
        <f>+AD10/AB10</f>
        <v>0.32575757575757575</v>
      </c>
      <c r="AF10" s="190" t="s">
        <v>774</v>
      </c>
      <c r="AG10" s="71">
        <f>+AE10</f>
        <v>0.32575757575757575</v>
      </c>
      <c r="AH10" s="976"/>
      <c r="AI10" s="976"/>
      <c r="AJ10" s="978"/>
      <c r="AK10" s="735" t="s">
        <v>360</v>
      </c>
      <c r="AL10" s="740">
        <f>+AL3</f>
        <v>105</v>
      </c>
      <c r="AM10" s="737" t="s">
        <v>372</v>
      </c>
      <c r="AN10" s="741">
        <f>+AL3-AN3</f>
        <v>3</v>
      </c>
      <c r="AO10" s="646">
        <f>+AN10/AL10</f>
        <v>2.8571428571428571E-2</v>
      </c>
      <c r="AP10" s="173" t="s">
        <v>828</v>
      </c>
      <c r="AQ10" s="177">
        <f>+AO10</f>
        <v>2.8571428571428571E-2</v>
      </c>
      <c r="AR10" s="976"/>
      <c r="AS10" s="976"/>
      <c r="AT10" s="978"/>
    </row>
    <row r="11" spans="1:46" ht="250.8" customHeight="1" x14ac:dyDescent="0.3">
      <c r="A11" s="970"/>
      <c r="B11" s="973"/>
      <c r="C11" s="6" t="s">
        <v>520</v>
      </c>
      <c r="D11" s="6" t="s">
        <v>521</v>
      </c>
      <c r="E11" s="6" t="s">
        <v>523</v>
      </c>
      <c r="F11" s="190" t="s">
        <v>522</v>
      </c>
      <c r="G11" s="251" t="s">
        <v>3</v>
      </c>
      <c r="H11" s="98">
        <f>35*24</f>
        <v>840</v>
      </c>
      <c r="I11" s="88" t="s">
        <v>374</v>
      </c>
      <c r="J11" s="250">
        <v>296</v>
      </c>
      <c r="K11" s="178">
        <f>+J11/H11</f>
        <v>0.35238095238095241</v>
      </c>
      <c r="L11" s="173" t="s">
        <v>548</v>
      </c>
      <c r="M11" s="270">
        <f>+K11</f>
        <v>0.35238095238095241</v>
      </c>
      <c r="N11" s="976"/>
      <c r="O11" s="976"/>
      <c r="P11" s="978"/>
      <c r="Q11" s="341" t="s">
        <v>3</v>
      </c>
      <c r="R11" s="321">
        <f>35*24</f>
        <v>840</v>
      </c>
      <c r="S11" s="300" t="s">
        <v>374</v>
      </c>
      <c r="T11" s="340">
        <v>815</v>
      </c>
      <c r="U11" s="187">
        <f>+T11/R11</f>
        <v>0.97023809523809523</v>
      </c>
      <c r="V11" s="173" t="s">
        <v>622</v>
      </c>
      <c r="W11" s="270">
        <f>+U11</f>
        <v>0.97023809523809523</v>
      </c>
      <c r="X11" s="976"/>
      <c r="Y11" s="976"/>
      <c r="Z11" s="979"/>
      <c r="AA11" s="524" t="s">
        <v>3</v>
      </c>
      <c r="AB11" s="473">
        <f>35*(24+24)</f>
        <v>1680</v>
      </c>
      <c r="AC11" s="426" t="s">
        <v>374</v>
      </c>
      <c r="AD11" s="577">
        <f>+C49+C56</f>
        <v>827</v>
      </c>
      <c r="AE11" s="178">
        <f>+AD11/AB11</f>
        <v>0.49226190476190479</v>
      </c>
      <c r="AF11" s="190" t="s">
        <v>775</v>
      </c>
      <c r="AG11" s="595">
        <f>+AE11</f>
        <v>0.49226190476190479</v>
      </c>
      <c r="AH11" s="976"/>
      <c r="AI11" s="976"/>
      <c r="AJ11" s="978"/>
      <c r="AK11" s="742" t="s">
        <v>3</v>
      </c>
      <c r="AL11" s="739">
        <f>35*(22)</f>
        <v>770</v>
      </c>
      <c r="AM11" s="737" t="s">
        <v>374</v>
      </c>
      <c r="AN11" s="741">
        <f>+C63</f>
        <v>503</v>
      </c>
      <c r="AO11" s="178">
        <f>+AN11/AL11</f>
        <v>0.6532467532467533</v>
      </c>
      <c r="AP11" s="173" t="s">
        <v>829</v>
      </c>
      <c r="AQ11" s="270">
        <f>+AO11</f>
        <v>0.6532467532467533</v>
      </c>
      <c r="AR11" s="976"/>
      <c r="AS11" s="976"/>
      <c r="AT11" s="978"/>
    </row>
    <row r="12" spans="1:46" ht="30" customHeight="1" x14ac:dyDescent="0.3">
      <c r="A12" s="970"/>
      <c r="B12" s="973"/>
      <c r="C12" s="986" t="s">
        <v>75</v>
      </c>
      <c r="D12" s="986" t="s">
        <v>525</v>
      </c>
      <c r="E12" s="986" t="s">
        <v>526</v>
      </c>
      <c r="F12" s="1100" t="s">
        <v>528</v>
      </c>
      <c r="G12" s="210" t="s">
        <v>373</v>
      </c>
      <c r="H12" s="144" t="s">
        <v>210</v>
      </c>
      <c r="I12" s="213" t="s">
        <v>211</v>
      </c>
      <c r="J12" s="252" t="s">
        <v>212</v>
      </c>
      <c r="K12" s="1147">
        <f>AVERAGE(J13:J15)</f>
        <v>4.333333333333333</v>
      </c>
      <c r="L12" s="987" t="s">
        <v>549</v>
      </c>
      <c r="M12" s="990">
        <v>1</v>
      </c>
      <c r="N12" s="976"/>
      <c r="O12" s="976"/>
      <c r="P12" s="978"/>
      <c r="Q12" s="324" t="s">
        <v>373</v>
      </c>
      <c r="R12" s="332" t="s">
        <v>210</v>
      </c>
      <c r="S12" s="309" t="s">
        <v>211</v>
      </c>
      <c r="T12" s="342" t="s">
        <v>212</v>
      </c>
      <c r="U12" s="1147">
        <f>AVERAGE(T13:T16)/4</f>
        <v>1.5625</v>
      </c>
      <c r="V12" s="987" t="s">
        <v>623</v>
      </c>
      <c r="W12" s="990">
        <v>1</v>
      </c>
      <c r="X12" s="976"/>
      <c r="Y12" s="976"/>
      <c r="Z12" s="979"/>
      <c r="AA12" s="479" t="s">
        <v>373</v>
      </c>
      <c r="AB12" s="525" t="s">
        <v>210</v>
      </c>
      <c r="AC12" s="526" t="s">
        <v>211</v>
      </c>
      <c r="AD12" s="578" t="s">
        <v>212</v>
      </c>
      <c r="AE12" s="1147">
        <f>AVERAGE(AD13:AD19)</f>
        <v>6.4285714285714288</v>
      </c>
      <c r="AF12" s="1100" t="s">
        <v>776</v>
      </c>
      <c r="AG12" s="1097">
        <v>1</v>
      </c>
      <c r="AH12" s="976"/>
      <c r="AI12" s="976"/>
      <c r="AJ12" s="978"/>
      <c r="AK12" s="743" t="s">
        <v>373</v>
      </c>
      <c r="AL12" s="744" t="s">
        <v>210</v>
      </c>
      <c r="AM12" s="745" t="s">
        <v>211</v>
      </c>
      <c r="AN12" s="746" t="s">
        <v>212</v>
      </c>
      <c r="AO12" s="1137">
        <f>AVERAGE(AN13:AN19)</f>
        <v>0</v>
      </c>
      <c r="AP12" s="987" t="s">
        <v>830</v>
      </c>
      <c r="AQ12" s="990">
        <v>0</v>
      </c>
      <c r="AR12" s="976"/>
      <c r="AS12" s="976"/>
      <c r="AT12" s="978"/>
    </row>
    <row r="13" spans="1:46" ht="30" customHeight="1" x14ac:dyDescent="0.3">
      <c r="A13" s="970"/>
      <c r="B13" s="973"/>
      <c r="C13" s="986"/>
      <c r="D13" s="986"/>
      <c r="E13" s="986"/>
      <c r="F13" s="1100"/>
      <c r="G13" s="88" t="s">
        <v>354</v>
      </c>
      <c r="H13" s="142">
        <v>45911</v>
      </c>
      <c r="I13" s="142">
        <v>45912</v>
      </c>
      <c r="J13" s="98">
        <v>1</v>
      </c>
      <c r="K13" s="1147"/>
      <c r="L13" s="1004"/>
      <c r="M13" s="990"/>
      <c r="N13" s="976"/>
      <c r="O13" s="976"/>
      <c r="P13" s="978"/>
      <c r="Q13" s="299" t="s">
        <v>166</v>
      </c>
      <c r="R13" s="333">
        <v>45964</v>
      </c>
      <c r="S13" s="333">
        <v>45974</v>
      </c>
      <c r="T13" s="321">
        <v>1</v>
      </c>
      <c r="U13" s="1147"/>
      <c r="V13" s="1004"/>
      <c r="W13" s="990"/>
      <c r="X13" s="976"/>
      <c r="Y13" s="976"/>
      <c r="Z13" s="979"/>
      <c r="AA13" s="425" t="s">
        <v>708</v>
      </c>
      <c r="AB13" s="512">
        <v>45948</v>
      </c>
      <c r="AC13" s="512">
        <v>45965</v>
      </c>
      <c r="AD13" s="552">
        <f>_xlfn.DAYS(AC13,AB13)</f>
        <v>17</v>
      </c>
      <c r="AE13" s="1147"/>
      <c r="AF13" s="1133"/>
      <c r="AG13" s="1097"/>
      <c r="AH13" s="976"/>
      <c r="AI13" s="976"/>
      <c r="AJ13" s="978"/>
      <c r="AK13" s="735"/>
      <c r="AL13" s="747"/>
      <c r="AM13" s="747"/>
      <c r="AN13" s="748">
        <f>_xlfn.DAYS(AM13,AL13)</f>
        <v>0</v>
      </c>
      <c r="AO13" s="1137"/>
      <c r="AP13" s="1004"/>
      <c r="AQ13" s="990"/>
      <c r="AR13" s="976"/>
      <c r="AS13" s="976"/>
      <c r="AT13" s="978"/>
    </row>
    <row r="14" spans="1:46" ht="30" customHeight="1" x14ac:dyDescent="0.3">
      <c r="A14" s="970"/>
      <c r="B14" s="973"/>
      <c r="C14" s="986"/>
      <c r="D14" s="986"/>
      <c r="E14" s="986"/>
      <c r="F14" s="1100"/>
      <c r="G14" s="88" t="s">
        <v>355</v>
      </c>
      <c r="H14" s="142">
        <v>45942</v>
      </c>
      <c r="I14" s="142">
        <v>45942</v>
      </c>
      <c r="J14" s="98">
        <v>0</v>
      </c>
      <c r="K14" s="1147"/>
      <c r="L14" s="1004"/>
      <c r="M14" s="990"/>
      <c r="N14" s="976"/>
      <c r="O14" s="976"/>
      <c r="P14" s="978"/>
      <c r="Q14" s="299" t="s">
        <v>166</v>
      </c>
      <c r="R14" s="333">
        <v>45983</v>
      </c>
      <c r="S14" s="333">
        <v>45983</v>
      </c>
      <c r="T14" s="321">
        <v>0</v>
      </c>
      <c r="U14" s="1147"/>
      <c r="V14" s="1004"/>
      <c r="W14" s="990"/>
      <c r="X14" s="976"/>
      <c r="Y14" s="976"/>
      <c r="Z14" s="979"/>
      <c r="AA14" s="425" t="s">
        <v>705</v>
      </c>
      <c r="AB14" s="512">
        <v>45960</v>
      </c>
      <c r="AC14" s="512">
        <v>45962</v>
      </c>
      <c r="AD14" s="552">
        <f t="shared" ref="AD14:AD19" si="0">_xlfn.DAYS(AC14,AB14)</f>
        <v>2</v>
      </c>
      <c r="AE14" s="1147"/>
      <c r="AF14" s="1133"/>
      <c r="AG14" s="1097"/>
      <c r="AH14" s="976"/>
      <c r="AI14" s="976"/>
      <c r="AJ14" s="978"/>
      <c r="AK14" s="735"/>
      <c r="AL14" s="747"/>
      <c r="AM14" s="747"/>
      <c r="AN14" s="748">
        <f t="shared" ref="AN14:AN19" si="1">_xlfn.DAYS(AM14,AL14)</f>
        <v>0</v>
      </c>
      <c r="AO14" s="1137"/>
      <c r="AP14" s="1004"/>
      <c r="AQ14" s="990"/>
      <c r="AR14" s="976"/>
      <c r="AS14" s="976"/>
      <c r="AT14" s="978"/>
    </row>
    <row r="15" spans="1:46" ht="30" customHeight="1" x14ac:dyDescent="0.3">
      <c r="A15" s="970"/>
      <c r="B15" s="973"/>
      <c r="C15" s="986"/>
      <c r="D15" s="986"/>
      <c r="E15" s="986"/>
      <c r="F15" s="1100"/>
      <c r="G15" s="88" t="s">
        <v>356</v>
      </c>
      <c r="H15" s="142">
        <v>45948</v>
      </c>
      <c r="I15" s="142">
        <v>45960</v>
      </c>
      <c r="J15" s="98">
        <v>12</v>
      </c>
      <c r="K15" s="1147"/>
      <c r="L15" s="1004"/>
      <c r="M15" s="990"/>
      <c r="N15" s="976"/>
      <c r="O15" s="976"/>
      <c r="P15" s="978"/>
      <c r="Q15" s="299" t="s">
        <v>166</v>
      </c>
      <c r="R15" s="333">
        <v>45969</v>
      </c>
      <c r="S15" s="333">
        <v>45983</v>
      </c>
      <c r="T15" s="321">
        <v>12</v>
      </c>
      <c r="U15" s="1147"/>
      <c r="V15" s="1004"/>
      <c r="W15" s="990"/>
      <c r="X15" s="976"/>
      <c r="Y15" s="976"/>
      <c r="Z15" s="979"/>
      <c r="AA15" s="425" t="s">
        <v>713</v>
      </c>
      <c r="AB15" s="512">
        <v>45977</v>
      </c>
      <c r="AC15" s="512">
        <v>45978</v>
      </c>
      <c r="AD15" s="552">
        <f t="shared" si="0"/>
        <v>1</v>
      </c>
      <c r="AE15" s="1147"/>
      <c r="AF15" s="1133"/>
      <c r="AG15" s="1097"/>
      <c r="AH15" s="976"/>
      <c r="AI15" s="976"/>
      <c r="AJ15" s="978"/>
      <c r="AK15" s="735"/>
      <c r="AL15" s="747"/>
      <c r="AM15" s="747"/>
      <c r="AN15" s="748">
        <f t="shared" si="1"/>
        <v>0</v>
      </c>
      <c r="AO15" s="1137"/>
      <c r="AP15" s="1004"/>
      <c r="AQ15" s="990"/>
      <c r="AR15" s="976"/>
      <c r="AS15" s="976"/>
      <c r="AT15" s="978"/>
    </row>
    <row r="16" spans="1:46" ht="30" customHeight="1" x14ac:dyDescent="0.3">
      <c r="A16" s="970"/>
      <c r="B16" s="973"/>
      <c r="C16" s="986"/>
      <c r="D16" s="986"/>
      <c r="E16" s="986"/>
      <c r="F16" s="1100"/>
      <c r="G16" s="91"/>
      <c r="H16" s="142"/>
      <c r="I16" s="142"/>
      <c r="J16" s="118"/>
      <c r="K16" s="1147"/>
      <c r="L16" s="1004"/>
      <c r="M16" s="990"/>
      <c r="N16" s="976"/>
      <c r="O16" s="976"/>
      <c r="P16" s="978"/>
      <c r="Q16" s="299" t="s">
        <v>166</v>
      </c>
      <c r="R16" s="333">
        <v>45949</v>
      </c>
      <c r="S16" s="333">
        <v>45990</v>
      </c>
      <c r="T16" s="321">
        <v>12</v>
      </c>
      <c r="U16" s="1147"/>
      <c r="V16" s="1004"/>
      <c r="W16" s="990"/>
      <c r="X16" s="976"/>
      <c r="Y16" s="976"/>
      <c r="Z16" s="979"/>
      <c r="AA16" s="425" t="s">
        <v>714</v>
      </c>
      <c r="AB16" s="512">
        <v>45977</v>
      </c>
      <c r="AC16" s="512">
        <v>45978</v>
      </c>
      <c r="AD16" s="552">
        <f t="shared" si="0"/>
        <v>1</v>
      </c>
      <c r="AE16" s="1147"/>
      <c r="AF16" s="1133"/>
      <c r="AG16" s="1097"/>
      <c r="AH16" s="976"/>
      <c r="AI16" s="976"/>
      <c r="AJ16" s="978"/>
      <c r="AK16" s="735"/>
      <c r="AL16" s="747"/>
      <c r="AM16" s="747"/>
      <c r="AN16" s="748">
        <f t="shared" si="1"/>
        <v>0</v>
      </c>
      <c r="AO16" s="1137"/>
      <c r="AP16" s="1004"/>
      <c r="AQ16" s="990"/>
      <c r="AR16" s="976"/>
      <c r="AS16" s="976"/>
      <c r="AT16" s="978"/>
    </row>
    <row r="17" spans="1:46" ht="30" customHeight="1" x14ac:dyDescent="0.3">
      <c r="A17" s="970"/>
      <c r="B17" s="973"/>
      <c r="C17" s="986"/>
      <c r="D17" s="986"/>
      <c r="E17" s="986"/>
      <c r="F17" s="1100"/>
      <c r="G17" s="91"/>
      <c r="H17" s="142"/>
      <c r="I17" s="142"/>
      <c r="J17" s="118"/>
      <c r="K17" s="1147"/>
      <c r="L17" s="1004"/>
      <c r="M17" s="990"/>
      <c r="N17" s="976"/>
      <c r="O17" s="976"/>
      <c r="P17" s="978"/>
      <c r="Q17" s="299"/>
      <c r="R17" s="333"/>
      <c r="S17" s="333"/>
      <c r="T17" s="566"/>
      <c r="U17" s="1147"/>
      <c r="V17" s="1004"/>
      <c r="W17" s="990"/>
      <c r="X17" s="976"/>
      <c r="Y17" s="976"/>
      <c r="Z17" s="979"/>
      <c r="AA17" s="425" t="s">
        <v>717</v>
      </c>
      <c r="AB17" s="512">
        <v>45969</v>
      </c>
      <c r="AC17" s="512">
        <v>45990</v>
      </c>
      <c r="AD17" s="552">
        <f t="shared" si="0"/>
        <v>21</v>
      </c>
      <c r="AE17" s="1147"/>
      <c r="AF17" s="1133"/>
      <c r="AG17" s="1097"/>
      <c r="AH17" s="976"/>
      <c r="AI17" s="976"/>
      <c r="AJ17" s="978"/>
      <c r="AK17" s="735"/>
      <c r="AL17" s="747"/>
      <c r="AM17" s="747"/>
      <c r="AN17" s="748">
        <f t="shared" si="1"/>
        <v>0</v>
      </c>
      <c r="AO17" s="1137"/>
      <c r="AP17" s="1004"/>
      <c r="AQ17" s="990"/>
      <c r="AR17" s="976"/>
      <c r="AS17" s="976"/>
      <c r="AT17" s="978"/>
    </row>
    <row r="18" spans="1:46" ht="30" customHeight="1" x14ac:dyDescent="0.3">
      <c r="A18" s="970"/>
      <c r="B18" s="973"/>
      <c r="C18" s="986"/>
      <c r="D18" s="986"/>
      <c r="E18" s="986"/>
      <c r="F18" s="1100"/>
      <c r="G18" s="91"/>
      <c r="H18" s="142"/>
      <c r="I18" s="142"/>
      <c r="J18" s="118"/>
      <c r="K18" s="1147"/>
      <c r="L18" s="1004"/>
      <c r="M18" s="990"/>
      <c r="N18" s="976"/>
      <c r="O18" s="976"/>
      <c r="P18" s="978"/>
      <c r="Q18" s="299"/>
      <c r="R18" s="343"/>
      <c r="S18" s="343"/>
      <c r="T18" s="338"/>
      <c r="U18" s="1147"/>
      <c r="V18" s="1004"/>
      <c r="W18" s="990"/>
      <c r="X18" s="976"/>
      <c r="Y18" s="976"/>
      <c r="Z18" s="979"/>
      <c r="AA18" s="425" t="s">
        <v>705</v>
      </c>
      <c r="AB18" s="508">
        <v>46030</v>
      </c>
      <c r="AC18" s="508">
        <v>46032</v>
      </c>
      <c r="AD18" s="552">
        <f t="shared" si="0"/>
        <v>2</v>
      </c>
      <c r="AE18" s="1147"/>
      <c r="AF18" s="1133"/>
      <c r="AG18" s="1097"/>
      <c r="AH18" s="976"/>
      <c r="AI18" s="976"/>
      <c r="AJ18" s="978"/>
      <c r="AK18" s="735"/>
      <c r="AL18" s="749"/>
      <c r="AM18" s="749"/>
      <c r="AN18" s="748">
        <f t="shared" si="1"/>
        <v>0</v>
      </c>
      <c r="AO18" s="1137"/>
      <c r="AP18" s="1004"/>
      <c r="AQ18" s="990"/>
      <c r="AR18" s="976"/>
      <c r="AS18" s="976"/>
      <c r="AT18" s="978"/>
    </row>
    <row r="19" spans="1:46" ht="30" customHeight="1" x14ac:dyDescent="0.3">
      <c r="A19" s="970"/>
      <c r="B19" s="973"/>
      <c r="C19" s="986"/>
      <c r="D19" s="986"/>
      <c r="E19" s="986"/>
      <c r="F19" s="1100"/>
      <c r="G19" s="91"/>
      <c r="H19" s="142"/>
      <c r="I19" s="142"/>
      <c r="J19" s="118"/>
      <c r="K19" s="1147"/>
      <c r="L19" s="1004"/>
      <c r="M19" s="990"/>
      <c r="N19" s="976"/>
      <c r="O19" s="976"/>
      <c r="P19" s="978"/>
      <c r="Q19" s="299"/>
      <c r="R19" s="343"/>
      <c r="S19" s="343"/>
      <c r="T19" s="338"/>
      <c r="U19" s="1147"/>
      <c r="V19" s="1004"/>
      <c r="W19" s="990"/>
      <c r="X19" s="976"/>
      <c r="Y19" s="976"/>
      <c r="Z19" s="979"/>
      <c r="AA19" s="425" t="s">
        <v>706</v>
      </c>
      <c r="AB19" s="508">
        <v>46035</v>
      </c>
      <c r="AC19" s="508">
        <v>46036</v>
      </c>
      <c r="AD19" s="552">
        <f t="shared" si="0"/>
        <v>1</v>
      </c>
      <c r="AE19" s="1147"/>
      <c r="AF19" s="1133"/>
      <c r="AG19" s="1097"/>
      <c r="AH19" s="976"/>
      <c r="AI19" s="976"/>
      <c r="AJ19" s="978"/>
      <c r="AK19" s="735"/>
      <c r="AL19" s="749"/>
      <c r="AM19" s="749"/>
      <c r="AN19" s="748">
        <f t="shared" si="1"/>
        <v>0</v>
      </c>
      <c r="AO19" s="1137"/>
      <c r="AP19" s="1004"/>
      <c r="AQ19" s="990"/>
      <c r="AR19" s="976"/>
      <c r="AS19" s="976"/>
      <c r="AT19" s="978"/>
    </row>
    <row r="20" spans="1:46" ht="144" x14ac:dyDescent="0.3">
      <c r="A20" s="970"/>
      <c r="B20" s="973"/>
      <c r="C20" s="2" t="s">
        <v>36</v>
      </c>
      <c r="D20" s="2" t="s">
        <v>529</v>
      </c>
      <c r="E20" s="2" t="s">
        <v>530</v>
      </c>
      <c r="F20" s="66" t="s">
        <v>532</v>
      </c>
      <c r="G20" s="91" t="s">
        <v>369</v>
      </c>
      <c r="H20" s="110">
        <f>+F36</f>
        <v>3</v>
      </c>
      <c r="I20" s="110" t="s">
        <v>3</v>
      </c>
      <c r="J20" s="118">
        <v>7</v>
      </c>
      <c r="K20" s="116">
        <f>+H20/J20</f>
        <v>0.42857142857142855</v>
      </c>
      <c r="L20" s="55" t="s">
        <v>550</v>
      </c>
      <c r="M20" s="269">
        <f>+K20</f>
        <v>0.42857142857142855</v>
      </c>
      <c r="N20" s="976"/>
      <c r="O20" s="976"/>
      <c r="P20" s="978"/>
      <c r="Q20" s="299" t="s">
        <v>369</v>
      </c>
      <c r="R20" s="322">
        <f>+F43</f>
        <v>4</v>
      </c>
      <c r="S20" s="322" t="s">
        <v>3</v>
      </c>
      <c r="T20" s="338">
        <v>7</v>
      </c>
      <c r="U20" s="116">
        <f>+R20/T20</f>
        <v>0.5714285714285714</v>
      </c>
      <c r="V20" s="55" t="s">
        <v>656</v>
      </c>
      <c r="W20" s="269">
        <f>+U20</f>
        <v>0.5714285714285714</v>
      </c>
      <c r="X20" s="976"/>
      <c r="Y20" s="976"/>
      <c r="Z20" s="979"/>
      <c r="AA20" s="425" t="s">
        <v>369</v>
      </c>
      <c r="AB20" s="474">
        <f>+F50+F57</f>
        <v>7</v>
      </c>
      <c r="AC20" s="474" t="s">
        <v>3</v>
      </c>
      <c r="AD20" s="552">
        <f>7*2</f>
        <v>14</v>
      </c>
      <c r="AE20" s="116">
        <f>+AB20/AD20</f>
        <v>0.5</v>
      </c>
      <c r="AF20" s="66" t="s">
        <v>777</v>
      </c>
      <c r="AG20" s="70">
        <f>+AE20</f>
        <v>0.5</v>
      </c>
      <c r="AH20" s="976"/>
      <c r="AI20" s="976"/>
      <c r="AJ20" s="978"/>
      <c r="AK20" s="735" t="s">
        <v>369</v>
      </c>
      <c r="AL20" s="736">
        <f>+P50+P57</f>
        <v>0</v>
      </c>
      <c r="AM20" s="736" t="s">
        <v>3</v>
      </c>
      <c r="AN20" s="748">
        <v>3</v>
      </c>
      <c r="AO20" s="116">
        <f>+AL20/AN20</f>
        <v>0</v>
      </c>
      <c r="AP20" s="55" t="s">
        <v>831</v>
      </c>
      <c r="AQ20" s="269">
        <f>+AO20</f>
        <v>0</v>
      </c>
      <c r="AR20" s="976"/>
      <c r="AS20" s="976"/>
      <c r="AT20" s="978"/>
    </row>
    <row r="21" spans="1:46" ht="172.8" x14ac:dyDescent="0.3">
      <c r="A21" s="970"/>
      <c r="B21" s="973"/>
      <c r="C21" s="160" t="s">
        <v>341</v>
      </c>
      <c r="D21" s="160" t="s">
        <v>603</v>
      </c>
      <c r="E21" s="157" t="s">
        <v>533</v>
      </c>
      <c r="F21" s="181" t="s">
        <v>342</v>
      </c>
      <c r="G21" s="128" t="s">
        <v>361</v>
      </c>
      <c r="H21" s="255">
        <f>+J3</f>
        <v>110</v>
      </c>
      <c r="I21" s="257" t="s">
        <v>376</v>
      </c>
      <c r="J21" s="258">
        <v>46</v>
      </c>
      <c r="K21" s="272">
        <f>+J21/H21</f>
        <v>0.41818181818181815</v>
      </c>
      <c r="L21" s="265" t="s">
        <v>551</v>
      </c>
      <c r="M21" s="180">
        <v>0</v>
      </c>
      <c r="N21" s="977"/>
      <c r="O21" s="977"/>
      <c r="P21" s="980"/>
      <c r="Q21" s="335" t="s">
        <v>361</v>
      </c>
      <c r="R21" s="344">
        <f>+T3</f>
        <v>400</v>
      </c>
      <c r="S21" s="345" t="s">
        <v>376</v>
      </c>
      <c r="T21" s="346">
        <v>27</v>
      </c>
      <c r="U21" s="378">
        <f>+T21/R21</f>
        <v>6.7500000000000004E-2</v>
      </c>
      <c r="V21" s="265" t="s">
        <v>657</v>
      </c>
      <c r="W21" s="180">
        <f>1-U21</f>
        <v>0.9325</v>
      </c>
      <c r="X21" s="977"/>
      <c r="Y21" s="977"/>
      <c r="Z21" s="1415"/>
      <c r="AA21" s="425" t="s">
        <v>361</v>
      </c>
      <c r="AB21" s="474">
        <f>+C49+C56</f>
        <v>827</v>
      </c>
      <c r="AC21" s="548" t="s">
        <v>376</v>
      </c>
      <c r="AD21" s="552">
        <f>3+5</f>
        <v>8</v>
      </c>
      <c r="AE21" s="603">
        <f>+AD21/AB21</f>
        <v>9.673518742442563E-3</v>
      </c>
      <c r="AF21" s="66" t="s">
        <v>778</v>
      </c>
      <c r="AG21" s="287">
        <f>1-AE21</f>
        <v>0.9903264812575574</v>
      </c>
      <c r="AH21" s="977"/>
      <c r="AI21" s="977"/>
      <c r="AJ21" s="980"/>
      <c r="AK21" s="735" t="s">
        <v>361</v>
      </c>
      <c r="AL21" s="736">
        <f>+C63</f>
        <v>503</v>
      </c>
      <c r="AM21" s="750" t="s">
        <v>376</v>
      </c>
      <c r="AN21" s="748">
        <v>12</v>
      </c>
      <c r="AO21" s="603">
        <f>+AN21/AL21</f>
        <v>2.3856858846918488E-2</v>
      </c>
      <c r="AP21" s="55" t="s">
        <v>832</v>
      </c>
      <c r="AQ21" s="177">
        <f>1-AO21</f>
        <v>0.97614314115308154</v>
      </c>
      <c r="AR21" s="976"/>
      <c r="AS21" s="976"/>
      <c r="AT21" s="978"/>
    </row>
    <row r="22" spans="1:46" x14ac:dyDescent="0.3">
      <c r="A22" s="970"/>
      <c r="B22" s="973"/>
      <c r="C22" s="759" t="s">
        <v>725</v>
      </c>
      <c r="D22" s="530"/>
      <c r="E22" s="53"/>
      <c r="F22" s="531"/>
      <c r="G22" s="532"/>
      <c r="H22" s="533"/>
      <c r="I22" s="534"/>
      <c r="J22" s="535"/>
      <c r="K22" s="545"/>
      <c r="L22" s="537"/>
      <c r="M22" s="538"/>
      <c r="N22" s="539"/>
      <c r="O22" s="539"/>
      <c r="P22" s="540"/>
      <c r="Q22" s="541"/>
      <c r="R22" s="542"/>
      <c r="S22" s="543"/>
      <c r="T22" s="544"/>
      <c r="U22" s="546"/>
      <c r="V22" s="537"/>
      <c r="W22" s="538"/>
      <c r="X22" s="539"/>
      <c r="Y22" s="539"/>
      <c r="Z22" s="547"/>
      <c r="AA22" s="425" t="s">
        <v>726</v>
      </c>
      <c r="AB22" s="474">
        <v>1</v>
      </c>
      <c r="AC22" s="548"/>
      <c r="AD22" s="552"/>
      <c r="AE22" s="635" t="s">
        <v>201</v>
      </c>
      <c r="AF22" s="66" t="s">
        <v>201</v>
      </c>
      <c r="AG22" s="559"/>
      <c r="AH22" s="539"/>
      <c r="AI22" s="539"/>
      <c r="AJ22" s="540"/>
      <c r="AK22" s="735" t="s">
        <v>726</v>
      </c>
      <c r="AL22" s="736">
        <v>0</v>
      </c>
      <c r="AM22" s="750"/>
      <c r="AN22" s="748"/>
      <c r="AO22" s="635" t="s">
        <v>201</v>
      </c>
      <c r="AP22" s="55" t="s">
        <v>201</v>
      </c>
      <c r="AQ22" s="177" t="s">
        <v>201</v>
      </c>
      <c r="AR22" s="976"/>
      <c r="AS22" s="976"/>
      <c r="AT22" s="978"/>
    </row>
    <row r="23" spans="1:46" ht="15" thickBot="1" x14ac:dyDescent="0.35">
      <c r="A23" s="971"/>
      <c r="B23" s="1209"/>
      <c r="C23" s="759" t="s">
        <v>727</v>
      </c>
      <c r="D23" s="530"/>
      <c r="E23" s="53" t="s">
        <v>833</v>
      </c>
      <c r="F23" s="531"/>
      <c r="G23" s="532"/>
      <c r="H23" s="533"/>
      <c r="I23" s="534"/>
      <c r="J23" s="535"/>
      <c r="K23" s="545"/>
      <c r="L23" s="537"/>
      <c r="M23" s="538"/>
      <c r="N23" s="539"/>
      <c r="O23" s="539"/>
      <c r="P23" s="540"/>
      <c r="Q23" s="541"/>
      <c r="R23" s="542"/>
      <c r="S23" s="543"/>
      <c r="T23" s="544"/>
      <c r="U23" s="546"/>
      <c r="V23" s="537"/>
      <c r="W23" s="538"/>
      <c r="X23" s="539"/>
      <c r="Y23" s="539"/>
      <c r="Z23" s="547"/>
      <c r="AA23" s="434" t="s">
        <v>726</v>
      </c>
      <c r="AB23" s="574">
        <v>4</v>
      </c>
      <c r="AC23" s="575"/>
      <c r="AD23" s="580"/>
      <c r="AE23" s="636" t="s">
        <v>201</v>
      </c>
      <c r="AF23" s="549" t="s">
        <v>201</v>
      </c>
      <c r="AG23" s="559"/>
      <c r="AH23" s="539"/>
      <c r="AI23" s="539"/>
      <c r="AJ23" s="540"/>
      <c r="AK23" s="751" t="s">
        <v>726</v>
      </c>
      <c r="AL23" s="752">
        <v>1</v>
      </c>
      <c r="AM23" s="753"/>
      <c r="AN23" s="754"/>
      <c r="AO23" s="766">
        <v>0.5</v>
      </c>
      <c r="AP23" s="64" t="s">
        <v>834</v>
      </c>
      <c r="AQ23" s="363">
        <f>+AO23</f>
        <v>0.5</v>
      </c>
      <c r="AR23" s="1039"/>
      <c r="AS23" s="1039"/>
      <c r="AT23" s="992"/>
    </row>
    <row r="24" spans="1:46" ht="28.8" x14ac:dyDescent="0.3">
      <c r="A24" s="993">
        <v>0.05</v>
      </c>
      <c r="B24" s="259" t="s">
        <v>77</v>
      </c>
      <c r="C24" s="57" t="s">
        <v>78</v>
      </c>
      <c r="D24" s="57" t="s">
        <v>79</v>
      </c>
      <c r="E24" s="174" t="s">
        <v>80</v>
      </c>
      <c r="F24" s="228" t="s">
        <v>343</v>
      </c>
      <c r="G24" s="1428" t="s">
        <v>535</v>
      </c>
      <c r="H24" s="1429"/>
      <c r="I24" s="1429"/>
      <c r="J24" s="1430"/>
      <c r="K24" s="354" t="s">
        <v>201</v>
      </c>
      <c r="L24" s="289" t="s">
        <v>201</v>
      </c>
      <c r="M24" s="271" t="s">
        <v>201</v>
      </c>
      <c r="N24" s="1118">
        <v>0</v>
      </c>
      <c r="O24" s="1118">
        <v>0</v>
      </c>
      <c r="P24" s="1237">
        <f>+N24*O24</f>
        <v>0</v>
      </c>
      <c r="Q24" s="1405" t="s">
        <v>535</v>
      </c>
      <c r="R24" s="1406"/>
      <c r="S24" s="1406"/>
      <c r="T24" s="1407"/>
      <c r="U24" s="273" t="s">
        <v>201</v>
      </c>
      <c r="V24" s="266" t="s">
        <v>201</v>
      </c>
      <c r="W24" s="271" t="s">
        <v>201</v>
      </c>
      <c r="X24" s="1118">
        <v>0.05</v>
      </c>
      <c r="Y24" s="1118">
        <f>+W25</f>
        <v>0.88000000000000012</v>
      </c>
      <c r="Z24" s="1237">
        <f>+X24*Y24</f>
        <v>4.4000000000000011E-2</v>
      </c>
      <c r="AA24" s="1381" t="s">
        <v>535</v>
      </c>
      <c r="AB24" s="1382"/>
      <c r="AC24" s="1382"/>
      <c r="AD24" s="1383"/>
      <c r="AE24" s="634" t="s">
        <v>201</v>
      </c>
      <c r="AF24" s="20" t="s">
        <v>201</v>
      </c>
      <c r="AG24" s="271" t="s">
        <v>201</v>
      </c>
      <c r="AH24" s="1118">
        <v>0.05</v>
      </c>
      <c r="AI24" s="1118">
        <f>+AG25</f>
        <v>0.88000000000000012</v>
      </c>
      <c r="AJ24" s="1237">
        <f>+AH24*AI24</f>
        <v>4.4000000000000011E-2</v>
      </c>
      <c r="AK24" s="1536" t="s">
        <v>535</v>
      </c>
      <c r="AL24" s="1537"/>
      <c r="AM24" s="1537"/>
      <c r="AN24" s="1538"/>
      <c r="AO24" s="634" t="s">
        <v>201</v>
      </c>
      <c r="AP24" s="20" t="s">
        <v>201</v>
      </c>
      <c r="AQ24" s="582" t="s">
        <v>201</v>
      </c>
      <c r="AR24" s="1038">
        <v>0.05</v>
      </c>
      <c r="AS24" s="1038">
        <f>+AQ25</f>
        <v>0.88000000000000012</v>
      </c>
      <c r="AT24" s="991">
        <f>+AR24*AS24</f>
        <v>4.4000000000000011E-2</v>
      </c>
    </row>
    <row r="25" spans="1:46" ht="127.2" customHeight="1" thickBot="1" x14ac:dyDescent="0.35">
      <c r="A25" s="995"/>
      <c r="B25" s="261" t="s">
        <v>77</v>
      </c>
      <c r="C25" s="2" t="s">
        <v>81</v>
      </c>
      <c r="D25" s="2" t="s">
        <v>82</v>
      </c>
      <c r="E25" s="6" t="s">
        <v>83</v>
      </c>
      <c r="F25" s="2" t="s">
        <v>84</v>
      </c>
      <c r="G25" s="1005" t="s">
        <v>535</v>
      </c>
      <c r="H25" s="1006"/>
      <c r="I25" s="1006"/>
      <c r="J25" s="1007"/>
      <c r="K25" s="355" t="s">
        <v>201</v>
      </c>
      <c r="L25" s="288" t="s">
        <v>201</v>
      </c>
      <c r="M25" s="122" t="s">
        <v>201</v>
      </c>
      <c r="N25" s="1039"/>
      <c r="O25" s="1039"/>
      <c r="P25" s="992"/>
      <c r="Q25" s="299" t="s">
        <v>658</v>
      </c>
      <c r="R25" s="1067" t="s">
        <v>659</v>
      </c>
      <c r="S25" s="1106"/>
      <c r="T25" s="1146"/>
      <c r="U25" s="381">
        <v>4.4000000000000004</v>
      </c>
      <c r="V25" s="383" t="s">
        <v>663</v>
      </c>
      <c r="W25" s="363">
        <f>4.4/5</f>
        <v>0.88000000000000012</v>
      </c>
      <c r="X25" s="1039"/>
      <c r="Y25" s="1039"/>
      <c r="Z25" s="992"/>
      <c r="AA25" s="425" t="s">
        <v>658</v>
      </c>
      <c r="AB25" s="1215" t="s">
        <v>659</v>
      </c>
      <c r="AC25" s="1216"/>
      <c r="AD25" s="1217"/>
      <c r="AE25" s="381">
        <v>4.4000000000000004</v>
      </c>
      <c r="AF25" s="383" t="s">
        <v>663</v>
      </c>
      <c r="AG25" s="363">
        <f>4.4/5</f>
        <v>0.88000000000000012</v>
      </c>
      <c r="AH25" s="1039"/>
      <c r="AI25" s="1039"/>
      <c r="AJ25" s="992"/>
      <c r="AK25" s="761" t="s">
        <v>658</v>
      </c>
      <c r="AL25" s="1447" t="s">
        <v>659</v>
      </c>
      <c r="AM25" s="1448"/>
      <c r="AN25" s="1449"/>
      <c r="AO25" s="381">
        <v>4.4000000000000004</v>
      </c>
      <c r="AP25" s="383" t="s">
        <v>663</v>
      </c>
      <c r="AQ25" s="363">
        <f>4.4/5</f>
        <v>0.88000000000000012</v>
      </c>
      <c r="AR25" s="1039"/>
      <c r="AS25" s="1039"/>
      <c r="AT25" s="992"/>
    </row>
    <row r="26" spans="1:46" ht="28.8" customHeight="1" x14ac:dyDescent="0.3">
      <c r="A26" s="993">
        <v>0.25</v>
      </c>
      <c r="B26" s="996" t="s">
        <v>126</v>
      </c>
      <c r="C26" s="999" t="s">
        <v>40</v>
      </c>
      <c r="D26" s="1023" t="s">
        <v>539</v>
      </c>
      <c r="E26" s="1023" t="s">
        <v>488</v>
      </c>
      <c r="F26" s="1025" t="s">
        <v>536</v>
      </c>
      <c r="G26" s="224" t="s">
        <v>175</v>
      </c>
      <c r="H26" s="225" t="s">
        <v>388</v>
      </c>
      <c r="I26" s="225" t="s">
        <v>389</v>
      </c>
      <c r="J26" s="256"/>
      <c r="K26" s="1384">
        <f>+L44</f>
        <v>0.52380952380952384</v>
      </c>
      <c r="L26" s="1333" t="s">
        <v>552</v>
      </c>
      <c r="M26" s="1011">
        <f>+K26</f>
        <v>0.52380952380952384</v>
      </c>
      <c r="N26" s="1038">
        <v>0.4</v>
      </c>
      <c r="O26" s="1038">
        <f>+M26</f>
        <v>0.52380952380952384</v>
      </c>
      <c r="P26" s="991">
        <f>+N26*O26</f>
        <v>0.20952380952380956</v>
      </c>
      <c r="Q26" s="385" t="s">
        <v>172</v>
      </c>
      <c r="R26" s="386" t="s">
        <v>666</v>
      </c>
      <c r="S26" s="386" t="s">
        <v>672</v>
      </c>
      <c r="T26" s="387">
        <v>1</v>
      </c>
      <c r="U26" s="1527">
        <v>0.83050000000000002</v>
      </c>
      <c r="V26" s="1333" t="s">
        <v>684</v>
      </c>
      <c r="W26" s="1011">
        <f>+U26</f>
        <v>0.83050000000000002</v>
      </c>
      <c r="X26" s="1038">
        <v>0.25</v>
      </c>
      <c r="Y26" s="1038">
        <f>+W26</f>
        <v>0.83050000000000002</v>
      </c>
      <c r="Z26" s="991">
        <f>+X26*Y26</f>
        <v>0.207625</v>
      </c>
      <c r="AA26" s="450" t="s">
        <v>172</v>
      </c>
      <c r="AB26" s="555" t="s">
        <v>780</v>
      </c>
      <c r="AC26" s="555" t="s">
        <v>672</v>
      </c>
      <c r="AD26" s="556">
        <v>1</v>
      </c>
      <c r="AE26" s="1527">
        <v>0</v>
      </c>
      <c r="AF26" s="1333" t="s">
        <v>782</v>
      </c>
      <c r="AG26" s="1011">
        <f>+AE26</f>
        <v>0</v>
      </c>
      <c r="AH26" s="1038">
        <v>0.25</v>
      </c>
      <c r="AI26" s="1038">
        <f>+AG26</f>
        <v>0</v>
      </c>
      <c r="AJ26" s="1337">
        <f>+AH26*AI26</f>
        <v>0</v>
      </c>
      <c r="AK26" s="765" t="s">
        <v>172</v>
      </c>
      <c r="AL26" s="762" t="s">
        <v>780</v>
      </c>
      <c r="AM26" s="762" t="s">
        <v>672</v>
      </c>
      <c r="AN26" s="763">
        <v>1</v>
      </c>
      <c r="AO26" s="1527">
        <f>(AN26+AN27+AN29+AN30)/4</f>
        <v>0.62063008130081299</v>
      </c>
      <c r="AP26" s="1333" t="s">
        <v>782</v>
      </c>
      <c r="AQ26" s="1011">
        <f>+AO26</f>
        <v>0.62063008130081299</v>
      </c>
      <c r="AR26" s="1038">
        <v>0.25</v>
      </c>
      <c r="AS26" s="1038">
        <f>+AQ26</f>
        <v>0.62063008130081299</v>
      </c>
      <c r="AT26" s="991">
        <f>+AR26*AS26</f>
        <v>0.15515752032520325</v>
      </c>
    </row>
    <row r="27" spans="1:46" ht="28.8" customHeight="1" x14ac:dyDescent="0.3">
      <c r="A27" s="994"/>
      <c r="B27" s="997"/>
      <c r="C27" s="1000"/>
      <c r="D27" s="986"/>
      <c r="E27" s="986"/>
      <c r="F27" s="987"/>
      <c r="G27" s="226" t="s">
        <v>390</v>
      </c>
      <c r="H27" s="214" t="s">
        <v>391</v>
      </c>
      <c r="I27" s="214" t="s">
        <v>392</v>
      </c>
      <c r="J27" s="253"/>
      <c r="K27" s="1385"/>
      <c r="L27" s="1193"/>
      <c r="M27" s="1012"/>
      <c r="N27" s="976"/>
      <c r="O27" s="976"/>
      <c r="P27" s="978"/>
      <c r="Q27" s="385" t="s">
        <v>175</v>
      </c>
      <c r="R27" s="386" t="s">
        <v>479</v>
      </c>
      <c r="S27" s="386" t="s">
        <v>674</v>
      </c>
      <c r="T27" s="387">
        <v>0.64864864864864868</v>
      </c>
      <c r="U27" s="1528"/>
      <c r="V27" s="1193"/>
      <c r="W27" s="1012"/>
      <c r="X27" s="976"/>
      <c r="Y27" s="976"/>
      <c r="Z27" s="978"/>
      <c r="AA27" s="450" t="s">
        <v>175</v>
      </c>
      <c r="AB27" s="555" t="s">
        <v>781</v>
      </c>
      <c r="AC27" s="555" t="s">
        <v>674</v>
      </c>
      <c r="AD27" s="556">
        <v>0.36585365853658536</v>
      </c>
      <c r="AE27" s="1528"/>
      <c r="AF27" s="1193"/>
      <c r="AG27" s="1012"/>
      <c r="AH27" s="976"/>
      <c r="AI27" s="976"/>
      <c r="AJ27" s="979"/>
      <c r="AK27" s="755" t="s">
        <v>175</v>
      </c>
      <c r="AL27" s="756" t="s">
        <v>781</v>
      </c>
      <c r="AM27" s="756" t="s">
        <v>674</v>
      </c>
      <c r="AN27" s="757">
        <v>0.36585365853658502</v>
      </c>
      <c r="AO27" s="1528"/>
      <c r="AP27" s="1193"/>
      <c r="AQ27" s="1012"/>
      <c r="AR27" s="976"/>
      <c r="AS27" s="976"/>
      <c r="AT27" s="978"/>
    </row>
    <row r="28" spans="1:46" ht="28.8" customHeight="1" x14ac:dyDescent="0.3">
      <c r="A28" s="994"/>
      <c r="B28" s="997"/>
      <c r="C28" s="1000"/>
      <c r="D28" s="986"/>
      <c r="E28" s="986"/>
      <c r="F28" s="987"/>
      <c r="G28" s="226" t="s">
        <v>178</v>
      </c>
      <c r="H28" s="214" t="s">
        <v>383</v>
      </c>
      <c r="I28" s="214" t="s">
        <v>384</v>
      </c>
      <c r="J28" s="253"/>
      <c r="K28" s="1385"/>
      <c r="L28" s="1193"/>
      <c r="M28" s="1012"/>
      <c r="N28" s="976"/>
      <c r="O28" s="976"/>
      <c r="P28" s="978"/>
      <c r="Q28" s="388" t="s">
        <v>178</v>
      </c>
      <c r="R28" s="389" t="s">
        <v>670</v>
      </c>
      <c r="S28" s="389" t="s">
        <v>677</v>
      </c>
      <c r="T28" s="387">
        <v>0.8</v>
      </c>
      <c r="U28" s="1528"/>
      <c r="V28" s="1193"/>
      <c r="W28" s="1012"/>
      <c r="X28" s="976"/>
      <c r="Y28" s="976"/>
      <c r="Z28" s="978"/>
      <c r="AA28" s="557" t="s">
        <v>178</v>
      </c>
      <c r="AB28" s="558" t="s">
        <v>768</v>
      </c>
      <c r="AC28" s="558" t="s">
        <v>769</v>
      </c>
      <c r="AD28" s="556">
        <v>0.91666666666666663</v>
      </c>
      <c r="AE28" s="1528"/>
      <c r="AF28" s="1193"/>
      <c r="AG28" s="1012"/>
      <c r="AH28" s="976"/>
      <c r="AI28" s="976"/>
      <c r="AJ28" s="979"/>
      <c r="AK28" s="760" t="s">
        <v>812</v>
      </c>
      <c r="AL28" s="739">
        <v>1</v>
      </c>
      <c r="AM28" s="764"/>
      <c r="AN28" s="757"/>
      <c r="AO28" s="1528"/>
      <c r="AP28" s="1193"/>
      <c r="AQ28" s="1012"/>
      <c r="AR28" s="976"/>
      <c r="AS28" s="976"/>
      <c r="AT28" s="978"/>
    </row>
    <row r="29" spans="1:46" ht="28.8" customHeight="1" x14ac:dyDescent="0.3">
      <c r="A29" s="994"/>
      <c r="B29" s="997"/>
      <c r="C29" s="1000"/>
      <c r="D29" s="986"/>
      <c r="E29" s="986"/>
      <c r="F29" s="987"/>
      <c r="G29" s="263" t="s">
        <v>377</v>
      </c>
      <c r="H29" s="227" t="s">
        <v>385</v>
      </c>
      <c r="I29" s="214"/>
      <c r="J29" s="253"/>
      <c r="K29" s="1385"/>
      <c r="L29" s="1193"/>
      <c r="M29" s="1012"/>
      <c r="N29" s="976"/>
      <c r="O29" s="976"/>
      <c r="P29" s="978"/>
      <c r="Q29" s="347" t="s">
        <v>377</v>
      </c>
      <c r="R29" s="321">
        <v>6</v>
      </c>
      <c r="S29" s="1372" t="s">
        <v>608</v>
      </c>
      <c r="T29" s="1373"/>
      <c r="U29" s="1528"/>
      <c r="V29" s="1193"/>
      <c r="W29" s="1012"/>
      <c r="X29" s="976"/>
      <c r="Y29" s="976"/>
      <c r="Z29" s="978"/>
      <c r="AA29" s="589" t="s">
        <v>377</v>
      </c>
      <c r="AB29" s="473">
        <v>6</v>
      </c>
      <c r="AC29" s="1391" t="s">
        <v>608</v>
      </c>
      <c r="AD29" s="1392"/>
      <c r="AE29" s="1528"/>
      <c r="AF29" s="1193"/>
      <c r="AG29" s="1012"/>
      <c r="AH29" s="976"/>
      <c r="AI29" s="976"/>
      <c r="AJ29" s="979"/>
      <c r="AK29" s="760" t="s">
        <v>820</v>
      </c>
      <c r="AL29" s="764" t="s">
        <v>821</v>
      </c>
      <c r="AM29" s="764" t="s">
        <v>822</v>
      </c>
      <c r="AN29" s="757">
        <v>0.91666666666666663</v>
      </c>
      <c r="AO29" s="1528"/>
      <c r="AP29" s="1193"/>
      <c r="AQ29" s="1012"/>
      <c r="AR29" s="976"/>
      <c r="AS29" s="976"/>
      <c r="AT29" s="978"/>
    </row>
    <row r="30" spans="1:46" ht="28.8" customHeight="1" x14ac:dyDescent="0.3">
      <c r="A30" s="994"/>
      <c r="B30" s="997"/>
      <c r="C30" s="1000"/>
      <c r="D30" s="986"/>
      <c r="E30" s="986"/>
      <c r="F30" s="987"/>
      <c r="G30" s="263" t="s">
        <v>378</v>
      </c>
      <c r="H30" s="227" t="s">
        <v>385</v>
      </c>
      <c r="I30" s="214"/>
      <c r="J30" s="253"/>
      <c r="K30" s="1385"/>
      <c r="L30" s="1193"/>
      <c r="M30" s="1012"/>
      <c r="N30" s="976"/>
      <c r="O30" s="976"/>
      <c r="P30" s="978"/>
      <c r="Q30" s="1370" t="s">
        <v>378</v>
      </c>
      <c r="R30" s="321">
        <v>6</v>
      </c>
      <c r="S30" s="1374" t="s">
        <v>609</v>
      </c>
      <c r="T30" s="1376"/>
      <c r="U30" s="1528"/>
      <c r="V30" s="1193"/>
      <c r="W30" s="1012"/>
      <c r="X30" s="976"/>
      <c r="Y30" s="976"/>
      <c r="Z30" s="978"/>
      <c r="AA30" s="1389" t="s">
        <v>378</v>
      </c>
      <c r="AB30" s="473">
        <v>6</v>
      </c>
      <c r="AC30" s="1387" t="s">
        <v>609</v>
      </c>
      <c r="AD30" s="1388"/>
      <c r="AE30" s="1528"/>
      <c r="AF30" s="1193"/>
      <c r="AG30" s="1012"/>
      <c r="AH30" s="976"/>
      <c r="AI30" s="976"/>
      <c r="AJ30" s="979"/>
      <c r="AK30" s="1532" t="s">
        <v>378</v>
      </c>
      <c r="AL30" s="739">
        <v>20</v>
      </c>
      <c r="AM30" s="750" t="s">
        <v>823</v>
      </c>
      <c r="AN30" s="767">
        <f>4/20</f>
        <v>0.2</v>
      </c>
      <c r="AO30" s="1528"/>
      <c r="AP30" s="1193"/>
      <c r="AQ30" s="1012"/>
      <c r="AR30" s="976"/>
      <c r="AS30" s="976"/>
      <c r="AT30" s="978"/>
    </row>
    <row r="31" spans="1:46" ht="28.8" customHeight="1" x14ac:dyDescent="0.3">
      <c r="A31" s="994"/>
      <c r="B31" s="997"/>
      <c r="C31" s="1000"/>
      <c r="D31" s="986"/>
      <c r="E31" s="986"/>
      <c r="F31" s="987"/>
      <c r="G31" s="263" t="s">
        <v>540</v>
      </c>
      <c r="H31" s="227" t="s">
        <v>385</v>
      </c>
      <c r="I31" s="214"/>
      <c r="J31" s="253"/>
      <c r="K31" s="1385"/>
      <c r="L31" s="1193"/>
      <c r="M31" s="1012"/>
      <c r="N31" s="976"/>
      <c r="O31" s="976"/>
      <c r="P31" s="978"/>
      <c r="Q31" s="1371"/>
      <c r="R31" s="321">
        <f>+R30</f>
        <v>6</v>
      </c>
      <c r="S31" s="1372" t="s">
        <v>606</v>
      </c>
      <c r="T31" s="1373"/>
      <c r="U31" s="1528"/>
      <c r="V31" s="1193"/>
      <c r="W31" s="1012"/>
      <c r="X31" s="976"/>
      <c r="Y31" s="976"/>
      <c r="Z31" s="978"/>
      <c r="AA31" s="1390"/>
      <c r="AB31" s="473">
        <f>+AB30</f>
        <v>6</v>
      </c>
      <c r="AC31" s="1391" t="s">
        <v>606</v>
      </c>
      <c r="AD31" s="1392"/>
      <c r="AE31" s="1528"/>
      <c r="AF31" s="1193"/>
      <c r="AG31" s="1012"/>
      <c r="AH31" s="976"/>
      <c r="AI31" s="976"/>
      <c r="AJ31" s="979"/>
      <c r="AK31" s="1532"/>
      <c r="AL31" s="739"/>
      <c r="AM31" s="1442"/>
      <c r="AN31" s="1533"/>
      <c r="AO31" s="1528"/>
      <c r="AP31" s="1193"/>
      <c r="AQ31" s="1012"/>
      <c r="AR31" s="976"/>
      <c r="AS31" s="976"/>
      <c r="AT31" s="978"/>
    </row>
    <row r="32" spans="1:46" ht="28.8" customHeight="1" thickBot="1" x14ac:dyDescent="0.35">
      <c r="A32" s="995"/>
      <c r="B32" s="998"/>
      <c r="C32" s="1001"/>
      <c r="D32" s="1024"/>
      <c r="E32" s="1024"/>
      <c r="F32" s="1026"/>
      <c r="G32" s="264" t="s">
        <v>379</v>
      </c>
      <c r="H32" s="247" t="s">
        <v>385</v>
      </c>
      <c r="I32" s="248"/>
      <c r="J32" s="254"/>
      <c r="K32" s="1386"/>
      <c r="L32" s="1211"/>
      <c r="M32" s="1013"/>
      <c r="N32" s="1039"/>
      <c r="O32" s="1039"/>
      <c r="P32" s="992"/>
      <c r="Q32" s="348" t="s">
        <v>540</v>
      </c>
      <c r="R32" s="1403" t="s">
        <v>610</v>
      </c>
      <c r="S32" s="1497"/>
      <c r="T32" s="1404"/>
      <c r="U32" s="1529"/>
      <c r="V32" s="1211"/>
      <c r="W32" s="1013"/>
      <c r="X32" s="1039"/>
      <c r="Y32" s="1039"/>
      <c r="Z32" s="992"/>
      <c r="AA32" s="590" t="s">
        <v>540</v>
      </c>
      <c r="AB32" s="1394" t="s">
        <v>610</v>
      </c>
      <c r="AC32" s="1478"/>
      <c r="AD32" s="1395"/>
      <c r="AE32" s="1529"/>
      <c r="AF32" s="1211"/>
      <c r="AG32" s="1013"/>
      <c r="AH32" s="1039"/>
      <c r="AI32" s="1039"/>
      <c r="AJ32" s="1223"/>
      <c r="AK32" s="758" t="s">
        <v>540</v>
      </c>
      <c r="AL32" s="1534" t="s">
        <v>610</v>
      </c>
      <c r="AM32" s="1534"/>
      <c r="AN32" s="1535"/>
      <c r="AO32" s="1529"/>
      <c r="AP32" s="1211"/>
      <c r="AQ32" s="1013"/>
      <c r="AR32" s="1039"/>
      <c r="AS32" s="1039"/>
      <c r="AT32" s="992"/>
    </row>
    <row r="33" spans="1:46" x14ac:dyDescent="0.3">
      <c r="A33" s="169"/>
      <c r="B33" s="170"/>
      <c r="C33" s="168"/>
      <c r="D33" s="168"/>
      <c r="E33" s="54"/>
      <c r="F33" s="168"/>
      <c r="P33" s="285">
        <f>SUM(P3:P32)</f>
        <v>0.57269841269841271</v>
      </c>
      <c r="Z33" s="393">
        <f>SUM(Z3:Z32)</f>
        <v>0.87961574074074056</v>
      </c>
      <c r="AJ33" s="591">
        <f>SUM(AJ3:AJ32)</f>
        <v>0.50658146872535892</v>
      </c>
      <c r="AT33" s="591">
        <f>SUM(AT3:AT32)</f>
        <v>0.51223442077632897</v>
      </c>
    </row>
    <row r="34" spans="1:46" x14ac:dyDescent="0.3">
      <c r="A34" s="1027" t="s">
        <v>312</v>
      </c>
      <c r="B34" s="165" t="s">
        <v>344</v>
      </c>
      <c r="C34" s="165" t="s">
        <v>345</v>
      </c>
      <c r="D34" s="166" t="s">
        <v>346</v>
      </c>
      <c r="E34" s="165" t="s">
        <v>347</v>
      </c>
      <c r="F34" s="166">
        <v>6</v>
      </c>
    </row>
    <row r="35" spans="1:46" x14ac:dyDescent="0.3">
      <c r="A35" s="1027"/>
      <c r="B35" s="167">
        <v>165</v>
      </c>
      <c r="C35" s="167">
        <v>296</v>
      </c>
      <c r="D35" s="167">
        <v>0</v>
      </c>
      <c r="E35" s="166" t="s">
        <v>363</v>
      </c>
      <c r="F35" s="166">
        <v>30</v>
      </c>
      <c r="Q35" s="166">
        <v>6</v>
      </c>
      <c r="AA35" s="166">
        <v>6</v>
      </c>
      <c r="AK35" s="166">
        <v>6</v>
      </c>
    </row>
    <row r="36" spans="1:46" x14ac:dyDescent="0.3">
      <c r="A36" s="1027"/>
      <c r="B36" s="165" t="s">
        <v>387</v>
      </c>
      <c r="D36" s="4"/>
      <c r="E36" s="166" t="s">
        <v>364</v>
      </c>
      <c r="F36" s="166">
        <v>3</v>
      </c>
      <c r="Q36" s="166">
        <v>30</v>
      </c>
      <c r="AA36" s="166">
        <v>30</v>
      </c>
      <c r="AK36" s="166">
        <v>30</v>
      </c>
    </row>
    <row r="37" spans="1:46" x14ac:dyDescent="0.3">
      <c r="A37" s="1027"/>
      <c r="B37" s="167">
        <v>55</v>
      </c>
      <c r="D37" s="4"/>
      <c r="E37"/>
      <c r="Q37" s="166">
        <v>3</v>
      </c>
      <c r="AA37" s="166">
        <v>3</v>
      </c>
      <c r="AK37" s="166">
        <v>3</v>
      </c>
    </row>
    <row r="38" spans="1:46" x14ac:dyDescent="0.3">
      <c r="A38" s="1027"/>
      <c r="B38" s="165" t="s">
        <v>386</v>
      </c>
      <c r="D38" s="4"/>
      <c r="E38"/>
    </row>
    <row r="39" spans="1:46" x14ac:dyDescent="0.3">
      <c r="A39" s="1027"/>
      <c r="B39" s="171">
        <f>+B35-B37</f>
        <v>110</v>
      </c>
      <c r="D39" s="4"/>
      <c r="E39"/>
    </row>
    <row r="40" spans="1:46" x14ac:dyDescent="0.3">
      <c r="D40" s="4"/>
      <c r="E40"/>
    </row>
    <row r="41" spans="1:46" x14ac:dyDescent="0.3">
      <c r="A41" s="1027" t="s">
        <v>591</v>
      </c>
      <c r="B41" s="165" t="s">
        <v>344</v>
      </c>
      <c r="C41" s="165" t="s">
        <v>345</v>
      </c>
      <c r="D41" s="166" t="s">
        <v>346</v>
      </c>
      <c r="E41" s="166" t="s">
        <v>363</v>
      </c>
      <c r="F41" s="166">
        <v>18</v>
      </c>
    </row>
    <row r="42" spans="1:46" x14ac:dyDescent="0.3">
      <c r="A42" s="1027"/>
      <c r="B42" s="167">
        <v>400</v>
      </c>
      <c r="C42" s="167"/>
      <c r="D42" s="167">
        <v>0</v>
      </c>
      <c r="E42" s="165" t="s">
        <v>347</v>
      </c>
      <c r="F42" s="166">
        <v>8</v>
      </c>
      <c r="I42">
        <v>0</v>
      </c>
      <c r="J42">
        <v>7</v>
      </c>
      <c r="K42">
        <v>15</v>
      </c>
      <c r="L42">
        <f>+I42+J42+K42</f>
        <v>22</v>
      </c>
      <c r="S42">
        <v>0</v>
      </c>
      <c r="T42">
        <v>7</v>
      </c>
      <c r="U42">
        <v>15</v>
      </c>
      <c r="V42">
        <f>+S42+T42+U42</f>
        <v>22</v>
      </c>
      <c r="AC42">
        <v>0</v>
      </c>
      <c r="AD42">
        <v>7</v>
      </c>
      <c r="AE42">
        <v>15</v>
      </c>
      <c r="AF42">
        <f>+AC42+AD42+AE42</f>
        <v>22</v>
      </c>
    </row>
    <row r="43" spans="1:46" x14ac:dyDescent="0.3">
      <c r="A43" s="1027"/>
      <c r="B43" s="165" t="s">
        <v>387</v>
      </c>
      <c r="D43" s="4"/>
      <c r="E43" s="166" t="s">
        <v>364</v>
      </c>
      <c r="F43" s="166">
        <v>4</v>
      </c>
      <c r="I43">
        <v>26</v>
      </c>
      <c r="J43">
        <v>0</v>
      </c>
      <c r="K43">
        <v>16</v>
      </c>
      <c r="L43">
        <f>+I43+J43+K43</f>
        <v>42</v>
      </c>
      <c r="S43">
        <v>26</v>
      </c>
      <c r="T43">
        <v>0</v>
      </c>
      <c r="U43">
        <v>16</v>
      </c>
      <c r="V43">
        <f>+S43+T43+U43</f>
        <v>42</v>
      </c>
      <c r="AC43">
        <v>26</v>
      </c>
      <c r="AD43">
        <v>0</v>
      </c>
      <c r="AE43">
        <v>16</v>
      </c>
      <c r="AF43">
        <f>+AC43+AD43+AE43</f>
        <v>42</v>
      </c>
    </row>
    <row r="44" spans="1:46" x14ac:dyDescent="0.3">
      <c r="A44" s="1027"/>
      <c r="B44" s="167">
        <v>0</v>
      </c>
      <c r="D44" s="4"/>
      <c r="E44"/>
      <c r="L44">
        <f>+L42/L43</f>
        <v>0.52380952380952384</v>
      </c>
      <c r="V44">
        <f>+V42/V43</f>
        <v>0.52380952380952384</v>
      </c>
      <c r="AF44">
        <f>+AF42/AF43</f>
        <v>0.52380952380952384</v>
      </c>
    </row>
    <row r="45" spans="1:46" x14ac:dyDescent="0.3">
      <c r="A45" s="1027"/>
      <c r="B45" s="165" t="s">
        <v>386</v>
      </c>
      <c r="D45" s="4"/>
      <c r="E45"/>
    </row>
    <row r="46" spans="1:46" x14ac:dyDescent="0.3">
      <c r="A46" s="1027"/>
      <c r="B46" s="171">
        <f>+B42-B44</f>
        <v>400</v>
      </c>
      <c r="D46" s="4"/>
      <c r="E46"/>
    </row>
    <row r="48" spans="1:46" x14ac:dyDescent="0.3">
      <c r="A48" s="1027" t="s">
        <v>692</v>
      </c>
      <c r="B48" s="165" t="s">
        <v>344</v>
      </c>
      <c r="C48" s="165" t="s">
        <v>345</v>
      </c>
      <c r="D48" s="166" t="s">
        <v>346</v>
      </c>
      <c r="E48" s="166" t="s">
        <v>363</v>
      </c>
      <c r="F48" s="166">
        <v>8</v>
      </c>
    </row>
    <row r="49" spans="1:6" x14ac:dyDescent="0.3">
      <c r="A49" s="1027"/>
      <c r="B49" s="167">
        <v>106</v>
      </c>
      <c r="C49" s="167">
        <v>511</v>
      </c>
      <c r="D49" s="167">
        <v>0</v>
      </c>
      <c r="E49" s="165" t="s">
        <v>347</v>
      </c>
      <c r="F49" s="166">
        <v>5</v>
      </c>
    </row>
    <row r="50" spans="1:6" x14ac:dyDescent="0.3">
      <c r="A50" s="1027"/>
      <c r="B50" s="165" t="s">
        <v>387</v>
      </c>
      <c r="D50" s="4"/>
      <c r="E50" s="166" t="s">
        <v>364</v>
      </c>
      <c r="F50" s="166">
        <v>5</v>
      </c>
    </row>
    <row r="51" spans="1:6" x14ac:dyDescent="0.3">
      <c r="A51" s="1027"/>
      <c r="B51" s="167">
        <v>37</v>
      </c>
      <c r="D51" s="4"/>
      <c r="E51"/>
    </row>
    <row r="52" spans="1:6" x14ac:dyDescent="0.3">
      <c r="A52" s="1027"/>
      <c r="B52" s="165" t="s">
        <v>386</v>
      </c>
      <c r="D52" s="4"/>
      <c r="E52"/>
    </row>
    <row r="53" spans="1:6" x14ac:dyDescent="0.3">
      <c r="A53" s="1027"/>
      <c r="B53" s="171">
        <f>+B49-B51</f>
        <v>69</v>
      </c>
      <c r="D53" s="4"/>
      <c r="E53"/>
    </row>
    <row r="55" spans="1:6" x14ac:dyDescent="0.3">
      <c r="A55" s="1027" t="s">
        <v>693</v>
      </c>
      <c r="B55" s="165" t="s">
        <v>344</v>
      </c>
      <c r="C55" s="165" t="s">
        <v>345</v>
      </c>
      <c r="D55" s="166" t="s">
        <v>346</v>
      </c>
      <c r="E55" s="166" t="s">
        <v>363</v>
      </c>
      <c r="F55" s="166">
        <v>0</v>
      </c>
    </row>
    <row r="56" spans="1:6" x14ac:dyDescent="0.3">
      <c r="A56" s="1027"/>
      <c r="B56" s="167">
        <v>26</v>
      </c>
      <c r="C56" s="167">
        <v>316</v>
      </c>
      <c r="D56" s="167">
        <v>0</v>
      </c>
      <c r="E56" s="165" t="s">
        <v>347</v>
      </c>
      <c r="F56" s="166">
        <v>2</v>
      </c>
    </row>
    <row r="57" spans="1:6" x14ac:dyDescent="0.3">
      <c r="A57" s="1027"/>
      <c r="B57" s="165" t="s">
        <v>387</v>
      </c>
      <c r="D57" s="4"/>
      <c r="E57" s="166" t="s">
        <v>364</v>
      </c>
      <c r="F57" s="166">
        <v>2</v>
      </c>
    </row>
    <row r="58" spans="1:6" x14ac:dyDescent="0.3">
      <c r="A58" s="1027"/>
      <c r="B58" s="167">
        <v>6</v>
      </c>
      <c r="D58" s="4"/>
      <c r="E58"/>
    </row>
    <row r="59" spans="1:6" x14ac:dyDescent="0.3">
      <c r="A59" s="1027"/>
      <c r="B59" s="165" t="s">
        <v>386</v>
      </c>
      <c r="D59" s="4"/>
      <c r="E59"/>
    </row>
    <row r="60" spans="1:6" x14ac:dyDescent="0.3">
      <c r="A60" s="1027"/>
      <c r="B60" s="171">
        <f>+B56-B58</f>
        <v>20</v>
      </c>
      <c r="D60" s="4"/>
      <c r="E60"/>
    </row>
    <row r="62" spans="1:6" x14ac:dyDescent="0.3">
      <c r="A62" s="1027" t="s">
        <v>808</v>
      </c>
      <c r="B62" s="165" t="s">
        <v>344</v>
      </c>
      <c r="C62" s="165" t="s">
        <v>345</v>
      </c>
      <c r="D62" s="166" t="s">
        <v>346</v>
      </c>
      <c r="E62" s="166" t="s">
        <v>363</v>
      </c>
      <c r="F62" s="166">
        <v>35</v>
      </c>
    </row>
    <row r="63" spans="1:6" x14ac:dyDescent="0.3">
      <c r="A63" s="1027"/>
      <c r="B63" s="167">
        <v>105</v>
      </c>
      <c r="C63" s="167">
        <v>503</v>
      </c>
      <c r="D63" s="167">
        <v>0</v>
      </c>
      <c r="E63" s="165" t="s">
        <v>347</v>
      </c>
      <c r="F63" s="166">
        <v>49</v>
      </c>
    </row>
    <row r="64" spans="1:6" x14ac:dyDescent="0.3">
      <c r="A64" s="1027"/>
      <c r="B64" s="165" t="s">
        <v>387</v>
      </c>
      <c r="D64" s="4"/>
      <c r="E64" s="166" t="s">
        <v>364</v>
      </c>
      <c r="F64" s="166">
        <v>0</v>
      </c>
    </row>
    <row r="65" spans="1:5" x14ac:dyDescent="0.3">
      <c r="A65" s="1027"/>
      <c r="B65" s="167">
        <v>3</v>
      </c>
      <c r="D65" s="4"/>
      <c r="E65"/>
    </row>
    <row r="66" spans="1:5" x14ac:dyDescent="0.3">
      <c r="A66" s="1027"/>
      <c r="B66" s="165" t="s">
        <v>386</v>
      </c>
      <c r="D66" s="4"/>
      <c r="E66"/>
    </row>
    <row r="67" spans="1:5" x14ac:dyDescent="0.3">
      <c r="A67" s="1027"/>
      <c r="B67" s="171">
        <f>+B63-B65</f>
        <v>102</v>
      </c>
      <c r="D67" s="4"/>
      <c r="E67"/>
    </row>
  </sheetData>
  <mergeCells count="205">
    <mergeCell ref="AK30:AK31"/>
    <mergeCell ref="AM31:AN31"/>
    <mergeCell ref="AL32:AN32"/>
    <mergeCell ref="AR3:AR23"/>
    <mergeCell ref="AS3:AS23"/>
    <mergeCell ref="AT3:AT23"/>
    <mergeCell ref="AT24:AT25"/>
    <mergeCell ref="AL25:AN25"/>
    <mergeCell ref="AO26:AO32"/>
    <mergeCell ref="AP26:AP32"/>
    <mergeCell ref="AQ26:AQ32"/>
    <mergeCell ref="AR26:AR32"/>
    <mergeCell ref="AS26:AS32"/>
    <mergeCell ref="AT26:AT32"/>
    <mergeCell ref="AO8:AO9"/>
    <mergeCell ref="AP8:AP9"/>
    <mergeCell ref="AQ8:AQ9"/>
    <mergeCell ref="AO12:AO19"/>
    <mergeCell ref="AP12:AP19"/>
    <mergeCell ref="AQ12:AQ19"/>
    <mergeCell ref="AK24:AN24"/>
    <mergeCell ref="AR24:AR25"/>
    <mergeCell ref="AS24:AS25"/>
    <mergeCell ref="AK6:AK7"/>
    <mergeCell ref="AK1:AT1"/>
    <mergeCell ref="AK2:AN2"/>
    <mergeCell ref="AO2:AP2"/>
    <mergeCell ref="AK4:AK5"/>
    <mergeCell ref="AL4:AL5"/>
    <mergeCell ref="AM4:AM5"/>
    <mergeCell ref="AN4:AN5"/>
    <mergeCell ref="AO4:AO5"/>
    <mergeCell ref="AP4:AP5"/>
    <mergeCell ref="AQ4:AQ5"/>
    <mergeCell ref="AL6:AL7"/>
    <mergeCell ref="AM6:AM7"/>
    <mergeCell ref="AN6:AN7"/>
    <mergeCell ref="AO6:AO7"/>
    <mergeCell ref="AP6:AP7"/>
    <mergeCell ref="AQ6:AQ7"/>
    <mergeCell ref="AK8:AK9"/>
    <mergeCell ref="AL8:AL9"/>
    <mergeCell ref="AM8:AM9"/>
    <mergeCell ref="AN8:AN9"/>
    <mergeCell ref="A1:F1"/>
    <mergeCell ref="G1:P1"/>
    <mergeCell ref="G2:J2"/>
    <mergeCell ref="K2:L2"/>
    <mergeCell ref="N3:N21"/>
    <mergeCell ref="O3:O21"/>
    <mergeCell ref="P3:P21"/>
    <mergeCell ref="D4:D5"/>
    <mergeCell ref="K4:K5"/>
    <mergeCell ref="L4:L5"/>
    <mergeCell ref="M4:M5"/>
    <mergeCell ref="D6:D7"/>
    <mergeCell ref="E6:E7"/>
    <mergeCell ref="F6:F7"/>
    <mergeCell ref="K6:K7"/>
    <mergeCell ref="L6:L7"/>
    <mergeCell ref="L8:L9"/>
    <mergeCell ref="M6:M7"/>
    <mergeCell ref="G6:G7"/>
    <mergeCell ref="H6:H7"/>
    <mergeCell ref="I6:I7"/>
    <mergeCell ref="J6:J7"/>
    <mergeCell ref="L12:L19"/>
    <mergeCell ref="M12:M19"/>
    <mergeCell ref="A24:A25"/>
    <mergeCell ref="G24:J24"/>
    <mergeCell ref="D8:D9"/>
    <mergeCell ref="M8:M9"/>
    <mergeCell ref="C12:C19"/>
    <mergeCell ref="D12:D19"/>
    <mergeCell ref="E12:E19"/>
    <mergeCell ref="F12:F19"/>
    <mergeCell ref="K12:K19"/>
    <mergeCell ref="B3:B23"/>
    <mergeCell ref="A3:A23"/>
    <mergeCell ref="E8:E9"/>
    <mergeCell ref="F8:F9"/>
    <mergeCell ref="G8:G9"/>
    <mergeCell ref="H8:H9"/>
    <mergeCell ref="I8:I9"/>
    <mergeCell ref="J8:J9"/>
    <mergeCell ref="K8:K9"/>
    <mergeCell ref="E4:E5"/>
    <mergeCell ref="F4:F5"/>
    <mergeCell ref="G4:G5"/>
    <mergeCell ref="H4:H5"/>
    <mergeCell ref="I4:I5"/>
    <mergeCell ref="J4:J5"/>
    <mergeCell ref="Q1:Z1"/>
    <mergeCell ref="Q2:T2"/>
    <mergeCell ref="U2:V2"/>
    <mergeCell ref="X3:X21"/>
    <mergeCell ref="Y3:Y21"/>
    <mergeCell ref="Z3:Z21"/>
    <mergeCell ref="Q4:Q5"/>
    <mergeCell ref="R4:R5"/>
    <mergeCell ref="S4:S5"/>
    <mergeCell ref="T4:T5"/>
    <mergeCell ref="U4:U5"/>
    <mergeCell ref="V4:V5"/>
    <mergeCell ref="W4:W5"/>
    <mergeCell ref="Q6:Q7"/>
    <mergeCell ref="R6:R7"/>
    <mergeCell ref="S6:S7"/>
    <mergeCell ref="U12:U19"/>
    <mergeCell ref="V12:V19"/>
    <mergeCell ref="W12:W19"/>
    <mergeCell ref="A26:A32"/>
    <mergeCell ref="B26:B32"/>
    <mergeCell ref="C26:C32"/>
    <mergeCell ref="D26:D32"/>
    <mergeCell ref="Q24:T24"/>
    <mergeCell ref="X24:X25"/>
    <mergeCell ref="T6:T7"/>
    <mergeCell ref="U6:U7"/>
    <mergeCell ref="V6:V7"/>
    <mergeCell ref="W6:W7"/>
    <mergeCell ref="Q8:Q9"/>
    <mergeCell ref="R8:R9"/>
    <mergeCell ref="S8:S9"/>
    <mergeCell ref="T8:T9"/>
    <mergeCell ref="U8:U9"/>
    <mergeCell ref="V8:V9"/>
    <mergeCell ref="W8:W9"/>
    <mergeCell ref="R25:T25"/>
    <mergeCell ref="E26:E32"/>
    <mergeCell ref="F26:F32"/>
    <mergeCell ref="K26:K32"/>
    <mergeCell ref="L26:L32"/>
    <mergeCell ref="M26:M32"/>
    <mergeCell ref="N26:N32"/>
    <mergeCell ref="U26:U32"/>
    <mergeCell ref="V26:V32"/>
    <mergeCell ref="W26:W32"/>
    <mergeCell ref="X26:X32"/>
    <mergeCell ref="Y26:Y32"/>
    <mergeCell ref="Z26:Z32"/>
    <mergeCell ref="O24:O25"/>
    <mergeCell ref="P24:P25"/>
    <mergeCell ref="G25:J25"/>
    <mergeCell ref="P26:P32"/>
    <mergeCell ref="O26:O32"/>
    <mergeCell ref="N24:N25"/>
    <mergeCell ref="Z24:Z25"/>
    <mergeCell ref="AI24:AI25"/>
    <mergeCell ref="AA1:AJ1"/>
    <mergeCell ref="AA2:AD2"/>
    <mergeCell ref="AE2:AF2"/>
    <mergeCell ref="AH3:AH21"/>
    <mergeCell ref="AI3:AI21"/>
    <mergeCell ref="AJ3:AJ21"/>
    <mergeCell ref="AA4:AA5"/>
    <mergeCell ref="AB4:AB5"/>
    <mergeCell ref="AC4:AC5"/>
    <mergeCell ref="AD4:AD5"/>
    <mergeCell ref="AE4:AE5"/>
    <mergeCell ref="AF4:AF5"/>
    <mergeCell ref="AG4:AG5"/>
    <mergeCell ref="AA6:AA7"/>
    <mergeCell ref="AB6:AB7"/>
    <mergeCell ref="AC6:AC7"/>
    <mergeCell ref="AD6:AD7"/>
    <mergeCell ref="AE6:AE7"/>
    <mergeCell ref="AF6:AF7"/>
    <mergeCell ref="AG6:AG7"/>
    <mergeCell ref="AA8:AA9"/>
    <mergeCell ref="AB8:AB9"/>
    <mergeCell ref="AC8:AC9"/>
    <mergeCell ref="AE8:AE9"/>
    <mergeCell ref="AF8:AF9"/>
    <mergeCell ref="AG8:AG9"/>
    <mergeCell ref="AE12:AE19"/>
    <mergeCell ref="AF12:AF19"/>
    <mergeCell ref="AG12:AG19"/>
    <mergeCell ref="AA24:AD24"/>
    <mergeCell ref="AH24:AH25"/>
    <mergeCell ref="AD8:AD9"/>
    <mergeCell ref="A62:A67"/>
    <mergeCell ref="AA30:AA31"/>
    <mergeCell ref="AC30:AD30"/>
    <mergeCell ref="AC31:AD31"/>
    <mergeCell ref="AB32:AD32"/>
    <mergeCell ref="A48:A53"/>
    <mergeCell ref="A55:A60"/>
    <mergeCell ref="AJ24:AJ25"/>
    <mergeCell ref="AB25:AD25"/>
    <mergeCell ref="AE26:AE32"/>
    <mergeCell ref="AF26:AF32"/>
    <mergeCell ref="AG26:AG32"/>
    <mergeCell ref="AH26:AH32"/>
    <mergeCell ref="AI26:AI32"/>
    <mergeCell ref="AJ26:AJ32"/>
    <mergeCell ref="AC29:AD29"/>
    <mergeCell ref="A34:A39"/>
    <mergeCell ref="A41:A46"/>
    <mergeCell ref="S29:T29"/>
    <mergeCell ref="Q30:Q31"/>
    <mergeCell ref="S30:T30"/>
    <mergeCell ref="S31:T31"/>
    <mergeCell ref="R32:T32"/>
    <mergeCell ref="Y24:Y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Tablero Oct</vt:lpstr>
      <vt:lpstr>Tablero Nov</vt:lpstr>
      <vt:lpstr>Tablero Dic25-Ene26</vt:lpstr>
      <vt:lpstr>Tablero Feb26</vt:lpstr>
      <vt:lpstr>Tablero Mar-26</vt:lpstr>
      <vt:lpstr>KPI´s Sara</vt:lpstr>
      <vt:lpstr>KPI´s Sara Ago-Sept</vt:lpstr>
      <vt:lpstr>KPI´s Ingrid</vt:lpstr>
      <vt:lpstr>KPI´s Natalia</vt:lpstr>
      <vt:lpstr>KPI´s Paola</vt:lpstr>
      <vt:lpstr>KPI´s Alzurak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Gomez Correa</dc:creator>
  <cp:lastModifiedBy>Laura Gomez Correa</cp:lastModifiedBy>
  <dcterms:created xsi:type="dcterms:W3CDTF">2025-08-08T18:08:07Z</dcterms:created>
  <dcterms:modified xsi:type="dcterms:W3CDTF">2026-05-20T20:39:51Z</dcterms:modified>
</cp:coreProperties>
</file>